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/Users/patricksutton/Library/Mobile Documents/com~apple~CloudDocs/UQ/PhD/Streptococcus_pneumoniae/manuscript/"/>
    </mc:Choice>
  </mc:AlternateContent>
  <xr:revisionPtr revIDLastSave="1" documentId="13_ncr:1_{A64EC2EE-B587-8E40-88CC-FD129CBC5D53}" xr6:coauthVersionLast="47" xr6:coauthVersionMax="47" xr10:uidLastSave="{7DA1DE58-A3D0-479B-B127-FC6AA12A3AF2}"/>
  <bookViews>
    <workbookView xWindow="380" yWindow="760" windowWidth="29860" windowHeight="17200" activeTab="6" xr2:uid="{6286D7DA-2D5D-4F4B-A249-F59540A6AD1A}"/>
  </bookViews>
  <sheets>
    <sheet name="LCMS Lipidome" sheetId="7" r:id="rId1"/>
    <sheet name="Sheet1" sheetId="8" r:id="rId2"/>
    <sheet name="Av Gal MD" sheetId="9" r:id="rId3"/>
    <sheet name="Av Glu MD" sheetId="10" r:id="rId4"/>
    <sheet name="Av Glu 16-0 MD" sheetId="11" r:id="rId5"/>
    <sheet name="Av Glu 18-1 MD" sheetId="12" r:id="rId6"/>
    <sheet name="MD_Lipidomes" sheetId="1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4" i="13" l="1"/>
  <c r="T70" i="13"/>
  <c r="T67" i="13"/>
  <c r="T63" i="13"/>
  <c r="N69" i="13"/>
  <c r="N65" i="13"/>
  <c r="B72" i="13"/>
  <c r="B68" i="13"/>
  <c r="H72" i="13"/>
  <c r="H68" i="13"/>
  <c r="H66" i="13"/>
  <c r="H63" i="13"/>
  <c r="B63" i="13"/>
  <c r="Y76" i="13"/>
  <c r="S73" i="13"/>
  <c r="M77" i="13"/>
  <c r="G77" i="13"/>
  <c r="X50" i="13" l="1"/>
  <c r="I87" i="13"/>
  <c r="I86" i="13"/>
  <c r="I85" i="13"/>
  <c r="I84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62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35" i="13"/>
  <c r="J77" i="13"/>
  <c r="V74" i="13"/>
  <c r="X74" i="13" s="1"/>
  <c r="X51" i="13"/>
  <c r="V75" i="13" s="1"/>
  <c r="X75" i="13" s="1"/>
  <c r="X49" i="13"/>
  <c r="V73" i="13" s="1"/>
  <c r="X47" i="13"/>
  <c r="V72" i="13" s="1"/>
  <c r="X72" i="13" s="1"/>
  <c r="X45" i="13"/>
  <c r="V70" i="13" s="1"/>
  <c r="X70" i="13" s="1"/>
  <c r="X46" i="13"/>
  <c r="V71" i="13" s="1"/>
  <c r="X71" i="13" s="1"/>
  <c r="X44" i="13"/>
  <c r="V69" i="13" s="1"/>
  <c r="X42" i="13"/>
  <c r="V68" i="13" s="1"/>
  <c r="X68" i="13" s="1"/>
  <c r="X41" i="13"/>
  <c r="V67" i="13" s="1"/>
  <c r="X67" i="13" s="1"/>
  <c r="X40" i="13"/>
  <c r="V66" i="13" s="1"/>
  <c r="X36" i="13"/>
  <c r="V63" i="13" s="1"/>
  <c r="X63" i="13" s="1"/>
  <c r="X37" i="13"/>
  <c r="V64" i="13" s="1"/>
  <c r="X64" i="13" s="1"/>
  <c r="X35" i="13"/>
  <c r="V62" i="13" s="1"/>
  <c r="X38" i="13"/>
  <c r="V65" i="13" s="1"/>
  <c r="X65" i="13" s="1"/>
  <c r="R40" i="13"/>
  <c r="R41" i="13"/>
  <c r="P67" i="13" s="1"/>
  <c r="R67" i="13" s="1"/>
  <c r="R42" i="13"/>
  <c r="P68" i="13" s="1"/>
  <c r="R43" i="13"/>
  <c r="P69" i="13" s="1"/>
  <c r="R69" i="13" s="1"/>
  <c r="R44" i="13"/>
  <c r="P70" i="13" s="1"/>
  <c r="R70" i="13" s="1"/>
  <c r="R45" i="13"/>
  <c r="P71" i="13" s="1"/>
  <c r="R71" i="13" s="1"/>
  <c r="R46" i="13"/>
  <c r="P72" i="13" s="1"/>
  <c r="R72" i="13" s="1"/>
  <c r="R39" i="13"/>
  <c r="P65" i="13" s="1"/>
  <c r="R65" i="13" s="1"/>
  <c r="R36" i="13"/>
  <c r="P63" i="13" s="1"/>
  <c r="R35" i="13"/>
  <c r="P62" i="13" s="1"/>
  <c r="R62" i="13" s="1"/>
  <c r="R37" i="13"/>
  <c r="P64" i="13" s="1"/>
  <c r="F47" i="13"/>
  <c r="D73" i="13" s="1"/>
  <c r="F73" i="13" s="1"/>
  <c r="F48" i="13"/>
  <c r="D74" i="13" s="1"/>
  <c r="F74" i="13" s="1"/>
  <c r="F49" i="13"/>
  <c r="D75" i="13" s="1"/>
  <c r="F75" i="13" s="1"/>
  <c r="F50" i="13"/>
  <c r="D76" i="13" s="1"/>
  <c r="F76" i="13" s="1"/>
  <c r="F46" i="13"/>
  <c r="D72" i="13" s="1"/>
  <c r="F72" i="13" s="1"/>
  <c r="F36" i="13"/>
  <c r="D63" i="13" s="1"/>
  <c r="F63" i="13" s="1"/>
  <c r="F37" i="13"/>
  <c r="D64" i="13" s="1"/>
  <c r="F64" i="13" s="1"/>
  <c r="F38" i="13"/>
  <c r="D65" i="13" s="1"/>
  <c r="F65" i="13" s="1"/>
  <c r="F39" i="13"/>
  <c r="D66" i="13" s="1"/>
  <c r="C85" i="13" s="1"/>
  <c r="F40" i="13"/>
  <c r="D67" i="13" s="1"/>
  <c r="F67" i="13" s="1"/>
  <c r="F41" i="13"/>
  <c r="D68" i="13" s="1"/>
  <c r="F42" i="13"/>
  <c r="D69" i="13" s="1"/>
  <c r="F69" i="13" s="1"/>
  <c r="F43" i="13"/>
  <c r="D70" i="13" s="1"/>
  <c r="F70" i="13" s="1"/>
  <c r="F35" i="13"/>
  <c r="D62" i="13" s="1"/>
  <c r="F44" i="13"/>
  <c r="D71" i="13" s="1"/>
  <c r="F71" i="13" s="1"/>
  <c r="V53" i="13"/>
  <c r="P47" i="13"/>
  <c r="J50" i="13"/>
  <c r="D51" i="13"/>
  <c r="V10" i="13"/>
  <c r="W10" i="13" s="1"/>
  <c r="V9" i="13"/>
  <c r="W9" i="13" s="1"/>
  <c r="V19" i="13"/>
  <c r="W19" i="13" s="1"/>
  <c r="V18" i="13"/>
  <c r="W18" i="13" s="1"/>
  <c r="V17" i="13"/>
  <c r="W17" i="13" s="1"/>
  <c r="V16" i="13"/>
  <c r="W16" i="13" s="1"/>
  <c r="V15" i="13"/>
  <c r="W15" i="13" s="1"/>
  <c r="V14" i="13"/>
  <c r="W14" i="13" s="1"/>
  <c r="V13" i="13"/>
  <c r="W13" i="13" s="1"/>
  <c r="V8" i="13"/>
  <c r="W8" i="13" s="1"/>
  <c r="V7" i="13"/>
  <c r="W7" i="13" s="1"/>
  <c r="V6" i="13"/>
  <c r="W6" i="13" s="1"/>
  <c r="V5" i="13"/>
  <c r="W5" i="13" s="1"/>
  <c r="V4" i="13"/>
  <c r="W4" i="13" s="1"/>
  <c r="X22" i="13"/>
  <c r="P15" i="13"/>
  <c r="Q15" i="13" s="1"/>
  <c r="P14" i="13"/>
  <c r="Q14" i="13" s="1"/>
  <c r="P13" i="13"/>
  <c r="Q13" i="13" s="1"/>
  <c r="P12" i="13"/>
  <c r="Q12" i="13" s="1"/>
  <c r="P11" i="13"/>
  <c r="Q11" i="13" s="1"/>
  <c r="P10" i="13"/>
  <c r="Q10" i="13" s="1"/>
  <c r="P9" i="13"/>
  <c r="Q9" i="13" s="1"/>
  <c r="P8" i="13"/>
  <c r="Q8" i="13" s="1"/>
  <c r="P7" i="13"/>
  <c r="Q7" i="13" s="1"/>
  <c r="P6" i="13"/>
  <c r="Q6" i="13" s="1"/>
  <c r="P5" i="13"/>
  <c r="Q5" i="13" s="1"/>
  <c r="P4" i="13"/>
  <c r="Q4" i="13" s="1"/>
  <c r="R16" i="13"/>
  <c r="L19" i="13"/>
  <c r="J18" i="13"/>
  <c r="K18" i="13" s="1"/>
  <c r="AA20" i="13" s="1"/>
  <c r="AA21" i="13" s="1"/>
  <c r="V21" i="13" s="1"/>
  <c r="W21" i="13" s="1"/>
  <c r="J17" i="13"/>
  <c r="K17" i="13" s="1"/>
  <c r="J16" i="13"/>
  <c r="K16" i="13" s="1"/>
  <c r="J15" i="13"/>
  <c r="K15" i="13" s="1"/>
  <c r="J14" i="13"/>
  <c r="K14" i="13" s="1"/>
  <c r="J13" i="13"/>
  <c r="K13" i="13" s="1"/>
  <c r="J12" i="13"/>
  <c r="K12" i="13" s="1"/>
  <c r="J11" i="13"/>
  <c r="K11" i="13" s="1"/>
  <c r="J10" i="13"/>
  <c r="K10" i="13" s="1"/>
  <c r="J9" i="13"/>
  <c r="K9" i="13" s="1"/>
  <c r="J8" i="13"/>
  <c r="K8" i="13" s="1"/>
  <c r="AA11" i="13" s="1"/>
  <c r="AA12" i="13" s="1"/>
  <c r="V12" i="13" s="1"/>
  <c r="W12" i="13" s="1"/>
  <c r="J7" i="13"/>
  <c r="K7" i="13" s="1"/>
  <c r="J6" i="13"/>
  <c r="K6" i="13" s="1"/>
  <c r="J5" i="13"/>
  <c r="K5" i="13" s="1"/>
  <c r="J4" i="13"/>
  <c r="K4" i="13" s="1"/>
  <c r="F20" i="13"/>
  <c r="D19" i="13"/>
  <c r="E19" i="13" s="1"/>
  <c r="D18" i="13"/>
  <c r="E18" i="13" s="1"/>
  <c r="D17" i="13"/>
  <c r="E17" i="13" s="1"/>
  <c r="D16" i="13"/>
  <c r="E16" i="13" s="1"/>
  <c r="D15" i="13"/>
  <c r="E15" i="13" s="1"/>
  <c r="D14" i="13"/>
  <c r="E14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O87" i="13" l="1"/>
  <c r="L87" i="13"/>
  <c r="F86" i="13"/>
  <c r="L84" i="13"/>
  <c r="L85" i="13"/>
  <c r="L86" i="13"/>
  <c r="L90" i="13" s="1"/>
  <c r="R64" i="13"/>
  <c r="F62" i="13"/>
  <c r="F84" i="13" s="1"/>
  <c r="C84" i="13"/>
  <c r="X73" i="13"/>
  <c r="X86" i="13" s="1"/>
  <c r="X90" i="13" s="1"/>
  <c r="U87" i="13"/>
  <c r="U84" i="13"/>
  <c r="X62" i="13"/>
  <c r="O84" i="13"/>
  <c r="O85" i="13"/>
  <c r="R63" i="13"/>
  <c r="R87" i="13" s="1"/>
  <c r="X66" i="13"/>
  <c r="X87" i="13" s="1"/>
  <c r="U85" i="13"/>
  <c r="U86" i="13"/>
  <c r="X69" i="13"/>
  <c r="C86" i="13"/>
  <c r="R47" i="13"/>
  <c r="C87" i="13"/>
  <c r="P66" i="13"/>
  <c r="R66" i="13" s="1"/>
  <c r="R86" i="13" s="1"/>
  <c r="F51" i="13"/>
  <c r="X53" i="13"/>
  <c r="L50" i="13"/>
  <c r="I88" i="13"/>
  <c r="F68" i="13"/>
  <c r="F66" i="13"/>
  <c r="F87" i="13" s="1"/>
  <c r="R68" i="13"/>
  <c r="R84" i="13" s="1"/>
  <c r="V76" i="13"/>
  <c r="L77" i="13"/>
  <c r="D77" i="13"/>
  <c r="V11" i="13"/>
  <c r="W11" i="13" s="1"/>
  <c r="V20" i="13"/>
  <c r="W20" i="13" s="1"/>
  <c r="K19" i="13"/>
  <c r="J19" i="13"/>
  <c r="Q16" i="13"/>
  <c r="P16" i="13"/>
  <c r="E20" i="13"/>
  <c r="D20" i="13"/>
  <c r="H20" i="9"/>
  <c r="I20" i="9" s="1"/>
  <c r="H18" i="9"/>
  <c r="I18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H8" i="9"/>
  <c r="I8" i="9" s="1"/>
  <c r="H7" i="9"/>
  <c r="I7" i="9" s="1"/>
  <c r="H6" i="9"/>
  <c r="I6" i="9" s="1"/>
  <c r="H5" i="9"/>
  <c r="I5" i="9" s="1"/>
  <c r="H4" i="9"/>
  <c r="I4" i="9" s="1"/>
  <c r="H3" i="9"/>
  <c r="I3" i="9" s="1"/>
  <c r="I2" i="9"/>
  <c r="H2" i="9"/>
  <c r="G3" i="9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I2" i="10"/>
  <c r="G2" i="10"/>
  <c r="I28" i="11"/>
  <c r="I20" i="11"/>
  <c r="I15" i="11"/>
  <c r="I12" i="11"/>
  <c r="I11" i="11"/>
  <c r="I10" i="11"/>
  <c r="I9" i="11"/>
  <c r="I8" i="11"/>
  <c r="H28" i="11"/>
  <c r="H20" i="11"/>
  <c r="H15" i="11"/>
  <c r="H12" i="11"/>
  <c r="H11" i="11"/>
  <c r="H10" i="11"/>
  <c r="H9" i="11"/>
  <c r="H8" i="11"/>
  <c r="H5" i="11"/>
  <c r="H4" i="11"/>
  <c r="H3" i="11"/>
  <c r="H2" i="11"/>
  <c r="I5" i="11"/>
  <c r="I4" i="11"/>
  <c r="I3" i="11"/>
  <c r="I2" i="11"/>
  <c r="G3" i="11"/>
  <c r="I31" i="12"/>
  <c r="I25" i="12"/>
  <c r="I22" i="12"/>
  <c r="I17" i="12"/>
  <c r="I16" i="12"/>
  <c r="I15" i="12"/>
  <c r="I14" i="12"/>
  <c r="I11" i="12"/>
  <c r="I10" i="12"/>
  <c r="I9" i="12"/>
  <c r="I8" i="12"/>
  <c r="I6" i="12"/>
  <c r="I5" i="12"/>
  <c r="I4" i="12"/>
  <c r="I3" i="12"/>
  <c r="I2" i="12"/>
  <c r="H2" i="12"/>
  <c r="H31" i="12"/>
  <c r="H25" i="12"/>
  <c r="H22" i="12"/>
  <c r="H17" i="12"/>
  <c r="H16" i="12"/>
  <c r="H15" i="12"/>
  <c r="H14" i="12"/>
  <c r="H11" i="12"/>
  <c r="H10" i="12"/>
  <c r="H9" i="12"/>
  <c r="H8" i="12"/>
  <c r="H6" i="12"/>
  <c r="H5" i="12"/>
  <c r="H4" i="12"/>
  <c r="H3" i="12"/>
  <c r="G2" i="12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E35" i="11"/>
  <c r="F35" i="11" s="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37" i="10" s="1"/>
  <c r="F34" i="9"/>
  <c r="F33" i="9"/>
  <c r="F26" i="9"/>
  <c r="F9" i="9"/>
  <c r="F8" i="9"/>
  <c r="F5" i="9"/>
  <c r="E35" i="9"/>
  <c r="F35" i="9" s="1"/>
  <c r="E34" i="9"/>
  <c r="E33" i="9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3" i="9"/>
  <c r="F13" i="9" s="1"/>
  <c r="E12" i="9"/>
  <c r="F12" i="9" s="1"/>
  <c r="E5" i="9"/>
  <c r="E4" i="9"/>
  <c r="F4" i="9" s="1"/>
  <c r="E2" i="9"/>
  <c r="F2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1" i="9"/>
  <c r="F11" i="9" s="1"/>
  <c r="E10" i="9"/>
  <c r="F10" i="9" s="1"/>
  <c r="E9" i="9"/>
  <c r="E8" i="9"/>
  <c r="E7" i="9"/>
  <c r="F7" i="9" s="1"/>
  <c r="E6" i="9"/>
  <c r="F6" i="9" s="1"/>
  <c r="E3" i="9"/>
  <c r="F3" i="9" s="1"/>
  <c r="Y41" i="7"/>
  <c r="Y38" i="7"/>
  <c r="R35" i="7"/>
  <c r="S35" i="7"/>
  <c r="T35" i="7"/>
  <c r="U35" i="7"/>
  <c r="Z35" i="7"/>
  <c r="AA35" i="7"/>
  <c r="AB35" i="7"/>
  <c r="AC35" i="7"/>
  <c r="AD35" i="7"/>
  <c r="AE35" i="7"/>
  <c r="L89" i="13" l="1"/>
  <c r="L88" i="13"/>
  <c r="X84" i="13"/>
  <c r="F90" i="13"/>
  <c r="R90" i="13"/>
  <c r="X85" i="13"/>
  <c r="R85" i="13"/>
  <c r="R88" i="13" s="1"/>
  <c r="F85" i="13"/>
  <c r="F89" i="13" s="1"/>
  <c r="U88" i="13"/>
  <c r="F88" i="13"/>
  <c r="P73" i="13"/>
  <c r="O86" i="13"/>
  <c r="O88" i="13" s="1"/>
  <c r="F77" i="13"/>
  <c r="X76" i="13"/>
  <c r="C88" i="13"/>
  <c r="R73" i="13"/>
  <c r="W22" i="13"/>
  <c r="V22" i="13"/>
  <c r="E37" i="12"/>
  <c r="E37" i="11"/>
  <c r="F2" i="11"/>
  <c r="F2" i="12"/>
  <c r="E37" i="9"/>
  <c r="AC3" i="7"/>
  <c r="AD3" i="7"/>
  <c r="AE3" i="7"/>
  <c r="AC5" i="7"/>
  <c r="AD5" i="7"/>
  <c r="AE5" i="7"/>
  <c r="AC4" i="7"/>
  <c r="AD4" i="7"/>
  <c r="AE4" i="7"/>
  <c r="AC6" i="7"/>
  <c r="AD6" i="7"/>
  <c r="AE6" i="7"/>
  <c r="AC7" i="7"/>
  <c r="AD7" i="7"/>
  <c r="AE7" i="7"/>
  <c r="AC8" i="7"/>
  <c r="AD8" i="7"/>
  <c r="AE8" i="7"/>
  <c r="AC9" i="7"/>
  <c r="AD9" i="7"/>
  <c r="AE9" i="7"/>
  <c r="AC10" i="7"/>
  <c r="AD10" i="7"/>
  <c r="AE10" i="7"/>
  <c r="AC11" i="7"/>
  <c r="AD11" i="7"/>
  <c r="AE11" i="7"/>
  <c r="AC14" i="7"/>
  <c r="AD14" i="7"/>
  <c r="AE14" i="7"/>
  <c r="AC12" i="7"/>
  <c r="AD12" i="7"/>
  <c r="AE12" i="7"/>
  <c r="AC13" i="7"/>
  <c r="AD13" i="7"/>
  <c r="AE13" i="7"/>
  <c r="AC15" i="7"/>
  <c r="AD15" i="7"/>
  <c r="AE15" i="7"/>
  <c r="AC18" i="7"/>
  <c r="AD18" i="7"/>
  <c r="AE18" i="7"/>
  <c r="AC19" i="7"/>
  <c r="AD19" i="7"/>
  <c r="AE19" i="7"/>
  <c r="AC16" i="7"/>
  <c r="AD16" i="7"/>
  <c r="AE16" i="7"/>
  <c r="AC17" i="7"/>
  <c r="AD17" i="7"/>
  <c r="AE17" i="7"/>
  <c r="AC20" i="7"/>
  <c r="AD20" i="7"/>
  <c r="AE20" i="7"/>
  <c r="AC24" i="7"/>
  <c r="AD24" i="7"/>
  <c r="AE24" i="7"/>
  <c r="AC23" i="7"/>
  <c r="AD23" i="7"/>
  <c r="AE23" i="7"/>
  <c r="AC21" i="7"/>
  <c r="AD21" i="7"/>
  <c r="AE21" i="7"/>
  <c r="AC25" i="7"/>
  <c r="AD25" i="7"/>
  <c r="AE25" i="7"/>
  <c r="AC26" i="7"/>
  <c r="AD26" i="7"/>
  <c r="AE26" i="7"/>
  <c r="AC27" i="7"/>
  <c r="AD27" i="7"/>
  <c r="AE27" i="7"/>
  <c r="AC31" i="7"/>
  <c r="AD31" i="7"/>
  <c r="AE31" i="7"/>
  <c r="AC28" i="7"/>
  <c r="AD28" i="7"/>
  <c r="AE28" i="7"/>
  <c r="AC22" i="7"/>
  <c r="AD22" i="7"/>
  <c r="AE22" i="7"/>
  <c r="AC29" i="7"/>
  <c r="AD29" i="7"/>
  <c r="AE29" i="7"/>
  <c r="AC32" i="7"/>
  <c r="AD32" i="7"/>
  <c r="AE32" i="7"/>
  <c r="AC33" i="7"/>
  <c r="AD33" i="7"/>
  <c r="AE33" i="7"/>
  <c r="AC30" i="7"/>
  <c r="AD30" i="7"/>
  <c r="AE30" i="7"/>
  <c r="AC34" i="7"/>
  <c r="AD34" i="7"/>
  <c r="AE34" i="7"/>
  <c r="AE2" i="7"/>
  <c r="AD2" i="7"/>
  <c r="Z16" i="7"/>
  <c r="Z17" i="7"/>
  <c r="Z20" i="7"/>
  <c r="Z24" i="7"/>
  <c r="Z23" i="7"/>
  <c r="Z21" i="7"/>
  <c r="Z25" i="7"/>
  <c r="Z26" i="7"/>
  <c r="Z27" i="7"/>
  <c r="Z31" i="7"/>
  <c r="Z28" i="7"/>
  <c r="Z22" i="7"/>
  <c r="Z29" i="7"/>
  <c r="Z32" i="7"/>
  <c r="Z33" i="7"/>
  <c r="Z30" i="7"/>
  <c r="Z34" i="7"/>
  <c r="AA3" i="7"/>
  <c r="AB3" i="7"/>
  <c r="AA5" i="7"/>
  <c r="AB5" i="7"/>
  <c r="AA4" i="7"/>
  <c r="AB4" i="7"/>
  <c r="AA6" i="7"/>
  <c r="AB6" i="7"/>
  <c r="AA7" i="7"/>
  <c r="AB7" i="7"/>
  <c r="AA8" i="7"/>
  <c r="AB8" i="7"/>
  <c r="AA9" i="7"/>
  <c r="AB9" i="7"/>
  <c r="AA10" i="7"/>
  <c r="AB10" i="7"/>
  <c r="AA11" i="7"/>
  <c r="AB11" i="7"/>
  <c r="AA14" i="7"/>
  <c r="AB14" i="7"/>
  <c r="AA12" i="7"/>
  <c r="AB12" i="7"/>
  <c r="AA13" i="7"/>
  <c r="AB13" i="7"/>
  <c r="AA15" i="7"/>
  <c r="AB15" i="7"/>
  <c r="AA18" i="7"/>
  <c r="AB18" i="7"/>
  <c r="AA19" i="7"/>
  <c r="AB19" i="7"/>
  <c r="AA16" i="7"/>
  <c r="AB16" i="7"/>
  <c r="AA17" i="7"/>
  <c r="AB17" i="7"/>
  <c r="AA20" i="7"/>
  <c r="AB20" i="7"/>
  <c r="AA24" i="7"/>
  <c r="AB24" i="7"/>
  <c r="AA23" i="7"/>
  <c r="AB23" i="7"/>
  <c r="AA21" i="7"/>
  <c r="AB21" i="7"/>
  <c r="AA25" i="7"/>
  <c r="AB25" i="7"/>
  <c r="AA26" i="7"/>
  <c r="AB26" i="7"/>
  <c r="AA27" i="7"/>
  <c r="AB27" i="7"/>
  <c r="AA31" i="7"/>
  <c r="AB31" i="7"/>
  <c r="AA28" i="7"/>
  <c r="AB28" i="7"/>
  <c r="AA22" i="7"/>
  <c r="AB22" i="7"/>
  <c r="AA29" i="7"/>
  <c r="AB29" i="7"/>
  <c r="AA32" i="7"/>
  <c r="AB32" i="7"/>
  <c r="AA33" i="7"/>
  <c r="AB33" i="7"/>
  <c r="AA30" i="7"/>
  <c r="AB30" i="7"/>
  <c r="AA34" i="7"/>
  <c r="AB34" i="7"/>
  <c r="AB2" i="7"/>
  <c r="AA2" i="7"/>
  <c r="Z2" i="7"/>
  <c r="T3" i="7"/>
  <c r="U3" i="7"/>
  <c r="T5" i="7"/>
  <c r="U5" i="7"/>
  <c r="T4" i="7"/>
  <c r="U4" i="7"/>
  <c r="T6" i="7"/>
  <c r="U6" i="7"/>
  <c r="T7" i="7"/>
  <c r="U7" i="7"/>
  <c r="T8" i="7"/>
  <c r="U8" i="7"/>
  <c r="T9" i="7"/>
  <c r="U9" i="7"/>
  <c r="T10" i="7"/>
  <c r="U10" i="7"/>
  <c r="T11" i="7"/>
  <c r="U11" i="7"/>
  <c r="T14" i="7"/>
  <c r="U14" i="7"/>
  <c r="T12" i="7"/>
  <c r="U12" i="7"/>
  <c r="T13" i="7"/>
  <c r="U13" i="7"/>
  <c r="T15" i="7"/>
  <c r="U15" i="7"/>
  <c r="T18" i="7"/>
  <c r="U18" i="7"/>
  <c r="T19" i="7"/>
  <c r="U19" i="7"/>
  <c r="T16" i="7"/>
  <c r="U16" i="7"/>
  <c r="T17" i="7"/>
  <c r="U17" i="7"/>
  <c r="T20" i="7"/>
  <c r="U20" i="7"/>
  <c r="T24" i="7"/>
  <c r="U24" i="7"/>
  <c r="T23" i="7"/>
  <c r="U23" i="7"/>
  <c r="T21" i="7"/>
  <c r="U21" i="7"/>
  <c r="T25" i="7"/>
  <c r="U25" i="7"/>
  <c r="T26" i="7"/>
  <c r="U26" i="7"/>
  <c r="T27" i="7"/>
  <c r="U27" i="7"/>
  <c r="T31" i="7"/>
  <c r="U31" i="7"/>
  <c r="T28" i="7"/>
  <c r="U28" i="7"/>
  <c r="T22" i="7"/>
  <c r="U22" i="7"/>
  <c r="T29" i="7"/>
  <c r="U29" i="7"/>
  <c r="T32" i="7"/>
  <c r="U32" i="7"/>
  <c r="T33" i="7"/>
  <c r="U33" i="7"/>
  <c r="T30" i="7"/>
  <c r="U30" i="7"/>
  <c r="T34" i="7"/>
  <c r="U34" i="7"/>
  <c r="U2" i="7"/>
  <c r="T2" i="7"/>
  <c r="X38" i="7" s="1"/>
  <c r="R17" i="7"/>
  <c r="S17" i="7"/>
  <c r="R29" i="7"/>
  <c r="S29" i="7"/>
  <c r="R23" i="7"/>
  <c r="S23" i="7"/>
  <c r="R33" i="7"/>
  <c r="S33" i="7"/>
  <c r="R31" i="7"/>
  <c r="S31" i="7"/>
  <c r="R27" i="7"/>
  <c r="S27" i="7"/>
  <c r="R32" i="7"/>
  <c r="S32" i="7"/>
  <c r="R21" i="7"/>
  <c r="S21" i="7"/>
  <c r="R16" i="7"/>
  <c r="S16" i="7"/>
  <c r="R30" i="7"/>
  <c r="S30" i="7"/>
  <c r="R25" i="7"/>
  <c r="S25" i="7"/>
  <c r="R22" i="7"/>
  <c r="S22" i="7"/>
  <c r="Z6" i="7"/>
  <c r="Z15" i="7"/>
  <c r="Z11" i="7"/>
  <c r="Z8" i="7"/>
  <c r="Z14" i="7"/>
  <c r="Z18" i="7"/>
  <c r="Z19" i="7"/>
  <c r="S4" i="7"/>
  <c r="S2" i="7"/>
  <c r="S13" i="7"/>
  <c r="S5" i="7"/>
  <c r="S9" i="7"/>
  <c r="S12" i="7"/>
  <c r="S10" i="7"/>
  <c r="S7" i="7"/>
  <c r="S20" i="7"/>
  <c r="S6" i="7"/>
  <c r="S15" i="7"/>
  <c r="S11" i="7"/>
  <c r="S8" i="7"/>
  <c r="S14" i="7"/>
  <c r="S18" i="7"/>
  <c r="S24" i="7"/>
  <c r="S19" i="7"/>
  <c r="S28" i="7"/>
  <c r="S34" i="7"/>
  <c r="S26" i="7"/>
  <c r="S3" i="7"/>
  <c r="R4" i="7"/>
  <c r="R2" i="7"/>
  <c r="R13" i="7"/>
  <c r="R5" i="7"/>
  <c r="R9" i="7"/>
  <c r="R12" i="7"/>
  <c r="R10" i="7"/>
  <c r="R7" i="7"/>
  <c r="R20" i="7"/>
  <c r="R6" i="7"/>
  <c r="R15" i="7"/>
  <c r="R11" i="7"/>
  <c r="R8" i="7"/>
  <c r="R14" i="7"/>
  <c r="R18" i="7"/>
  <c r="R24" i="7"/>
  <c r="R19" i="7"/>
  <c r="R28" i="7"/>
  <c r="R34" i="7"/>
  <c r="R26" i="7"/>
  <c r="R3" i="7"/>
  <c r="Z4" i="7"/>
  <c r="Z13" i="7"/>
  <c r="Z5" i="7"/>
  <c r="Z9" i="7"/>
  <c r="Z12" i="7"/>
  <c r="Z10" i="7"/>
  <c r="Z7" i="7"/>
  <c r="Z3" i="7"/>
  <c r="AC2" i="7"/>
  <c r="R89" i="13" l="1"/>
  <c r="X88" i="13"/>
  <c r="X89" i="13"/>
  <c r="V38" i="7"/>
  <c r="W38" i="7"/>
  <c r="X35" i="7"/>
  <c r="W35" i="7"/>
  <c r="Y35" i="7"/>
  <c r="V35" i="7"/>
  <c r="W28" i="7"/>
  <c r="X25" i="7"/>
  <c r="V34" i="7"/>
  <c r="X22" i="7"/>
  <c r="X19" i="7"/>
  <c r="X21" i="7"/>
  <c r="X6" i="7"/>
  <c r="W25" i="7"/>
  <c r="V25" i="7"/>
  <c r="V21" i="7"/>
  <c r="X32" i="7"/>
  <c r="X26" i="7"/>
  <c r="X17" i="7"/>
  <c r="X12" i="7"/>
  <c r="X7" i="7"/>
  <c r="V24" i="7"/>
  <c r="W22" i="7"/>
  <c r="W32" i="7"/>
  <c r="W23" i="7"/>
  <c r="Y29" i="7"/>
  <c r="Y25" i="7"/>
  <c r="Y16" i="7"/>
  <c r="Y14" i="7"/>
  <c r="Y6" i="7"/>
  <c r="W24" i="7"/>
  <c r="V22" i="7"/>
  <c r="V16" i="7"/>
  <c r="W31" i="7"/>
  <c r="W27" i="7"/>
  <c r="Y22" i="7"/>
  <c r="Y21" i="7"/>
  <c r="Y19" i="7"/>
  <c r="Y11" i="7"/>
  <c r="Y26" i="7"/>
  <c r="X16" i="7"/>
  <c r="W29" i="7"/>
  <c r="Y34" i="7"/>
  <c r="Y28" i="7"/>
  <c r="Y23" i="7"/>
  <c r="Y18" i="7"/>
  <c r="Y10" i="7"/>
  <c r="Y5" i="7"/>
  <c r="X14" i="7"/>
  <c r="X29" i="7"/>
  <c r="V30" i="7"/>
  <c r="V31" i="7"/>
  <c r="V29" i="7"/>
  <c r="X34" i="7"/>
  <c r="X28" i="7"/>
  <c r="X23" i="7"/>
  <c r="X18" i="7"/>
  <c r="X10" i="7"/>
  <c r="X33" i="7"/>
  <c r="W21" i="7"/>
  <c r="W33" i="7"/>
  <c r="V17" i="7"/>
  <c r="V23" i="7"/>
  <c r="W26" i="7"/>
  <c r="W20" i="7"/>
  <c r="V33" i="7"/>
  <c r="X30" i="7"/>
  <c r="X31" i="7"/>
  <c r="X24" i="7"/>
  <c r="X3" i="7"/>
  <c r="V26" i="7"/>
  <c r="V20" i="7"/>
  <c r="W34" i="7"/>
  <c r="W16" i="7"/>
  <c r="W17" i="7"/>
  <c r="Y33" i="7"/>
  <c r="Y27" i="7"/>
  <c r="Y20" i="7"/>
  <c r="Y13" i="7"/>
  <c r="Y8" i="7"/>
  <c r="V27" i="7"/>
  <c r="Y4" i="7"/>
  <c r="X11" i="7"/>
  <c r="V32" i="7"/>
  <c r="X4" i="7"/>
  <c r="X5" i="7"/>
  <c r="Y30" i="7"/>
  <c r="Y31" i="7"/>
  <c r="Y24" i="7"/>
  <c r="Y15" i="7"/>
  <c r="Y9" i="7"/>
  <c r="Y3" i="7"/>
  <c r="Y2" i="7"/>
  <c r="X15" i="7"/>
  <c r="X9" i="7"/>
  <c r="X2" i="7"/>
  <c r="X27" i="7"/>
  <c r="X20" i="7"/>
  <c r="X13" i="7"/>
  <c r="X8" i="7"/>
  <c r="V28" i="7"/>
  <c r="Y32" i="7"/>
  <c r="Y12" i="7"/>
  <c r="W30" i="7"/>
  <c r="Y17" i="7"/>
  <c r="Y7" i="7"/>
  <c r="W3" i="7"/>
  <c r="W15" i="7"/>
  <c r="V10" i="7"/>
  <c r="W19" i="7"/>
  <c r="W12" i="7"/>
  <c r="V15" i="7"/>
  <c r="W14" i="7"/>
  <c r="W18" i="7"/>
  <c r="V19" i="7"/>
  <c r="W9" i="7"/>
  <c r="V18" i="7"/>
  <c r="W8" i="7"/>
  <c r="W4" i="7"/>
  <c r="V11" i="7"/>
  <c r="W11" i="7"/>
  <c r="V6" i="7"/>
  <c r="W6" i="7"/>
  <c r="W7" i="7"/>
  <c r="V8" i="7"/>
  <c r="W10" i="7"/>
  <c r="V9" i="7"/>
  <c r="W5" i="7"/>
  <c r="V12" i="7"/>
  <c r="V5" i="7"/>
  <c r="V3" i="7"/>
  <c r="W13" i="7"/>
  <c r="V14" i="7"/>
  <c r="V4" i="7"/>
  <c r="V7" i="7"/>
  <c r="W2" i="7"/>
  <c r="V13" i="7"/>
  <c r="V2" i="7"/>
</calcChain>
</file>

<file path=xl/sharedStrings.xml><?xml version="1.0" encoding="utf-8"?>
<sst xmlns="http://schemas.openxmlformats.org/spreadsheetml/2006/main" count="883" uniqueCount="240">
  <si>
    <t>Compound</t>
  </si>
  <si>
    <t>D39_Gal_UT_r1</t>
  </si>
  <si>
    <t>D39_Gal_UT_r2</t>
  </si>
  <si>
    <t>D39_Gal_UT_r3</t>
  </si>
  <si>
    <t>D39_Gal_UT_r4</t>
  </si>
  <si>
    <t>D39_Glc_UT_r1</t>
  </si>
  <si>
    <t>D39_Glc_UT_r2</t>
  </si>
  <si>
    <t>D39_Glc_UT_r3</t>
  </si>
  <si>
    <t>D39_Glc_UT_r4</t>
  </si>
  <si>
    <t>D39_Glc_16_pos_r1</t>
  </si>
  <si>
    <t>D39_Glc_16_pos_r2</t>
  </si>
  <si>
    <t>D39_Glc_16_pos_r3</t>
  </si>
  <si>
    <t>D39_Glc_16_pos_r4</t>
  </si>
  <si>
    <t>D39_Glc_18_pos_r1</t>
  </si>
  <si>
    <t>D39_Glc_18_pos_r2</t>
  </si>
  <si>
    <t>D39_Glc_18_pos_r3</t>
  </si>
  <si>
    <t>D39_Glc_18_pos_r4</t>
  </si>
  <si>
    <t>Ave Gal</t>
  </si>
  <si>
    <t>Ave Glc</t>
  </si>
  <si>
    <t>Ave Glc 16:0</t>
  </si>
  <si>
    <t>Ave Glc 18:1</t>
  </si>
  <si>
    <t>% Gal</t>
  </si>
  <si>
    <t>% Glc</t>
  </si>
  <si>
    <t>%Glc 16:0</t>
  </si>
  <si>
    <t>% Glu 18:1</t>
  </si>
  <si>
    <t>FC gal vs Glc</t>
  </si>
  <si>
    <t>FC 16 vs UT</t>
  </si>
  <si>
    <t>FC 18 vs UT</t>
  </si>
  <si>
    <t>ttest</t>
  </si>
  <si>
    <t>LIPIDMAPS</t>
  </si>
  <si>
    <t>mass/mol</t>
  </si>
  <si>
    <t xml:space="preserve">mol % </t>
  </si>
  <si>
    <t>MGDG 16:0_18:1</t>
  </si>
  <si>
    <t>LMGL05010025</t>
  </si>
  <si>
    <t>DGDG 16:0_16:1</t>
  </si>
  <si>
    <t>LMGL05010082%20</t>
  </si>
  <si>
    <t>DGDG 16:0_18:1</t>
  </si>
  <si>
    <t>MGDG 16:0_16:1</t>
  </si>
  <si>
    <t>PG 16:0_18:1</t>
  </si>
  <si>
    <t>DGDG 16:1_16:1</t>
  </si>
  <si>
    <t>DG 16:0_18:1</t>
  </si>
  <si>
    <t>https://www.lipidmaps.org/databases/lmsd/LMGL02010006</t>
  </si>
  <si>
    <t>DGDG 14:0_16:1</t>
  </si>
  <si>
    <t>MGDG 14:0_16:0</t>
  </si>
  <si>
    <t>MGDG 16:0_16:0</t>
  </si>
  <si>
    <t>DGDG 16:0_16:0</t>
  </si>
  <si>
    <t>DGDG 14:0_16:0</t>
  </si>
  <si>
    <t>PG 16:0_16:1</t>
  </si>
  <si>
    <t>PG 16:0_16:0</t>
  </si>
  <si>
    <t>DG 18:1_18:1</t>
  </si>
  <si>
    <t>MGDG 18:0_18:1</t>
  </si>
  <si>
    <t>PG 14:0_16:0</t>
  </si>
  <si>
    <t>CL 66:2</t>
  </si>
  <si>
    <t>4 lipidmaps possibilities: https://www.lipidmaps.org/quick_search?q=CL%2866%3A2%29</t>
  </si>
  <si>
    <t>DGDG 12:0_16:0</t>
  </si>
  <si>
    <t>CL 68:3</t>
  </si>
  <si>
    <t>12 lipidmaps possibilities https://www.lipidmaps.org/quick_search?q=CL+68%3A3.  this one looks the most sensible to me https://www.lipidmaps.org/databases/lmsd/LMGP12010082</t>
  </si>
  <si>
    <t>PG 18:1_18:1</t>
  </si>
  <si>
    <t>CL 66:3</t>
  </si>
  <si>
    <t>CL 64:2</t>
  </si>
  <si>
    <t>PG 16:1_18:1</t>
  </si>
  <si>
    <t>DGDG 12:0_16:1</t>
  </si>
  <si>
    <t>CL 68:2</t>
  </si>
  <si>
    <t>MGDG 12:0_16:0</t>
  </si>
  <si>
    <t>CL 64:3</t>
  </si>
  <si>
    <t>DGDG 34:3</t>
  </si>
  <si>
    <t>DG 16:1_18:1</t>
  </si>
  <si>
    <t>DG 16:0_18:2</t>
  </si>
  <si>
    <t>DGDG 14:1_16:1</t>
  </si>
  <si>
    <t>DG 14:0_16:0</t>
  </si>
  <si>
    <t>CL 64:1</t>
  </si>
  <si>
    <t>CL 70:3</t>
  </si>
  <si>
    <t>membrane mass</t>
  </si>
  <si>
    <t>DGDG 18:0_18:1</t>
  </si>
  <si>
    <t>MGDG 16:1_16:1</t>
  </si>
  <si>
    <t>MGDG 16:0_18:0</t>
  </si>
  <si>
    <t>PG 16:0_18:0</t>
  </si>
  <si>
    <t>PG 16:1_16:1</t>
  </si>
  <si>
    <t>DGDG 18:1_18:2</t>
  </si>
  <si>
    <t>PG 12:0_16:0</t>
  </si>
  <si>
    <t>CL 68:4</t>
  </si>
  <si>
    <t>CL 66:4</t>
  </si>
  <si>
    <t>CL 66:1</t>
  </si>
  <si>
    <t>CL 70:4</t>
  </si>
  <si>
    <t>CL 16:0_18:1_18:0_18:1</t>
  </si>
  <si>
    <t>MGDG 16:0_18:2</t>
  </si>
  <si>
    <t>PG 14:0_16:1</t>
  </si>
  <si>
    <t>PG 16:1_18:1  RT:10.221</t>
  </si>
  <si>
    <t>CL 72:4</t>
  </si>
  <si>
    <t>DGDG 9:0_16:0</t>
  </si>
  <si>
    <t>DGDG 16:0_18:2</t>
  </si>
  <si>
    <t>DGDG 29:2</t>
  </si>
  <si>
    <t>formula</t>
  </si>
  <si>
    <t xml:space="preserve">mass </t>
  </si>
  <si>
    <t>C43H80O10</t>
  </si>
  <si>
    <t>C47H86O15</t>
  </si>
  <si>
    <t>C49H90O15</t>
  </si>
  <si>
    <t>C41H76O10</t>
  </si>
  <si>
    <t xml:space="preserve">C40H77O10P </t>
  </si>
  <si>
    <t>C47H84O15</t>
  </si>
  <si>
    <t>C37H70O5</t>
  </si>
  <si>
    <t>C45H84O15</t>
  </si>
  <si>
    <t>C39H74O10</t>
  </si>
  <si>
    <t>C41H78O10</t>
  </si>
  <si>
    <t>C47H88O15</t>
  </si>
  <si>
    <t xml:space="preserve">C38H73O10P </t>
  </si>
  <si>
    <t xml:space="preserve">C38H75O10P </t>
  </si>
  <si>
    <t>C39H72O5</t>
  </si>
  <si>
    <t>C45H84O10</t>
  </si>
  <si>
    <t xml:space="preserve">C36H71O10P </t>
  </si>
  <si>
    <t>C75H142O17P2</t>
  </si>
  <si>
    <t>C43H80O15</t>
  </si>
  <si>
    <t>C77H144O17P2</t>
  </si>
  <si>
    <t xml:space="preserve">C42H79O10P </t>
  </si>
  <si>
    <t>C75H140O17P2</t>
  </si>
  <si>
    <t>C73H138O17P2</t>
  </si>
  <si>
    <t xml:space="preserve">C40H75O10P </t>
  </si>
  <si>
    <t>C73H136O17P2</t>
  </si>
  <si>
    <t>C49H86O15</t>
  </si>
  <si>
    <t xml:space="preserve">C37H68O5 </t>
  </si>
  <si>
    <t>C37H68O5</t>
  </si>
  <si>
    <t>C45H80O15</t>
  </si>
  <si>
    <t>C33H64O5</t>
  </si>
  <si>
    <t>C73H140O17P2</t>
  </si>
  <si>
    <t># mol</t>
  </si>
  <si>
    <t>reweighted mol %</t>
  </si>
  <si>
    <t>4000 lipid membrane</t>
  </si>
  <si>
    <t>-</t>
  </si>
  <si>
    <t>n9</t>
  </si>
  <si>
    <t>Processed Lipidomes</t>
  </si>
  <si>
    <t>Growth Media:</t>
  </si>
  <si>
    <t>Galactose:</t>
  </si>
  <si>
    <t>Glucose:</t>
  </si>
  <si>
    <t>Glucose (16:0):</t>
  </si>
  <si>
    <t>Glucose (18:1n9):</t>
  </si>
  <si>
    <t>Increase in 18:1 from Glu to Glu18:1n9</t>
  </si>
  <si>
    <t>Lipid Headgroup</t>
  </si>
  <si>
    <t>Lipid Tails (sn1_sn2)</t>
  </si>
  <si>
    <t>mol %</t>
  </si>
  <si>
    <t># of mol (in 4000)</t>
  </si>
  <si>
    <t># of mol (in 4000, integer)</t>
  </si>
  <si>
    <t>Lipid Tails</t>
  </si>
  <si>
    <t>PG</t>
  </si>
  <si>
    <t>14:0_16:0</t>
  </si>
  <si>
    <t>16:0_16:0</t>
  </si>
  <si>
    <t>16:0_16:1n7</t>
  </si>
  <si>
    <t>DG</t>
  </si>
  <si>
    <t>16:0_18:1n7</t>
  </si>
  <si>
    <t>MGDG</t>
  </si>
  <si>
    <t>12:0_16:0</t>
  </si>
  <si>
    <t>No increase from Glu to Glu18:1</t>
  </si>
  <si>
    <t>16:1n7_18:1n9</t>
  </si>
  <si>
    <t>PG16:1/18:1 not present in glucose only (given 2%mol cutoff), therefore, 100% n9</t>
  </si>
  <si>
    <t>18:1n7_18:1n7</t>
  </si>
  <si>
    <t>18:1n9_18:1n9</t>
  </si>
  <si>
    <t>PG18:1/18:1 not present in glucose only (given 2%mol cutoff), therefore, 100% n9</t>
  </si>
  <si>
    <t>DG16:1/18:1 not present in glucose only (given 2%mol cutoff), therefore, 100% n9</t>
  </si>
  <si>
    <t>DGDG</t>
  </si>
  <si>
    <t>DG 18:1/18:1 proportion of n7 (based on increase of # mol):</t>
  </si>
  <si>
    <t>14:0_16:1</t>
  </si>
  <si>
    <t>n9 population (based on proportion of increase in Glu18:1 media)</t>
  </si>
  <si>
    <t>14:0_16:1n7</t>
  </si>
  <si>
    <t>Total:</t>
  </si>
  <si>
    <t>16:1n7_16:1n7</t>
  </si>
  <si>
    <t>18:0_18:1n7</t>
  </si>
  <si>
    <t>negligible increase in # of mols - simply leave all at n7, easily explained by hard cutoff</t>
  </si>
  <si>
    <t>n7 population based on proportion of increase in Glu18:1 media</t>
  </si>
  <si>
    <t>16:0_18:1n9</t>
  </si>
  <si>
    <t>n9 population based on proportion of increase in Glu18:1 media</t>
  </si>
  <si>
    <t>Tail Mapping (sn1/sn2)</t>
  </si>
  <si>
    <t>A</t>
  </si>
  <si>
    <t>B</t>
  </si>
  <si>
    <t>C</t>
  </si>
  <si>
    <t>D</t>
  </si>
  <si>
    <t>E</t>
  </si>
  <si>
    <t>F</t>
  </si>
  <si>
    <t>G</t>
  </si>
  <si>
    <t>3_4 Sat Beads</t>
  </si>
  <si>
    <t>4_4 Sat Beads</t>
  </si>
  <si>
    <t>3 Sat_4 (C2:Unsat)</t>
  </si>
  <si>
    <t>4Sat_4 (C2:Unsat)</t>
  </si>
  <si>
    <t>4Sat_4 (C3:Unsat)</t>
  </si>
  <si>
    <t>4(C2:Unsat)_4(C2:Unsat)</t>
  </si>
  <si>
    <t>4(C3:Unsat)_4(C3:Unsat)</t>
  </si>
  <si>
    <t>Here, the lipid fatty acid chains are mapped to 7 unique species.</t>
  </si>
  <si>
    <t>CCC_CCCC</t>
  </si>
  <si>
    <t>CCCC_CCCC</t>
  </si>
  <si>
    <t>CCC_CDCC</t>
  </si>
  <si>
    <t>CCCC_CDCC</t>
  </si>
  <si>
    <t>CCCC_CCDC</t>
  </si>
  <si>
    <t>CDCC_CDCC</t>
  </si>
  <si>
    <t>CCDC_CCDC</t>
  </si>
  <si>
    <t>12:0_16:1n7</t>
  </si>
  <si>
    <t>16:0_18:0</t>
  </si>
  <si>
    <t>CG Mapped Lipidomes</t>
  </si>
  <si>
    <t>3 Beads: 12:0, 14:0</t>
  </si>
  <si>
    <t>4 Beads: 16:0, 16:1n7, 18:0, 18:1n7, 18:1n9</t>
  </si>
  <si>
    <t>CG Tails Assignment</t>
  </si>
  <si>
    <t>A (Duplicate - sum)</t>
  </si>
  <si>
    <t>F (Duplicate - sum)</t>
  </si>
  <si>
    <t>A (Duplicate Species - sum)</t>
  </si>
  <si>
    <t>E (Duplicate - sum)</t>
  </si>
  <si>
    <t>D(Duplicate - sum)</t>
  </si>
  <si>
    <t>Consolidated CG Mapped Lipidomes:</t>
  </si>
  <si>
    <t>A (MPPG)</t>
  </si>
  <si>
    <t>B (DPPG)</t>
  </si>
  <si>
    <t>D (POPG)</t>
  </si>
  <si>
    <t>E (PVDG)</t>
  </si>
  <si>
    <t>E (PVPG)</t>
  </si>
  <si>
    <t>A (MGD1)</t>
  </si>
  <si>
    <t>B (MGD2)</t>
  </si>
  <si>
    <t>F (DOPG)</t>
  </si>
  <si>
    <t>G (DVDG)</t>
  </si>
  <si>
    <t>D (MGD4)</t>
  </si>
  <si>
    <t>A (MDG1)</t>
  </si>
  <si>
    <t>E (MGD5)</t>
  </si>
  <si>
    <t>F (DODG)</t>
  </si>
  <si>
    <t>A (DGD1)</t>
  </si>
  <si>
    <t>C (MGD3)</t>
  </si>
  <si>
    <t>C (DGD3)</t>
  </si>
  <si>
    <t>B (DGD2)</t>
  </si>
  <si>
    <t>D (DGD4)</t>
  </si>
  <si>
    <t>E (DGD5)</t>
  </si>
  <si>
    <t>Note MGDG 12:0/16:0 merged with 14:0/16:0 as same CG mapping</t>
  </si>
  <si>
    <t>F (DGD6)</t>
  </si>
  <si>
    <t>Note PG 18:1n9/18:1n9 merged with 16:1n7/18:1n9 as same CG Mapping</t>
  </si>
  <si>
    <t xml:space="preserve">Note DGDG 12:0/16:0 merged with 14:0/16:0 as same CG mapping </t>
  </si>
  <si>
    <t>Note DG 18:1n9/18:1n9 merged with 16:1n7/18:1n9 as same CG mapping</t>
  </si>
  <si>
    <t>Note MGDG 18:0/18:1n7 merged with 16:0/18:1n7 as same CG mapping</t>
  </si>
  <si>
    <t>Note DGDG 16:0/18:1n9 merged with 16:0/16:1n7 as same CG mapping</t>
  </si>
  <si>
    <t>Headgroup Composition</t>
  </si>
  <si>
    <t>Tail Composition</t>
  </si>
  <si>
    <t>14:0</t>
  </si>
  <si>
    <t>12:0+14:0</t>
  </si>
  <si>
    <t>16:0</t>
  </si>
  <si>
    <t>16:1n7</t>
  </si>
  <si>
    <t>16:1n7+18:1n9</t>
  </si>
  <si>
    <t>18:1n7</t>
  </si>
  <si>
    <t>Saturated</t>
  </si>
  <si>
    <t>Unsaturated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</si>
</sst>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theme="5" tint="-0.249977111117893"/>
      <name val="Aptos Narrow"/>
      <family val="2"/>
      <scheme val="minor"/>
    </font>
    <font>
      <b/>
      <sz val="12"/>
      <color theme="9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name val="Aptos Narrow"/>
      <scheme val="minor"/>
    </font>
    <font>
      <sz val="11"/>
      <name val="Aptos Narrow"/>
      <scheme val="minor"/>
    </font>
    <font>
      <sz val="14"/>
      <name val="Aptos Narrow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name val="Aptos Narrow"/>
      <scheme val="minor"/>
    </font>
    <font>
      <sz val="11"/>
      <color theme="1"/>
      <name val="Aptos Narrow"/>
      <scheme val="minor"/>
    </font>
    <font>
      <b/>
      <sz val="18"/>
      <color theme="1"/>
      <name val="Aptos Narrow"/>
      <scheme val="minor"/>
    </font>
    <font>
      <b/>
      <sz val="11"/>
      <color rgb="FF000000"/>
      <name val="Aptos Narrow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5A5FF"/>
        <bgColor indexed="64"/>
      </patternFill>
    </fill>
    <fill>
      <patternFill patternType="solid">
        <fgColor rgb="FFD7D6FD"/>
        <bgColor indexed="64"/>
      </patternFill>
    </fill>
    <fill>
      <patternFill patternType="solid">
        <fgColor rgb="FFC4BFE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0" fontId="0" fillId="3" borderId="0" xfId="0" applyFill="1"/>
    <xf numFmtId="0" fontId="3" fillId="3" borderId="0" xfId="0" applyFont="1" applyFill="1"/>
    <xf numFmtId="0" fontId="5" fillId="0" borderId="0" xfId="0" applyFont="1"/>
    <xf numFmtId="0" fontId="5" fillId="2" borderId="0" xfId="0" applyFont="1" applyFill="1"/>
    <xf numFmtId="0" fontId="5" fillId="0" borderId="7" xfId="0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4" fillId="4" borderId="2" xfId="0" applyFont="1" applyFill="1" applyBorder="1"/>
    <xf numFmtId="0" fontId="4" fillId="4" borderId="0" xfId="0" applyFont="1" applyFill="1"/>
    <xf numFmtId="0" fontId="4" fillId="4" borderId="1" xfId="0" applyFont="1" applyFill="1" applyBorder="1"/>
    <xf numFmtId="0" fontId="4" fillId="4" borderId="3" xfId="0" applyFont="1" applyFill="1" applyBorder="1"/>
    <xf numFmtId="0" fontId="10" fillId="4" borderId="2" xfId="0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11" fillId="0" borderId="0" xfId="1"/>
    <xf numFmtId="1" fontId="9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0" xfId="0" applyFont="1"/>
    <xf numFmtId="1" fontId="10" fillId="4" borderId="2" xfId="0" applyNumberFormat="1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1" fontId="0" fillId="5" borderId="0" xfId="0" applyNumberFormat="1" applyFill="1" applyAlignment="1">
      <alignment horizontal="center"/>
    </xf>
    <xf numFmtId="1" fontId="13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0" borderId="0" xfId="0" applyFont="1"/>
    <xf numFmtId="0" fontId="14" fillId="0" borderId="7" xfId="0" applyFont="1" applyBorder="1"/>
    <xf numFmtId="2" fontId="14" fillId="0" borderId="0" xfId="0" applyNumberFormat="1" applyFont="1"/>
    <xf numFmtId="0" fontId="14" fillId="5" borderId="0" xfId="0" applyFont="1" applyFill="1"/>
    <xf numFmtId="0" fontId="14" fillId="5" borderId="0" xfId="0" applyFont="1" applyFill="1" applyAlignment="1">
      <alignment horizontal="center"/>
    </xf>
    <xf numFmtId="1" fontId="0" fillId="0" borderId="0" xfId="0" applyNumberFormat="1"/>
    <xf numFmtId="0" fontId="14" fillId="0" borderId="2" xfId="0" applyFont="1" applyBorder="1"/>
    <xf numFmtId="0" fontId="15" fillId="0" borderId="2" xfId="0" applyFont="1" applyBorder="1" applyAlignment="1">
      <alignment horizontal="center"/>
    </xf>
    <xf numFmtId="0" fontId="0" fillId="6" borderId="0" xfId="0" applyFill="1"/>
    <xf numFmtId="0" fontId="5" fillId="7" borderId="0" xfId="0" applyFont="1" applyFill="1"/>
    <xf numFmtId="1" fontId="0" fillId="7" borderId="0" xfId="0" applyNumberFormat="1" applyFill="1" applyAlignment="1">
      <alignment horizontal="center"/>
    </xf>
    <xf numFmtId="1" fontId="0" fillId="7" borderId="4" xfId="0" applyNumberForma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2" fontId="9" fillId="7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0" fillId="7" borderId="0" xfId="0" applyFill="1"/>
    <xf numFmtId="1" fontId="3" fillId="7" borderId="0" xfId="0" applyNumberFormat="1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16" fillId="0" borderId="0" xfId="0" applyFont="1"/>
    <xf numFmtId="0" fontId="16" fillId="9" borderId="0" xfId="0" applyFont="1" applyFill="1"/>
    <xf numFmtId="0" fontId="0" fillId="8" borderId="0" xfId="0" applyFill="1"/>
    <xf numFmtId="0" fontId="0" fillId="0" borderId="0" xfId="0" applyAlignment="1">
      <alignment wrapText="1"/>
    </xf>
    <xf numFmtId="0" fontId="17" fillId="0" borderId="0" xfId="0" applyFont="1"/>
    <xf numFmtId="0" fontId="0" fillId="10" borderId="0" xfId="0" applyFill="1"/>
    <xf numFmtId="0" fontId="16" fillId="10" borderId="0" xfId="0" applyFont="1" applyFill="1"/>
    <xf numFmtId="0" fontId="14" fillId="10" borderId="0" xfId="0" applyFont="1" applyFill="1"/>
    <xf numFmtId="0" fontId="18" fillId="10" borderId="0" xfId="0" applyFont="1" applyFill="1"/>
    <xf numFmtId="0" fontId="16" fillId="6" borderId="0" xfId="0" applyFont="1" applyFill="1"/>
    <xf numFmtId="0" fontId="14" fillId="6" borderId="0" xfId="0" applyFont="1" applyFill="1"/>
    <xf numFmtId="0" fontId="18" fillId="6" borderId="0" xfId="0" applyFont="1" applyFill="1"/>
    <xf numFmtId="0" fontId="0" fillId="11" borderId="0" xfId="0" applyFill="1"/>
    <xf numFmtId="0" fontId="16" fillId="12" borderId="0" xfId="0" applyFont="1" applyFill="1"/>
    <xf numFmtId="0" fontId="19" fillId="12" borderId="0" xfId="0" applyFont="1" applyFill="1"/>
    <xf numFmtId="0" fontId="0" fillId="12" borderId="0" xfId="0" applyFill="1"/>
    <xf numFmtId="0" fontId="16" fillId="13" borderId="0" xfId="0" applyFont="1" applyFill="1"/>
    <xf numFmtId="0" fontId="0" fillId="13" borderId="0" xfId="0" applyFill="1"/>
    <xf numFmtId="0" fontId="0" fillId="14" borderId="0" xfId="0" applyFill="1"/>
    <xf numFmtId="0" fontId="19" fillId="14" borderId="0" xfId="0" applyFont="1" applyFill="1"/>
    <xf numFmtId="0" fontId="16" fillId="15" borderId="0" xfId="0" applyFont="1" applyFill="1"/>
    <xf numFmtId="0" fontId="0" fillId="15" borderId="0" xfId="0" applyFill="1"/>
    <xf numFmtId="0" fontId="14" fillId="13" borderId="0" xfId="0" applyFont="1" applyFill="1"/>
    <xf numFmtId="0" fontId="18" fillId="13" borderId="0" xfId="0" applyFont="1" applyFill="1"/>
    <xf numFmtId="0" fontId="16" fillId="16" borderId="0" xfId="0" applyFont="1" applyFill="1"/>
    <xf numFmtId="0" fontId="0" fillId="17" borderId="0" xfId="0" applyFill="1"/>
    <xf numFmtId="20" fontId="0" fillId="17" borderId="0" xfId="0" quotePrefix="1" applyNumberFormat="1" applyFill="1"/>
    <xf numFmtId="0" fontId="0" fillId="17" borderId="0" xfId="0" quotePrefix="1" applyFill="1"/>
    <xf numFmtId="0" fontId="16" fillId="17" borderId="0" xfId="0" applyFont="1" applyFill="1"/>
    <xf numFmtId="0" fontId="20" fillId="0" borderId="0" xfId="0" applyFont="1"/>
    <xf numFmtId="0" fontId="21" fillId="18" borderId="0" xfId="0" applyFont="1" applyFill="1"/>
  </cellXfs>
  <cellStyles count="2">
    <cellStyle name="Hyperlink" xfId="1" builtinId="8"/>
    <cellStyle name="Normal" xfId="0" builtinId="0"/>
  </cellStyles>
  <dxfs count="10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b/>
        <i val="0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C4BFE8"/>
      <color rgb="FFD7D6FD"/>
      <color rgb="FFC5A5FF"/>
      <color rgb="FFE8FEE1"/>
      <color rgb="FFF9FDDF"/>
      <color rgb="FFDCFAFD"/>
      <color rgb="FFC8F0F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D83C-2134-4E7B-9613-3B2C8B2330CE}">
  <dimension ref="A1:AI57"/>
  <sheetViews>
    <sheetView zoomScale="130" zoomScaleNormal="130" workbookViewId="0">
      <selection activeCell="A25" sqref="A25:XFD25"/>
    </sheetView>
  </sheetViews>
  <sheetFormatPr defaultColWidth="8.85546875" defaultRowHeight="15"/>
  <cols>
    <col min="1" max="1" width="21.42578125" bestFit="1" customWidth="1"/>
    <col min="2" max="2" width="14.28515625" style="10" bestFit="1" customWidth="1"/>
    <col min="3" max="5" width="13.7109375" style="10" bestFit="1" customWidth="1"/>
    <col min="6" max="7" width="13.7109375" bestFit="1" customWidth="1"/>
    <col min="8" max="8" width="12.42578125" bestFit="1" customWidth="1"/>
    <col min="9" max="9" width="13.7109375" bestFit="1" customWidth="1"/>
    <col min="10" max="13" width="13.7109375" style="10" bestFit="1" customWidth="1"/>
    <col min="14" max="17" width="13.7109375" bestFit="1" customWidth="1"/>
    <col min="18" max="18" width="13.7109375" style="2" bestFit="1" customWidth="1"/>
    <col min="19" max="19" width="13.7109375" bestFit="1" customWidth="1"/>
    <col min="20" max="20" width="11.42578125" customWidth="1"/>
    <col min="21" max="21" width="11.42578125" style="3" customWidth="1"/>
    <col min="22" max="25" width="18.140625" style="1" customWidth="1"/>
    <col min="26" max="26" width="12.42578125" style="16" customWidth="1"/>
    <col min="27" max="27" width="12.140625" style="16" customWidth="1"/>
    <col min="28" max="28" width="9.140625" style="16"/>
    <col min="29" max="29" width="9.140625" style="3"/>
  </cols>
  <sheetData>
    <row r="1" spans="1:35" s="34" customFormat="1" ht="18.9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5" t="s">
        <v>17</v>
      </c>
      <c r="S1" s="33" t="s">
        <v>18</v>
      </c>
      <c r="T1" s="33" t="s">
        <v>19</v>
      </c>
      <c r="U1" s="36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8" t="s">
        <v>25</v>
      </c>
      <c r="AA1" s="38" t="s">
        <v>26</v>
      </c>
      <c r="AB1" s="38" t="s">
        <v>27</v>
      </c>
      <c r="AC1" s="39" t="s">
        <v>28</v>
      </c>
      <c r="AD1" s="39" t="s">
        <v>28</v>
      </c>
      <c r="AE1" s="39" t="s">
        <v>28</v>
      </c>
      <c r="AG1" s="34" t="s">
        <v>29</v>
      </c>
      <c r="AH1" s="34" t="s">
        <v>30</v>
      </c>
      <c r="AI1" s="34" t="s">
        <v>31</v>
      </c>
    </row>
    <row r="2" spans="1:35" ht="15.95">
      <c r="A2" s="12" t="s">
        <v>32</v>
      </c>
      <c r="B2" s="17">
        <v>11692842</v>
      </c>
      <c r="C2" s="17">
        <v>9388865</v>
      </c>
      <c r="D2" s="17">
        <v>7300850</v>
      </c>
      <c r="E2" s="17">
        <v>10676186</v>
      </c>
      <c r="F2" s="18">
        <v>13679532</v>
      </c>
      <c r="G2" s="18">
        <v>14162836</v>
      </c>
      <c r="H2" s="18">
        <v>8977490</v>
      </c>
      <c r="I2" s="18">
        <v>15946944</v>
      </c>
      <c r="J2" s="17">
        <v>1884061</v>
      </c>
      <c r="K2" s="17">
        <v>6146005</v>
      </c>
      <c r="L2" s="17">
        <v>5166445</v>
      </c>
      <c r="M2" s="17">
        <v>5430870</v>
      </c>
      <c r="N2" s="18">
        <v>6610704</v>
      </c>
      <c r="O2" s="18">
        <v>16124929</v>
      </c>
      <c r="P2" s="18">
        <v>16487926</v>
      </c>
      <c r="Q2" s="18">
        <v>14215271</v>
      </c>
      <c r="R2" s="19">
        <f t="shared" ref="R2:R35" si="0">AVERAGE(B2:E2)</f>
        <v>9764685.75</v>
      </c>
      <c r="S2" s="18">
        <f t="shared" ref="S2:S35" si="1">AVERAGE(F2:I2)</f>
        <v>13191700.5</v>
      </c>
      <c r="T2" s="18">
        <f t="shared" ref="T2:T35" si="2">AVERAGE(J2:M2)</f>
        <v>4656845.25</v>
      </c>
      <c r="U2" s="20">
        <f t="shared" ref="U2:U35" si="3">AVERAGE(N2:Q2)</f>
        <v>13359707.5</v>
      </c>
      <c r="V2" s="31">
        <f t="shared" ref="V2:V35" si="4">R2/SUM(R$2:R$21)*100</f>
        <v>8.1825148263675747</v>
      </c>
      <c r="W2" s="31">
        <f t="shared" ref="W2:W35" si="5">S2/SUM(S$2:S$21)*100</f>
        <v>13.094673454626873</v>
      </c>
      <c r="X2" s="31">
        <f t="shared" ref="X2:X35" si="6">T2/SUM(T$2:T$21)*100</f>
        <v>5.2771202311285492</v>
      </c>
      <c r="Y2" s="31">
        <f t="shared" ref="Y2:Y35" si="7">U2/SUM(U$2:U$21)*100</f>
        <v>11.984910855261404</v>
      </c>
      <c r="Z2" s="16">
        <f t="shared" ref="Z2:Z35" si="8">AVERAGE(B2:E2)/AVERAGE(F2:I2)</f>
        <v>0.74021433021466798</v>
      </c>
      <c r="AA2" s="16">
        <f t="shared" ref="AA2:AA35" si="9">AVERAGE(J2:M2)/AVERAGE(F2:I2)</f>
        <v>0.35301326390786386</v>
      </c>
      <c r="AB2" s="16">
        <f t="shared" ref="AB2:AB35" si="10">AVERAGE(N2:Q2)/AVERAGE(F2:I2)</f>
        <v>1.0127358106712625</v>
      </c>
      <c r="AC2" s="28">
        <f t="shared" ref="AC2:AC35" si="11">TTEST(B2:E2,F2:I2,2,2)</f>
        <v>9.9886194714714313E-2</v>
      </c>
      <c r="AD2" s="28">
        <f t="shared" ref="AD2:AD35" si="12">TTEST(J2:M2,F2:I2,2,2)</f>
        <v>2.8773309460923407E-3</v>
      </c>
      <c r="AE2" s="28">
        <f t="shared" ref="AE2:AE35" si="13">TTEST(N2:Q2,F2:I2,2,2)</f>
        <v>0.9531386656019798</v>
      </c>
      <c r="AF2" s="29">
        <v>1</v>
      </c>
      <c r="AG2" t="s">
        <v>33</v>
      </c>
    </row>
    <row r="3" spans="1:35" ht="15.95">
      <c r="A3" s="12" t="s">
        <v>34</v>
      </c>
      <c r="B3" s="17">
        <v>21778904</v>
      </c>
      <c r="C3" s="17">
        <v>16034345</v>
      </c>
      <c r="D3" s="17">
        <v>12091663</v>
      </c>
      <c r="E3" s="17">
        <v>17367316</v>
      </c>
      <c r="F3" s="18">
        <v>12106521</v>
      </c>
      <c r="G3" s="18">
        <v>11220059</v>
      </c>
      <c r="H3" s="18">
        <v>8208797</v>
      </c>
      <c r="I3" s="18">
        <v>12222194</v>
      </c>
      <c r="J3" s="17">
        <v>7781796</v>
      </c>
      <c r="K3" s="17">
        <v>11756682</v>
      </c>
      <c r="L3" s="17">
        <v>9777309</v>
      </c>
      <c r="M3" s="17">
        <v>8111074</v>
      </c>
      <c r="N3" s="18">
        <v>7780177</v>
      </c>
      <c r="O3" s="18">
        <v>7501997</v>
      </c>
      <c r="P3" s="18">
        <v>7651721</v>
      </c>
      <c r="Q3" s="18">
        <v>5933130</v>
      </c>
      <c r="R3" s="19">
        <f t="shared" si="0"/>
        <v>16818057</v>
      </c>
      <c r="S3" s="18">
        <f t="shared" si="1"/>
        <v>10939392.75</v>
      </c>
      <c r="T3" s="18">
        <f t="shared" si="2"/>
        <v>9356715.25</v>
      </c>
      <c r="U3" s="20">
        <f t="shared" si="3"/>
        <v>7216756.25</v>
      </c>
      <c r="V3" s="31">
        <f t="shared" si="4"/>
        <v>14.093029133394793</v>
      </c>
      <c r="W3" s="31">
        <f t="shared" si="5"/>
        <v>10.858931784659807</v>
      </c>
      <c r="X3" s="31">
        <f t="shared" si="6"/>
        <v>10.602995953684315</v>
      </c>
      <c r="Y3" s="31">
        <f t="shared" si="7"/>
        <v>6.4741073350895277</v>
      </c>
      <c r="Z3" s="16">
        <f t="shared" si="8"/>
        <v>1.5373848790646996</v>
      </c>
      <c r="AA3" s="16">
        <f t="shared" si="9"/>
        <v>0.85532309368817572</v>
      </c>
      <c r="AB3" s="16">
        <f t="shared" si="10"/>
        <v>0.65970355164366867</v>
      </c>
      <c r="AC3" s="28">
        <f t="shared" si="11"/>
        <v>3.729329341618394E-2</v>
      </c>
      <c r="AD3" s="28">
        <f t="shared" si="12"/>
        <v>0.27158373054516854</v>
      </c>
      <c r="AE3" s="28">
        <f t="shared" si="13"/>
        <v>1.1265021466262008E-2</v>
      </c>
      <c r="AF3" s="29">
        <v>2</v>
      </c>
      <c r="AG3" s="40" t="s">
        <v>35</v>
      </c>
    </row>
    <row r="4" spans="1:35" ht="15.95">
      <c r="A4" s="12" t="s">
        <v>36</v>
      </c>
      <c r="B4" s="17">
        <v>15622825</v>
      </c>
      <c r="C4" s="17">
        <v>12472033</v>
      </c>
      <c r="D4" s="17">
        <v>9626642</v>
      </c>
      <c r="E4" s="17">
        <v>13265749</v>
      </c>
      <c r="F4" s="18">
        <v>10227902</v>
      </c>
      <c r="G4" s="18">
        <v>9722818</v>
      </c>
      <c r="H4" s="18">
        <v>7701730</v>
      </c>
      <c r="I4" s="18">
        <v>10973931</v>
      </c>
      <c r="J4" s="17">
        <v>4018672</v>
      </c>
      <c r="K4" s="17">
        <v>6157792</v>
      </c>
      <c r="L4" s="17">
        <v>4838929</v>
      </c>
      <c r="M4" s="17">
        <v>4464245</v>
      </c>
      <c r="N4" s="18">
        <v>13813286</v>
      </c>
      <c r="O4" s="18">
        <v>14023987</v>
      </c>
      <c r="P4" s="18">
        <v>17798848</v>
      </c>
      <c r="Q4" s="18">
        <v>14777032</v>
      </c>
      <c r="R4" s="19">
        <f t="shared" si="0"/>
        <v>12746812.25</v>
      </c>
      <c r="S4" s="18">
        <f t="shared" si="1"/>
        <v>9656595.25</v>
      </c>
      <c r="T4" s="18">
        <f t="shared" si="2"/>
        <v>4869909.5</v>
      </c>
      <c r="U4" s="20">
        <f t="shared" si="3"/>
        <v>15103288.25</v>
      </c>
      <c r="V4" s="31">
        <f t="shared" si="4"/>
        <v>10.681447708089205</v>
      </c>
      <c r="W4" s="31">
        <f t="shared" si="5"/>
        <v>9.5855694633342345</v>
      </c>
      <c r="X4" s="31">
        <f t="shared" si="6"/>
        <v>5.5185638702971964</v>
      </c>
      <c r="Y4" s="31">
        <f t="shared" si="7"/>
        <v>13.549066347265986</v>
      </c>
      <c r="Z4" s="16">
        <f t="shared" si="8"/>
        <v>1.3200110308030151</v>
      </c>
      <c r="AA4" s="16">
        <f t="shared" si="9"/>
        <v>0.50430916631822176</v>
      </c>
      <c r="AB4" s="16">
        <f t="shared" si="10"/>
        <v>1.5640386553428343</v>
      </c>
      <c r="AC4" s="28">
        <f t="shared" si="11"/>
        <v>7.2630156255740708E-2</v>
      </c>
      <c r="AD4" s="28">
        <f t="shared" si="12"/>
        <v>1.2501612819299992E-3</v>
      </c>
      <c r="AE4" s="28">
        <f t="shared" si="13"/>
        <v>3.3127786427149647E-3</v>
      </c>
      <c r="AF4" s="29">
        <v>3</v>
      </c>
    </row>
    <row r="5" spans="1:35" ht="15.95">
      <c r="A5" s="12" t="s">
        <v>37</v>
      </c>
      <c r="B5" s="17">
        <v>10290653</v>
      </c>
      <c r="C5" s="17">
        <v>7103498</v>
      </c>
      <c r="D5" s="17">
        <v>5299770</v>
      </c>
      <c r="E5" s="17">
        <v>9730302</v>
      </c>
      <c r="F5" s="18">
        <v>10233906</v>
      </c>
      <c r="G5" s="18">
        <v>10116803</v>
      </c>
      <c r="H5" s="18">
        <v>5930644</v>
      </c>
      <c r="I5" s="18">
        <v>11072128</v>
      </c>
      <c r="J5" s="17">
        <v>5350344</v>
      </c>
      <c r="K5" s="17">
        <v>10776097</v>
      </c>
      <c r="L5" s="17">
        <v>8542149</v>
      </c>
      <c r="M5" s="17">
        <v>5639538</v>
      </c>
      <c r="N5" s="18">
        <v>7935910</v>
      </c>
      <c r="O5" s="18">
        <v>9038350</v>
      </c>
      <c r="P5" s="18">
        <v>10516807</v>
      </c>
      <c r="Q5" s="18">
        <v>7648381</v>
      </c>
      <c r="R5" s="19">
        <f t="shared" si="0"/>
        <v>8106055.75</v>
      </c>
      <c r="S5" s="18">
        <f t="shared" si="1"/>
        <v>9338370.25</v>
      </c>
      <c r="T5" s="18">
        <f t="shared" si="2"/>
        <v>7577032</v>
      </c>
      <c r="U5" s="20">
        <f t="shared" si="3"/>
        <v>8784862</v>
      </c>
      <c r="V5" s="31">
        <f t="shared" si="4"/>
        <v>6.7926324569878886</v>
      </c>
      <c r="W5" s="31">
        <f t="shared" si="5"/>
        <v>9.2696850585830326</v>
      </c>
      <c r="X5" s="31">
        <f t="shared" si="6"/>
        <v>8.5862653175147727</v>
      </c>
      <c r="Y5" s="31">
        <f t="shared" si="7"/>
        <v>7.880845291393797</v>
      </c>
      <c r="Z5" s="16">
        <f t="shared" si="8"/>
        <v>0.86803751971603393</v>
      </c>
      <c r="AA5" s="16">
        <f t="shared" si="9"/>
        <v>0.81138697622317979</v>
      </c>
      <c r="AB5" s="16">
        <f t="shared" si="10"/>
        <v>0.94072753219438909</v>
      </c>
      <c r="AC5" s="28">
        <f t="shared" si="11"/>
        <v>0.48110345586009451</v>
      </c>
      <c r="AD5" s="28">
        <f t="shared" si="12"/>
        <v>0.34783908315111389</v>
      </c>
      <c r="AE5" s="28">
        <f t="shared" si="13"/>
        <v>0.69091388884336857</v>
      </c>
      <c r="AF5" s="29">
        <v>4</v>
      </c>
    </row>
    <row r="6" spans="1:35" s="75" customFormat="1" ht="15.95">
      <c r="A6" s="67" t="s">
        <v>38</v>
      </c>
      <c r="B6" s="68">
        <v>5940958</v>
      </c>
      <c r="C6" s="68">
        <v>3644429</v>
      </c>
      <c r="D6" s="68">
        <v>2720653</v>
      </c>
      <c r="E6" s="68">
        <v>5252826</v>
      </c>
      <c r="F6" s="68">
        <v>7956608</v>
      </c>
      <c r="G6" s="68">
        <v>6746663</v>
      </c>
      <c r="H6" s="68">
        <v>3888183</v>
      </c>
      <c r="I6" s="68">
        <v>7181884</v>
      </c>
      <c r="J6" s="68">
        <v>850983</v>
      </c>
      <c r="K6" s="68">
        <v>2325724</v>
      </c>
      <c r="L6" s="68">
        <v>1490339</v>
      </c>
      <c r="M6" s="68">
        <v>2299630</v>
      </c>
      <c r="N6" s="68">
        <v>11343892</v>
      </c>
      <c r="O6" s="68">
        <v>10254336</v>
      </c>
      <c r="P6" s="68">
        <v>14723027</v>
      </c>
      <c r="Q6" s="68">
        <v>10108022</v>
      </c>
      <c r="R6" s="69">
        <f t="shared" si="0"/>
        <v>4389716.5</v>
      </c>
      <c r="S6" s="68">
        <f t="shared" si="1"/>
        <v>6443334.5</v>
      </c>
      <c r="T6" s="68">
        <f t="shared" si="2"/>
        <v>1741669</v>
      </c>
      <c r="U6" s="70">
        <f t="shared" si="3"/>
        <v>11607319.25</v>
      </c>
      <c r="V6" s="71">
        <f t="shared" si="4"/>
        <v>3.6784512338044655</v>
      </c>
      <c r="W6" s="71">
        <f t="shared" si="5"/>
        <v>6.3959427547973462</v>
      </c>
      <c r="X6" s="71">
        <f t="shared" si="6"/>
        <v>1.9736530252598428</v>
      </c>
      <c r="Y6" s="71">
        <f t="shared" si="7"/>
        <v>10.412854209555835</v>
      </c>
      <c r="Z6" s="72">
        <f t="shared" si="8"/>
        <v>0.68128024394822273</v>
      </c>
      <c r="AA6" s="72">
        <f t="shared" si="9"/>
        <v>0.27030553822713999</v>
      </c>
      <c r="AB6" s="72">
        <f t="shared" si="10"/>
        <v>1.8014460137061019</v>
      </c>
      <c r="AC6" s="73">
        <f t="shared" si="11"/>
        <v>0.12514462460690154</v>
      </c>
      <c r="AD6" s="73">
        <f t="shared" si="12"/>
        <v>2.6607651692705245E-3</v>
      </c>
      <c r="AE6" s="73">
        <f t="shared" si="13"/>
        <v>1.002879594663823E-2</v>
      </c>
      <c r="AF6" s="74">
        <v>5</v>
      </c>
    </row>
    <row r="7" spans="1:35" ht="15.95">
      <c r="A7" s="12" t="s">
        <v>39</v>
      </c>
      <c r="B7" s="17">
        <v>6330005</v>
      </c>
      <c r="C7" s="17">
        <v>4399719</v>
      </c>
      <c r="D7" s="17">
        <v>3155481</v>
      </c>
      <c r="E7" s="17">
        <v>5303846</v>
      </c>
      <c r="F7" s="18">
        <v>7244804</v>
      </c>
      <c r="G7" s="18">
        <v>5946580</v>
      </c>
      <c r="H7" s="18">
        <v>4394971</v>
      </c>
      <c r="I7" s="18">
        <v>6735863</v>
      </c>
      <c r="J7" s="17">
        <v>1790396</v>
      </c>
      <c r="K7" s="17">
        <v>2475508</v>
      </c>
      <c r="L7" s="17">
        <v>1702005</v>
      </c>
      <c r="M7" s="17">
        <v>1749198</v>
      </c>
      <c r="N7" s="18">
        <v>1992099</v>
      </c>
      <c r="O7" s="18">
        <v>1416923</v>
      </c>
      <c r="P7" s="18">
        <v>4911534</v>
      </c>
      <c r="Q7" s="18">
        <v>3051662</v>
      </c>
      <c r="R7" s="19">
        <f t="shared" si="0"/>
        <v>4797262.75</v>
      </c>
      <c r="S7" s="18">
        <f t="shared" si="1"/>
        <v>6080554.5</v>
      </c>
      <c r="T7" s="18">
        <f t="shared" si="2"/>
        <v>1929276.75</v>
      </c>
      <c r="U7" s="20">
        <f t="shared" si="3"/>
        <v>2843054.5</v>
      </c>
      <c r="V7" s="31">
        <f t="shared" si="4"/>
        <v>4.0199628111796519</v>
      </c>
      <c r="W7" s="31">
        <f t="shared" si="5"/>
        <v>6.0358310591240283</v>
      </c>
      <c r="X7" s="31">
        <f t="shared" si="6"/>
        <v>2.186249450498905</v>
      </c>
      <c r="Y7" s="31">
        <f t="shared" si="7"/>
        <v>2.5504865835685235</v>
      </c>
      <c r="Z7" s="16">
        <f t="shared" si="8"/>
        <v>0.78895152572022831</v>
      </c>
      <c r="AA7" s="16">
        <f t="shared" si="9"/>
        <v>0.31728631821324849</v>
      </c>
      <c r="AB7" s="16">
        <f t="shared" si="10"/>
        <v>0.46756500579017918</v>
      </c>
      <c r="AC7" s="28">
        <f t="shared" si="11"/>
        <v>0.21145176236421831</v>
      </c>
      <c r="AD7" s="28">
        <f t="shared" si="12"/>
        <v>6.8459053943411825E-4</v>
      </c>
      <c r="AE7" s="28">
        <f t="shared" si="13"/>
        <v>1.6920310933546831E-2</v>
      </c>
      <c r="AF7" s="29">
        <v>6</v>
      </c>
    </row>
    <row r="8" spans="1:35" ht="15.95">
      <c r="A8" s="13" t="s">
        <v>40</v>
      </c>
      <c r="B8" s="17">
        <v>5480786</v>
      </c>
      <c r="C8" s="17">
        <v>4339254</v>
      </c>
      <c r="D8" s="17">
        <v>2926277</v>
      </c>
      <c r="E8" s="17">
        <v>6126777</v>
      </c>
      <c r="F8" s="18">
        <v>6851786</v>
      </c>
      <c r="G8" s="18">
        <v>5162229</v>
      </c>
      <c r="H8" s="18">
        <v>2973525</v>
      </c>
      <c r="I8" s="18">
        <v>5153194</v>
      </c>
      <c r="J8" s="17">
        <v>1102293</v>
      </c>
      <c r="K8" s="17">
        <v>3649651</v>
      </c>
      <c r="L8" s="17">
        <v>2514999</v>
      </c>
      <c r="M8" s="17">
        <v>2037408</v>
      </c>
      <c r="N8" s="18">
        <v>6126896</v>
      </c>
      <c r="O8" s="18">
        <v>6473213</v>
      </c>
      <c r="P8" s="18">
        <v>6159136</v>
      </c>
      <c r="Q8" s="18">
        <v>4204576</v>
      </c>
      <c r="R8" s="19">
        <f t="shared" si="0"/>
        <v>4718273.5</v>
      </c>
      <c r="S8" s="18">
        <f t="shared" si="1"/>
        <v>5035183.5</v>
      </c>
      <c r="T8" s="18">
        <f t="shared" si="2"/>
        <v>2326087.75</v>
      </c>
      <c r="U8" s="20">
        <f t="shared" si="3"/>
        <v>5740955.25</v>
      </c>
      <c r="V8" s="31">
        <f t="shared" si="4"/>
        <v>3.9537721803906725</v>
      </c>
      <c r="W8" s="31">
        <f t="shared" si="5"/>
        <v>4.9981489283072511</v>
      </c>
      <c r="X8" s="31">
        <f t="shared" si="6"/>
        <v>2.635914243640646</v>
      </c>
      <c r="Y8" s="31">
        <f t="shared" si="7"/>
        <v>5.1501753983232748</v>
      </c>
      <c r="Z8" s="16">
        <f t="shared" si="8"/>
        <v>0.93706088367981033</v>
      </c>
      <c r="AA8" s="16">
        <f t="shared" si="9"/>
        <v>0.46196682802126277</v>
      </c>
      <c r="AB8" s="16">
        <f t="shared" si="10"/>
        <v>1.1401680296259311</v>
      </c>
      <c r="AC8" s="28">
        <f t="shared" si="11"/>
        <v>0.77518790712275065</v>
      </c>
      <c r="AD8" s="28">
        <f t="shared" si="12"/>
        <v>2.9717456171879916E-2</v>
      </c>
      <c r="AE8" s="28">
        <f t="shared" si="13"/>
        <v>0.48503104079929604</v>
      </c>
      <c r="AF8" s="29">
        <v>7</v>
      </c>
      <c r="AG8" t="s">
        <v>41</v>
      </c>
    </row>
    <row r="9" spans="1:35" ht="15.95">
      <c r="A9" s="12" t="s">
        <v>42</v>
      </c>
      <c r="B9" s="17">
        <v>9801780</v>
      </c>
      <c r="C9" s="17">
        <v>6742642</v>
      </c>
      <c r="D9" s="17">
        <v>4709527</v>
      </c>
      <c r="E9" s="17">
        <v>7725198</v>
      </c>
      <c r="F9" s="18">
        <v>5375659</v>
      </c>
      <c r="G9" s="18">
        <v>4910052</v>
      </c>
      <c r="H9" s="18">
        <v>3661563</v>
      </c>
      <c r="I9" s="18">
        <v>5172534</v>
      </c>
      <c r="J9" s="17">
        <v>6161827</v>
      </c>
      <c r="K9" s="17">
        <v>9890068</v>
      </c>
      <c r="L9" s="17">
        <v>9269703</v>
      </c>
      <c r="M9" s="17">
        <v>5509693</v>
      </c>
      <c r="N9" s="18">
        <v>4204978</v>
      </c>
      <c r="O9" s="18">
        <v>4145880</v>
      </c>
      <c r="P9" s="18">
        <v>4862001</v>
      </c>
      <c r="Q9" s="18">
        <v>3929052</v>
      </c>
      <c r="R9" s="19">
        <f t="shared" si="0"/>
        <v>7244786.75</v>
      </c>
      <c r="S9" s="18">
        <f t="shared" si="1"/>
        <v>4779952</v>
      </c>
      <c r="T9" s="18">
        <f t="shared" si="2"/>
        <v>7707822.75</v>
      </c>
      <c r="U9" s="20">
        <f t="shared" si="3"/>
        <v>4285477.75</v>
      </c>
      <c r="V9" s="31">
        <f t="shared" si="4"/>
        <v>6.0709147752907828</v>
      </c>
      <c r="W9" s="31">
        <f t="shared" si="5"/>
        <v>4.744794696391919</v>
      </c>
      <c r="X9" s="31">
        <f t="shared" si="6"/>
        <v>8.734476923401715</v>
      </c>
      <c r="Y9" s="31">
        <f t="shared" si="7"/>
        <v>3.8444755475339725</v>
      </c>
      <c r="Z9" s="16">
        <f t="shared" si="8"/>
        <v>1.5156609836249402</v>
      </c>
      <c r="AA9" s="16">
        <f t="shared" si="9"/>
        <v>1.61253141244933</v>
      </c>
      <c r="AB9" s="16">
        <f t="shared" si="10"/>
        <v>0.89655246538040545</v>
      </c>
      <c r="AC9" s="28">
        <f t="shared" si="11"/>
        <v>7.1247906561023699E-2</v>
      </c>
      <c r="AD9" s="28">
        <f t="shared" si="12"/>
        <v>4.5293790792810193E-2</v>
      </c>
      <c r="AE9" s="28">
        <f t="shared" si="13"/>
        <v>0.2981717377716972</v>
      </c>
      <c r="AF9" s="29">
        <v>8</v>
      </c>
    </row>
    <row r="10" spans="1:35" ht="15.95">
      <c r="A10" s="12" t="s">
        <v>43</v>
      </c>
      <c r="B10" s="17">
        <v>8030232</v>
      </c>
      <c r="C10" s="17">
        <v>5367159</v>
      </c>
      <c r="D10" s="17">
        <v>3674692</v>
      </c>
      <c r="E10" s="17">
        <v>7680574</v>
      </c>
      <c r="F10" s="18">
        <v>4920892</v>
      </c>
      <c r="G10" s="18">
        <v>4530157</v>
      </c>
      <c r="H10" s="18">
        <v>2358727</v>
      </c>
      <c r="I10" s="18">
        <v>4828799</v>
      </c>
      <c r="J10" s="17">
        <v>1655216</v>
      </c>
      <c r="K10" s="17">
        <v>3375488</v>
      </c>
      <c r="L10" s="17">
        <v>2860828</v>
      </c>
      <c r="M10" s="17">
        <v>1811096</v>
      </c>
      <c r="N10" s="18">
        <v>3632918</v>
      </c>
      <c r="O10" s="18">
        <v>4057919</v>
      </c>
      <c r="P10" s="18">
        <v>4727196</v>
      </c>
      <c r="Q10" s="18">
        <v>3434380</v>
      </c>
      <c r="R10" s="19">
        <f t="shared" si="0"/>
        <v>6188164.25</v>
      </c>
      <c r="S10" s="18">
        <f t="shared" si="1"/>
        <v>4159643.75</v>
      </c>
      <c r="T10" s="18">
        <f t="shared" si="2"/>
        <v>2425657</v>
      </c>
      <c r="U10" s="20">
        <f t="shared" si="3"/>
        <v>3963103.25</v>
      </c>
      <c r="V10" s="31">
        <f t="shared" si="4"/>
        <v>5.185496699023088</v>
      </c>
      <c r="W10" s="31">
        <f t="shared" si="5"/>
        <v>4.1290489117630873</v>
      </c>
      <c r="X10" s="31">
        <f t="shared" si="6"/>
        <v>2.7487457584034134</v>
      </c>
      <c r="Y10" s="31">
        <f t="shared" si="7"/>
        <v>3.5552753802017554</v>
      </c>
      <c r="Z10" s="16">
        <f t="shared" si="8"/>
        <v>1.4876668825305053</v>
      </c>
      <c r="AA10" s="16">
        <f t="shared" si="9"/>
        <v>0.58314056341964382</v>
      </c>
      <c r="AB10" s="16">
        <f t="shared" si="10"/>
        <v>0.95275064120575226</v>
      </c>
      <c r="AC10" s="28">
        <f t="shared" si="11"/>
        <v>0.13940319151360278</v>
      </c>
      <c r="AD10" s="28">
        <f t="shared" si="12"/>
        <v>5.6179742263085558E-2</v>
      </c>
      <c r="AE10" s="28">
        <f t="shared" si="13"/>
        <v>0.77918946200556516</v>
      </c>
      <c r="AF10" s="29">
        <v>9</v>
      </c>
    </row>
    <row r="11" spans="1:35" ht="15.95">
      <c r="A11" s="12" t="s">
        <v>44</v>
      </c>
      <c r="B11" s="17">
        <v>5801717</v>
      </c>
      <c r="C11" s="17">
        <v>3770232</v>
      </c>
      <c r="D11" s="17">
        <v>2801878</v>
      </c>
      <c r="E11" s="17">
        <v>4516585</v>
      </c>
      <c r="F11" s="18">
        <v>4526236</v>
      </c>
      <c r="G11" s="18">
        <v>4572414</v>
      </c>
      <c r="H11" s="18">
        <v>2334010</v>
      </c>
      <c r="I11" s="18">
        <v>3905474</v>
      </c>
      <c r="J11" s="17">
        <v>8808574</v>
      </c>
      <c r="K11" s="17">
        <v>12147702</v>
      </c>
      <c r="L11" s="17">
        <v>12648281</v>
      </c>
      <c r="M11" s="17">
        <v>6796108</v>
      </c>
      <c r="N11" s="18">
        <v>4736349</v>
      </c>
      <c r="O11" s="18">
        <v>5080665</v>
      </c>
      <c r="P11" s="18">
        <v>4954127</v>
      </c>
      <c r="Q11" s="18">
        <v>3654879</v>
      </c>
      <c r="R11" s="19">
        <f t="shared" si="0"/>
        <v>4222603</v>
      </c>
      <c r="S11" s="18">
        <f t="shared" si="1"/>
        <v>3834533.5</v>
      </c>
      <c r="T11" s="18">
        <f t="shared" si="2"/>
        <v>10100166.25</v>
      </c>
      <c r="U11" s="20">
        <f t="shared" si="3"/>
        <v>4606505</v>
      </c>
      <c r="V11" s="31">
        <f t="shared" si="4"/>
        <v>3.538415115239546</v>
      </c>
      <c r="W11" s="31">
        <f t="shared" si="5"/>
        <v>3.8063298991155445</v>
      </c>
      <c r="X11" s="31">
        <f t="shared" si="6"/>
        <v>11.44547194383081</v>
      </c>
      <c r="Y11" s="31">
        <f t="shared" si="7"/>
        <v>4.132467105235345</v>
      </c>
      <c r="Z11" s="16">
        <f t="shared" si="8"/>
        <v>1.1012038361380856</v>
      </c>
      <c r="AA11" s="16">
        <f t="shared" si="9"/>
        <v>2.6340013068082468</v>
      </c>
      <c r="AB11" s="16">
        <f t="shared" si="10"/>
        <v>1.2013208386365644</v>
      </c>
      <c r="AC11" s="28">
        <f t="shared" si="11"/>
        <v>0.65303085600935706</v>
      </c>
      <c r="AD11" s="28">
        <f t="shared" si="12"/>
        <v>5.6085203954637213E-3</v>
      </c>
      <c r="AE11" s="28">
        <f t="shared" si="13"/>
        <v>0.2564837896279672</v>
      </c>
      <c r="AF11" s="29">
        <v>10</v>
      </c>
    </row>
    <row r="12" spans="1:35" ht="15.95">
      <c r="A12" s="12" t="s">
        <v>45</v>
      </c>
      <c r="B12" s="17">
        <v>8630417</v>
      </c>
      <c r="C12" s="17">
        <v>6641513</v>
      </c>
      <c r="D12" s="17">
        <v>5214596</v>
      </c>
      <c r="E12" s="17">
        <v>6934950</v>
      </c>
      <c r="F12" s="18">
        <v>3925474</v>
      </c>
      <c r="G12" s="18">
        <v>3795256</v>
      </c>
      <c r="H12" s="18">
        <v>2639523</v>
      </c>
      <c r="I12" s="18">
        <v>3945176</v>
      </c>
      <c r="J12" s="17">
        <v>7265313</v>
      </c>
      <c r="K12" s="17">
        <v>11406378</v>
      </c>
      <c r="L12" s="17">
        <v>10349323</v>
      </c>
      <c r="M12" s="17">
        <v>6163071</v>
      </c>
      <c r="N12" s="18">
        <v>3000746</v>
      </c>
      <c r="O12" s="18">
        <v>3286209</v>
      </c>
      <c r="P12" s="18">
        <v>3018468</v>
      </c>
      <c r="Q12" s="18">
        <v>2648114</v>
      </c>
      <c r="R12" s="19">
        <f t="shared" si="0"/>
        <v>6855369</v>
      </c>
      <c r="S12" s="18">
        <f t="shared" si="1"/>
        <v>3576357.25</v>
      </c>
      <c r="T12" s="18">
        <f t="shared" si="2"/>
        <v>8796021.25</v>
      </c>
      <c r="U12" s="20">
        <f t="shared" si="3"/>
        <v>2988384.25</v>
      </c>
      <c r="V12" s="31">
        <f t="shared" si="4"/>
        <v>5.7445943391184562</v>
      </c>
      <c r="W12" s="31">
        <f t="shared" si="5"/>
        <v>3.5500525763026052</v>
      </c>
      <c r="X12" s="31">
        <f t="shared" si="6"/>
        <v>9.9676195363828395</v>
      </c>
      <c r="Y12" s="31">
        <f t="shared" si="7"/>
        <v>2.6808610021976311</v>
      </c>
      <c r="Z12" s="16">
        <f t="shared" si="8"/>
        <v>1.9168579984563903</v>
      </c>
      <c r="AA12" s="16">
        <f t="shared" si="9"/>
        <v>2.4594917775622109</v>
      </c>
      <c r="AB12" s="16">
        <f t="shared" si="10"/>
        <v>0.83559444459862053</v>
      </c>
      <c r="AC12" s="28">
        <f t="shared" si="11"/>
        <v>5.266733821686108E-3</v>
      </c>
      <c r="AD12" s="28">
        <f t="shared" si="12"/>
        <v>6.5367464807129082E-3</v>
      </c>
      <c r="AE12" s="28">
        <f t="shared" si="13"/>
        <v>0.13469045040320959</v>
      </c>
      <c r="AF12" s="29">
        <v>11</v>
      </c>
    </row>
    <row r="13" spans="1:35" ht="15.95">
      <c r="A13" s="12" t="s">
        <v>46</v>
      </c>
      <c r="B13" s="17">
        <v>11025794</v>
      </c>
      <c r="C13" s="17">
        <v>8522865</v>
      </c>
      <c r="D13" s="17">
        <v>6868545</v>
      </c>
      <c r="E13" s="17">
        <v>9220639</v>
      </c>
      <c r="F13" s="18">
        <v>3760622</v>
      </c>
      <c r="G13" s="18">
        <v>3538973</v>
      </c>
      <c r="H13" s="18">
        <v>2757602</v>
      </c>
      <c r="I13" s="18">
        <v>4085641</v>
      </c>
      <c r="J13" s="17">
        <v>2231971</v>
      </c>
      <c r="K13" s="17">
        <v>3560504</v>
      </c>
      <c r="L13" s="17">
        <v>2823035</v>
      </c>
      <c r="M13" s="17">
        <v>2082457</v>
      </c>
      <c r="N13" s="18">
        <v>2490523</v>
      </c>
      <c r="O13" s="18">
        <v>2679207</v>
      </c>
      <c r="P13" s="18">
        <v>2760879</v>
      </c>
      <c r="Q13" s="18">
        <v>2501971</v>
      </c>
      <c r="R13" s="19">
        <f t="shared" si="0"/>
        <v>8909460.75</v>
      </c>
      <c r="S13" s="18">
        <f t="shared" si="1"/>
        <v>3535709.5</v>
      </c>
      <c r="T13" s="18">
        <f t="shared" si="2"/>
        <v>2674491.75</v>
      </c>
      <c r="U13" s="20">
        <f t="shared" si="3"/>
        <v>2608145</v>
      </c>
      <c r="V13" s="31">
        <f t="shared" si="4"/>
        <v>7.4658618360365541</v>
      </c>
      <c r="W13" s="31">
        <f t="shared" si="5"/>
        <v>3.5097037969382385</v>
      </c>
      <c r="X13" s="31">
        <f t="shared" si="6"/>
        <v>3.0307243990792689</v>
      </c>
      <c r="Y13" s="31">
        <f t="shared" si="7"/>
        <v>2.3397507260241852</v>
      </c>
      <c r="Z13" s="16">
        <f t="shared" si="8"/>
        <v>2.5198508955557575</v>
      </c>
      <c r="AA13" s="16">
        <f t="shared" si="9"/>
        <v>0.75642293293609109</v>
      </c>
      <c r="AB13" s="16">
        <f t="shared" si="10"/>
        <v>0.73765817016358382</v>
      </c>
      <c r="AC13" s="28">
        <f t="shared" si="11"/>
        <v>1.0242418598999277E-3</v>
      </c>
      <c r="AD13" s="28">
        <f t="shared" si="12"/>
        <v>9.7411546776594679E-2</v>
      </c>
      <c r="AE13" s="28">
        <f t="shared" si="13"/>
        <v>1.8738177551904982E-2</v>
      </c>
      <c r="AF13" s="29">
        <v>12</v>
      </c>
    </row>
    <row r="14" spans="1:35" ht="15.95">
      <c r="A14" s="13" t="s">
        <v>47</v>
      </c>
      <c r="B14" s="17">
        <v>5162352</v>
      </c>
      <c r="C14" s="17">
        <v>3159978</v>
      </c>
      <c r="D14" s="17">
        <v>2535349</v>
      </c>
      <c r="E14" s="17">
        <v>4817825</v>
      </c>
      <c r="F14" s="18">
        <v>4372995</v>
      </c>
      <c r="G14" s="18">
        <v>3541572</v>
      </c>
      <c r="H14" s="18">
        <v>1862706</v>
      </c>
      <c r="I14" s="18">
        <v>3979325</v>
      </c>
      <c r="J14" s="17">
        <v>1280765</v>
      </c>
      <c r="K14" s="17">
        <v>2253669</v>
      </c>
      <c r="L14" s="17">
        <v>1362778</v>
      </c>
      <c r="M14" s="17">
        <v>1478910</v>
      </c>
      <c r="N14" s="18">
        <v>4983471</v>
      </c>
      <c r="O14" s="18">
        <v>4666028</v>
      </c>
      <c r="P14" s="18">
        <v>7713625</v>
      </c>
      <c r="Q14" s="18">
        <v>4575385</v>
      </c>
      <c r="R14" s="19">
        <f t="shared" si="0"/>
        <v>3918876</v>
      </c>
      <c r="S14" s="18">
        <f t="shared" si="1"/>
        <v>3439149.5</v>
      </c>
      <c r="T14" s="18">
        <f t="shared" si="2"/>
        <v>1594030.5</v>
      </c>
      <c r="U14" s="20">
        <f t="shared" si="3"/>
        <v>5484627.25</v>
      </c>
      <c r="V14" s="31">
        <f t="shared" si="4"/>
        <v>3.2839009665719203</v>
      </c>
      <c r="W14" s="31">
        <f t="shared" si="5"/>
        <v>3.4138540110233158</v>
      </c>
      <c r="X14" s="31">
        <f t="shared" si="6"/>
        <v>1.8063496098750451</v>
      </c>
      <c r="Y14" s="31">
        <f t="shared" si="7"/>
        <v>4.9202251370838388</v>
      </c>
      <c r="Z14" s="16">
        <f t="shared" si="8"/>
        <v>1.139489865154161</v>
      </c>
      <c r="AA14" s="16">
        <f t="shared" si="9"/>
        <v>0.46349555318836821</v>
      </c>
      <c r="AB14" s="16">
        <f t="shared" si="10"/>
        <v>1.5947626731550926</v>
      </c>
      <c r="AC14" s="28">
        <f t="shared" si="11"/>
        <v>0.58945153270421202</v>
      </c>
      <c r="AD14" s="28">
        <f t="shared" si="12"/>
        <v>2.1198653446182471E-2</v>
      </c>
      <c r="AE14" s="28">
        <f t="shared" si="13"/>
        <v>7.0127111938664222E-2</v>
      </c>
      <c r="AF14" s="29">
        <v>13</v>
      </c>
    </row>
    <row r="15" spans="1:35" ht="15.95">
      <c r="A15" s="13" t="s">
        <v>48</v>
      </c>
      <c r="B15" s="17">
        <v>5814899</v>
      </c>
      <c r="C15" s="17">
        <v>3285789</v>
      </c>
      <c r="D15" s="17">
        <v>2055852</v>
      </c>
      <c r="E15" s="17">
        <v>4336944</v>
      </c>
      <c r="F15" s="18">
        <v>3286600</v>
      </c>
      <c r="G15" s="18">
        <v>3860276</v>
      </c>
      <c r="H15" s="18">
        <v>1879028</v>
      </c>
      <c r="I15" s="18">
        <v>3434663</v>
      </c>
      <c r="J15" s="17">
        <v>11105872</v>
      </c>
      <c r="K15" s="17">
        <v>13684870</v>
      </c>
      <c r="L15" s="17">
        <v>14766872</v>
      </c>
      <c r="M15" s="17">
        <v>12827336</v>
      </c>
      <c r="N15" s="18">
        <v>5906743</v>
      </c>
      <c r="O15" s="18">
        <v>5225567</v>
      </c>
      <c r="P15" s="18">
        <v>6213890</v>
      </c>
      <c r="Q15" s="18">
        <v>3751252</v>
      </c>
      <c r="R15" s="19">
        <f t="shared" si="0"/>
        <v>3873371</v>
      </c>
      <c r="S15" s="18">
        <f t="shared" si="1"/>
        <v>3115141.75</v>
      </c>
      <c r="T15" s="18">
        <f t="shared" si="2"/>
        <v>13096237.5</v>
      </c>
      <c r="U15" s="20">
        <f t="shared" si="3"/>
        <v>5274363</v>
      </c>
      <c r="V15" s="31">
        <f t="shared" si="4"/>
        <v>3.2457691365564116</v>
      </c>
      <c r="W15" s="31">
        <f t="shared" si="5"/>
        <v>3.0922293893137507</v>
      </c>
      <c r="X15" s="31">
        <f t="shared" si="6"/>
        <v>14.840609071756115</v>
      </c>
      <c r="Y15" s="31">
        <f t="shared" si="7"/>
        <v>4.731598380674809</v>
      </c>
      <c r="Z15" s="16">
        <f t="shared" si="8"/>
        <v>1.2434012031715731</v>
      </c>
      <c r="AA15" s="16">
        <f t="shared" si="9"/>
        <v>4.2040582904453707</v>
      </c>
      <c r="AB15" s="16">
        <f t="shared" si="10"/>
        <v>1.6931373989642686</v>
      </c>
      <c r="AC15" s="28">
        <f t="shared" si="11"/>
        <v>0.43465963007688024</v>
      </c>
      <c r="AD15" s="28">
        <f t="shared" si="12"/>
        <v>2.8948969414846287E-5</v>
      </c>
      <c r="AE15" s="28">
        <f t="shared" si="13"/>
        <v>2.1100880027775718E-2</v>
      </c>
      <c r="AF15" s="29">
        <v>14</v>
      </c>
    </row>
    <row r="16" spans="1:35" ht="15.95">
      <c r="A16" s="13" t="s">
        <v>49</v>
      </c>
      <c r="B16" s="21">
        <v>1493182</v>
      </c>
      <c r="C16" s="21">
        <v>1347536</v>
      </c>
      <c r="D16" s="21">
        <v>1091909</v>
      </c>
      <c r="E16" s="21">
        <v>2784704</v>
      </c>
      <c r="F16" s="22">
        <v>2743862</v>
      </c>
      <c r="G16" s="22">
        <v>1950013</v>
      </c>
      <c r="H16" s="22">
        <v>1346927</v>
      </c>
      <c r="I16" s="22">
        <v>3807538</v>
      </c>
      <c r="J16" s="17">
        <v>478221</v>
      </c>
      <c r="K16" s="17">
        <v>832337</v>
      </c>
      <c r="L16" s="17">
        <v>528322</v>
      </c>
      <c r="M16" s="17">
        <v>796842</v>
      </c>
      <c r="N16" s="18">
        <v>3597165</v>
      </c>
      <c r="O16" s="18">
        <v>4042063</v>
      </c>
      <c r="P16" s="18">
        <v>5029724</v>
      </c>
      <c r="Q16" s="18">
        <v>3962611</v>
      </c>
      <c r="R16" s="19">
        <f t="shared" si="0"/>
        <v>1679332.75</v>
      </c>
      <c r="S16" s="18">
        <f t="shared" si="1"/>
        <v>2462085</v>
      </c>
      <c r="T16" s="18">
        <f t="shared" si="2"/>
        <v>658930.5</v>
      </c>
      <c r="U16" s="20">
        <f t="shared" si="3"/>
        <v>4157890.75</v>
      </c>
      <c r="V16" s="31">
        <f t="shared" si="4"/>
        <v>1.407230655147262</v>
      </c>
      <c r="W16" s="31">
        <f t="shared" si="5"/>
        <v>2.4439759750863814</v>
      </c>
      <c r="X16" s="31">
        <f t="shared" si="6"/>
        <v>0.74669766457402686</v>
      </c>
      <c r="Y16" s="31">
        <f t="shared" si="7"/>
        <v>3.7300180400406204</v>
      </c>
      <c r="Z16" s="16">
        <f t="shared" si="8"/>
        <v>0.68207748717042671</v>
      </c>
      <c r="AA16" s="16">
        <f t="shared" si="9"/>
        <v>0.26763109315884709</v>
      </c>
      <c r="AB16" s="16">
        <f t="shared" si="10"/>
        <v>1.6887681578824452</v>
      </c>
      <c r="AC16" s="28">
        <f t="shared" si="11"/>
        <v>0.27542004170754308</v>
      </c>
      <c r="AD16" s="28">
        <f t="shared" si="12"/>
        <v>1.5581855451485296E-2</v>
      </c>
      <c r="AE16" s="28">
        <f t="shared" si="13"/>
        <v>3.2739097138552171E-2</v>
      </c>
      <c r="AF16" s="29">
        <v>15</v>
      </c>
    </row>
    <row r="17" spans="1:33" ht="15.95">
      <c r="A17" s="12" t="s">
        <v>50</v>
      </c>
      <c r="B17" s="21">
        <v>2887204</v>
      </c>
      <c r="C17" s="21">
        <v>1759697</v>
      </c>
      <c r="D17" s="21">
        <v>1151960</v>
      </c>
      <c r="E17" s="21">
        <v>1448191</v>
      </c>
      <c r="F17" s="22">
        <v>2363801</v>
      </c>
      <c r="G17" s="22">
        <v>2565260</v>
      </c>
      <c r="H17" s="22">
        <v>1589589</v>
      </c>
      <c r="I17" s="22">
        <v>3152036</v>
      </c>
      <c r="J17" s="17">
        <v>194614</v>
      </c>
      <c r="K17" s="17">
        <v>568249</v>
      </c>
      <c r="L17" s="17">
        <v>476927</v>
      </c>
      <c r="M17" s="17">
        <v>661009</v>
      </c>
      <c r="N17" s="18">
        <v>4090109</v>
      </c>
      <c r="O17" s="18">
        <v>3311886</v>
      </c>
      <c r="P17" s="18">
        <v>4491083</v>
      </c>
      <c r="Q17" s="18">
        <v>2857924</v>
      </c>
      <c r="R17" s="19">
        <f t="shared" si="0"/>
        <v>1811763</v>
      </c>
      <c r="S17" s="18">
        <f t="shared" si="1"/>
        <v>2417671.5</v>
      </c>
      <c r="T17" s="18">
        <f t="shared" si="2"/>
        <v>475199.75</v>
      </c>
      <c r="U17" s="20">
        <f t="shared" si="3"/>
        <v>3687750.5</v>
      </c>
      <c r="V17" s="31">
        <f t="shared" si="4"/>
        <v>1.5182032467726057</v>
      </c>
      <c r="W17" s="31">
        <f t="shared" si="5"/>
        <v>2.3998891434093683</v>
      </c>
      <c r="X17" s="31">
        <f t="shared" si="6"/>
        <v>0.53849464174319062</v>
      </c>
      <c r="Y17" s="31">
        <f t="shared" si="7"/>
        <v>3.3082581335665968</v>
      </c>
      <c r="Z17" s="16">
        <f t="shared" si="8"/>
        <v>0.7493834460140677</v>
      </c>
      <c r="AA17" s="16">
        <f t="shared" si="9"/>
        <v>0.19655265407231709</v>
      </c>
      <c r="AB17" s="16">
        <f t="shared" si="10"/>
        <v>1.5253315018190023</v>
      </c>
      <c r="AC17" s="28">
        <f t="shared" si="11"/>
        <v>0.26944156658552332</v>
      </c>
      <c r="AD17" s="28">
        <f t="shared" si="12"/>
        <v>1.2093027347509619E-3</v>
      </c>
      <c r="AE17" s="28">
        <f t="shared" si="13"/>
        <v>4.1241008045922754E-2</v>
      </c>
      <c r="AF17" s="29">
        <v>16</v>
      </c>
    </row>
    <row r="18" spans="1:33" ht="15.95">
      <c r="A18" s="13" t="s">
        <v>51</v>
      </c>
      <c r="B18" s="17">
        <v>4956587</v>
      </c>
      <c r="C18" s="17">
        <v>3327361</v>
      </c>
      <c r="D18" s="17">
        <v>2325629</v>
      </c>
      <c r="E18" s="17">
        <v>5269150</v>
      </c>
      <c r="F18" s="18">
        <v>2916454</v>
      </c>
      <c r="G18" s="18">
        <v>2894195</v>
      </c>
      <c r="H18" s="18">
        <v>1283340</v>
      </c>
      <c r="I18" s="18">
        <v>2330156</v>
      </c>
      <c r="J18" s="17">
        <v>967028</v>
      </c>
      <c r="K18" s="17">
        <v>1776782</v>
      </c>
      <c r="L18" s="17">
        <v>976020</v>
      </c>
      <c r="M18" s="17">
        <v>1126169</v>
      </c>
      <c r="N18" s="18">
        <v>2702208</v>
      </c>
      <c r="O18" s="18">
        <v>2798226</v>
      </c>
      <c r="P18" s="18">
        <v>2927205</v>
      </c>
      <c r="Q18" s="18">
        <v>2044735</v>
      </c>
      <c r="R18" s="19">
        <f t="shared" si="0"/>
        <v>3969681.75</v>
      </c>
      <c r="S18" s="18">
        <f t="shared" si="1"/>
        <v>2356036.25</v>
      </c>
      <c r="T18" s="18">
        <f t="shared" si="2"/>
        <v>1211499.75</v>
      </c>
      <c r="U18" s="20">
        <f t="shared" si="3"/>
        <v>2618093.5</v>
      </c>
      <c r="V18" s="31">
        <f t="shared" si="4"/>
        <v>3.3264746666666443</v>
      </c>
      <c r="W18" s="31">
        <f t="shared" si="5"/>
        <v>2.3387072304297418</v>
      </c>
      <c r="X18" s="31">
        <f t="shared" si="6"/>
        <v>1.3728671444970562</v>
      </c>
      <c r="Y18" s="31">
        <f t="shared" si="7"/>
        <v>2.3486754637584184</v>
      </c>
      <c r="Z18" s="16">
        <f t="shared" si="8"/>
        <v>1.6848984178405575</v>
      </c>
      <c r="AA18" s="16">
        <f t="shared" si="9"/>
        <v>0.51421099739021414</v>
      </c>
      <c r="AB18" s="16">
        <f t="shared" si="10"/>
        <v>1.1112280212157177</v>
      </c>
      <c r="AC18" s="28">
        <f t="shared" si="11"/>
        <v>8.7853811097719434E-2</v>
      </c>
      <c r="AD18" s="28">
        <f t="shared" si="12"/>
        <v>3.6788259551462935E-2</v>
      </c>
      <c r="AE18" s="28">
        <f t="shared" si="13"/>
        <v>0.56458827016809188</v>
      </c>
      <c r="AF18" s="29">
        <v>17</v>
      </c>
    </row>
    <row r="19" spans="1:33" ht="15.95">
      <c r="A19" s="13" t="s">
        <v>52</v>
      </c>
      <c r="B19" s="17">
        <v>3674551</v>
      </c>
      <c r="C19" s="17">
        <v>3334904</v>
      </c>
      <c r="D19" s="17">
        <v>2356874</v>
      </c>
      <c r="E19" s="17">
        <v>3292960</v>
      </c>
      <c r="F19" s="18">
        <v>2833851</v>
      </c>
      <c r="G19" s="18">
        <v>2486460</v>
      </c>
      <c r="H19" s="18">
        <v>1463427</v>
      </c>
      <c r="I19" s="18">
        <v>2537778</v>
      </c>
      <c r="J19" s="17">
        <v>985590</v>
      </c>
      <c r="K19" s="17">
        <v>2101332</v>
      </c>
      <c r="L19" s="17">
        <v>1369045</v>
      </c>
      <c r="M19" s="17">
        <v>1097053</v>
      </c>
      <c r="N19" s="18">
        <v>2251056</v>
      </c>
      <c r="O19" s="18">
        <v>2481949</v>
      </c>
      <c r="P19" s="18">
        <v>2678661</v>
      </c>
      <c r="Q19" s="18">
        <v>2334558</v>
      </c>
      <c r="R19" s="19">
        <f t="shared" si="0"/>
        <v>3164822.25</v>
      </c>
      <c r="S19" s="18">
        <f t="shared" si="1"/>
        <v>2330379</v>
      </c>
      <c r="T19" s="18">
        <f t="shared" si="2"/>
        <v>1388255</v>
      </c>
      <c r="U19" s="20">
        <f t="shared" si="3"/>
        <v>2436556</v>
      </c>
      <c r="V19" s="31">
        <f t="shared" si="4"/>
        <v>2.652026460087872</v>
      </c>
      <c r="W19" s="31">
        <f t="shared" si="5"/>
        <v>2.3132386935649363</v>
      </c>
      <c r="X19" s="31">
        <f t="shared" si="6"/>
        <v>1.5731655559018982</v>
      </c>
      <c r="Y19" s="31">
        <f t="shared" si="7"/>
        <v>2.1858192968560357</v>
      </c>
      <c r="Z19" s="16">
        <f t="shared" si="8"/>
        <v>1.3580719059002848</v>
      </c>
      <c r="AA19" s="16">
        <f t="shared" si="9"/>
        <v>0.59572069607561684</v>
      </c>
      <c r="AB19" s="16">
        <f t="shared" si="10"/>
        <v>1.0455621167200699</v>
      </c>
      <c r="AC19" s="28">
        <f t="shared" si="11"/>
        <v>8.8836757635072705E-2</v>
      </c>
      <c r="AD19" s="28">
        <f t="shared" si="12"/>
        <v>5.2310709882791268E-2</v>
      </c>
      <c r="AE19" s="28">
        <f t="shared" si="13"/>
        <v>0.74623937078761071</v>
      </c>
      <c r="AF19" s="29">
        <v>18</v>
      </c>
      <c r="AG19" t="s">
        <v>53</v>
      </c>
    </row>
    <row r="20" spans="1:33" ht="15.95">
      <c r="A20" s="12" t="s">
        <v>54</v>
      </c>
      <c r="B20" s="17">
        <v>6017894</v>
      </c>
      <c r="C20" s="17">
        <v>4782046</v>
      </c>
      <c r="D20" s="17">
        <v>3368744</v>
      </c>
      <c r="E20" s="17">
        <v>5248962</v>
      </c>
      <c r="F20" s="18">
        <v>2301005</v>
      </c>
      <c r="G20" s="18">
        <v>2198722</v>
      </c>
      <c r="H20" s="18">
        <v>1543078</v>
      </c>
      <c r="I20" s="18">
        <v>2622859</v>
      </c>
      <c r="J20" s="17">
        <v>4124380</v>
      </c>
      <c r="K20" s="17">
        <v>6251157</v>
      </c>
      <c r="L20" s="17">
        <v>5993560</v>
      </c>
      <c r="M20" s="17">
        <v>3249281</v>
      </c>
      <c r="N20" s="18">
        <v>1669067</v>
      </c>
      <c r="O20" s="18">
        <v>1867110</v>
      </c>
      <c r="P20" s="18">
        <v>2105212</v>
      </c>
      <c r="Q20" s="18">
        <v>1739465</v>
      </c>
      <c r="R20" s="19">
        <f t="shared" si="0"/>
        <v>4854411.5</v>
      </c>
      <c r="S20" s="18">
        <f t="shared" si="1"/>
        <v>2166416</v>
      </c>
      <c r="T20" s="18">
        <f t="shared" si="2"/>
        <v>4904594.5</v>
      </c>
      <c r="U20" s="20">
        <f t="shared" si="3"/>
        <v>1845213.5</v>
      </c>
      <c r="V20" s="31">
        <f t="shared" si="4"/>
        <v>4.0678517557044023</v>
      </c>
      <c r="W20" s="31">
        <f t="shared" si="5"/>
        <v>2.1504816673846507</v>
      </c>
      <c r="X20" s="31">
        <f t="shared" si="6"/>
        <v>5.557868787121885</v>
      </c>
      <c r="Y20" s="31">
        <f t="shared" si="7"/>
        <v>1.6553296025698832</v>
      </c>
      <c r="Z20" s="16">
        <f t="shared" si="8"/>
        <v>2.240756853715999</v>
      </c>
      <c r="AA20" s="16">
        <f t="shared" si="9"/>
        <v>2.2639209182354634</v>
      </c>
      <c r="AB20" s="16">
        <f t="shared" si="10"/>
        <v>0.85173553925007939</v>
      </c>
      <c r="AC20" s="28">
        <f t="shared" si="11"/>
        <v>4.2339755003956087E-3</v>
      </c>
      <c r="AD20" s="28">
        <f t="shared" si="12"/>
        <v>1.14433250194271E-2</v>
      </c>
      <c r="AE20" s="28">
        <f t="shared" si="13"/>
        <v>0.23952205814516109</v>
      </c>
      <c r="AF20" s="29">
        <v>19</v>
      </c>
    </row>
    <row r="21" spans="1:33" ht="17.100000000000001" thickBot="1">
      <c r="A21" s="14" t="s">
        <v>55</v>
      </c>
      <c r="B21" s="23">
        <v>1546210</v>
      </c>
      <c r="C21" s="23">
        <v>1249534</v>
      </c>
      <c r="D21" s="23">
        <v>1012866</v>
      </c>
      <c r="E21" s="23">
        <v>1401361</v>
      </c>
      <c r="F21" s="24">
        <v>2026112</v>
      </c>
      <c r="G21" s="24">
        <v>1888465</v>
      </c>
      <c r="H21" s="24">
        <v>1389747</v>
      </c>
      <c r="I21" s="24">
        <v>2226714</v>
      </c>
      <c r="J21" s="25">
        <v>505779</v>
      </c>
      <c r="K21" s="25">
        <v>869876</v>
      </c>
      <c r="L21" s="25">
        <v>742168</v>
      </c>
      <c r="M21" s="25">
        <v>904237</v>
      </c>
      <c r="N21" s="26">
        <v>3290008</v>
      </c>
      <c r="O21" s="26">
        <v>2177667</v>
      </c>
      <c r="P21" s="26">
        <v>3438930</v>
      </c>
      <c r="Q21" s="26">
        <v>2529435</v>
      </c>
      <c r="R21" s="27">
        <f t="shared" si="0"/>
        <v>1302492.75</v>
      </c>
      <c r="S21" s="26">
        <f t="shared" si="1"/>
        <v>1882759.5</v>
      </c>
      <c r="T21" s="18">
        <f t="shared" si="2"/>
        <v>755515</v>
      </c>
      <c r="U21" s="20">
        <f t="shared" si="3"/>
        <v>2859010</v>
      </c>
      <c r="V21" s="31">
        <f t="shared" si="4"/>
        <v>1.091449997570201</v>
      </c>
      <c r="W21" s="31">
        <f t="shared" si="5"/>
        <v>1.8689115058438874</v>
      </c>
      <c r="X21" s="31">
        <f t="shared" si="6"/>
        <v>0.85614687140851109</v>
      </c>
      <c r="Y21" s="31">
        <f t="shared" si="7"/>
        <v>2.564800163798564</v>
      </c>
      <c r="Z21" s="16">
        <f t="shared" si="8"/>
        <v>0.69179985547808942</v>
      </c>
      <c r="AA21" s="16">
        <f t="shared" si="9"/>
        <v>0.40128067339455731</v>
      </c>
      <c r="AB21" s="16">
        <f t="shared" si="10"/>
        <v>1.5185210856723868</v>
      </c>
      <c r="AC21" s="28">
        <f t="shared" si="11"/>
        <v>3.3692454728125543E-2</v>
      </c>
      <c r="AD21" s="28">
        <f t="shared" si="12"/>
        <v>1.3334870252184226E-3</v>
      </c>
      <c r="AE21" s="28">
        <f t="shared" si="13"/>
        <v>3.1879006831972381E-2</v>
      </c>
      <c r="AF21" s="29">
        <v>20</v>
      </c>
      <c r="AG21" t="s">
        <v>56</v>
      </c>
    </row>
    <row r="22" spans="1:33" s="75" customFormat="1" ht="15.95">
      <c r="A22" s="67" t="s">
        <v>57</v>
      </c>
      <c r="B22" s="76">
        <v>648801</v>
      </c>
      <c r="C22" s="76">
        <v>533550</v>
      </c>
      <c r="D22" s="76">
        <v>424549</v>
      </c>
      <c r="E22" s="76">
        <v>629400</v>
      </c>
      <c r="F22" s="76">
        <v>1819231</v>
      </c>
      <c r="G22" s="76">
        <v>1983773</v>
      </c>
      <c r="H22" s="76">
        <v>1282642</v>
      </c>
      <c r="I22" s="76">
        <v>2304465</v>
      </c>
      <c r="J22" s="68">
        <v>236407</v>
      </c>
      <c r="K22" s="68">
        <v>403310</v>
      </c>
      <c r="L22" s="68">
        <v>276135</v>
      </c>
      <c r="M22" s="68">
        <v>375110</v>
      </c>
      <c r="N22" s="68">
        <v>5312275</v>
      </c>
      <c r="O22" s="68">
        <v>6300207</v>
      </c>
      <c r="P22" s="68">
        <v>11656284</v>
      </c>
      <c r="Q22" s="68">
        <v>9799713</v>
      </c>
      <c r="R22" s="69">
        <f t="shared" si="0"/>
        <v>559075</v>
      </c>
      <c r="S22" s="68">
        <f t="shared" si="1"/>
        <v>1847527.75</v>
      </c>
      <c r="T22" s="68">
        <f t="shared" si="2"/>
        <v>322740.5</v>
      </c>
      <c r="U22" s="70">
        <f t="shared" si="3"/>
        <v>8267119.75</v>
      </c>
      <c r="V22" s="71">
        <f t="shared" si="4"/>
        <v>0.46848814121350008</v>
      </c>
      <c r="W22" s="71">
        <f t="shared" si="5"/>
        <v>1.8339388909421888</v>
      </c>
      <c r="X22" s="71">
        <f t="shared" si="6"/>
        <v>0.36572836985608304</v>
      </c>
      <c r="Y22" s="71">
        <f t="shared" si="7"/>
        <v>7.4163819255414793</v>
      </c>
      <c r="Z22" s="72">
        <f t="shared" si="8"/>
        <v>0.30260709209915793</v>
      </c>
      <c r="AA22" s="72">
        <f t="shared" si="9"/>
        <v>0.17468776855990389</v>
      </c>
      <c r="AB22" s="72">
        <f t="shared" si="10"/>
        <v>4.4746931406037067</v>
      </c>
      <c r="AC22" s="73">
        <f t="shared" si="11"/>
        <v>1.0858021893213213E-3</v>
      </c>
      <c r="AD22" s="73">
        <f t="shared" si="12"/>
        <v>4.1691345636055502E-4</v>
      </c>
      <c r="AE22" s="73">
        <f t="shared" si="13"/>
        <v>5.1991919494210077E-3</v>
      </c>
      <c r="AF22" s="74">
        <v>21</v>
      </c>
    </row>
    <row r="23" spans="1:33" ht="15.95">
      <c r="A23" s="12" t="s">
        <v>58</v>
      </c>
      <c r="B23" s="21">
        <v>1929381</v>
      </c>
      <c r="C23" s="21">
        <v>1477952</v>
      </c>
      <c r="D23" s="21">
        <v>1222121</v>
      </c>
      <c r="E23" s="21">
        <v>1274453</v>
      </c>
      <c r="F23" s="22">
        <v>2096729</v>
      </c>
      <c r="G23" s="22">
        <v>1896756</v>
      </c>
      <c r="H23" s="22">
        <v>1270202</v>
      </c>
      <c r="I23" s="22">
        <v>1986560</v>
      </c>
      <c r="J23" s="17">
        <v>561621</v>
      </c>
      <c r="K23" s="17">
        <v>908820</v>
      </c>
      <c r="L23" s="17">
        <v>765881</v>
      </c>
      <c r="M23" s="17">
        <v>915125</v>
      </c>
      <c r="N23" s="18">
        <v>2440074</v>
      </c>
      <c r="O23" s="18">
        <v>1846416</v>
      </c>
      <c r="P23" s="18">
        <v>3013128</v>
      </c>
      <c r="Q23" s="18">
        <v>1811144</v>
      </c>
      <c r="R23" s="19">
        <f t="shared" si="0"/>
        <v>1475976.75</v>
      </c>
      <c r="S23" s="18">
        <f t="shared" si="1"/>
        <v>1812561.75</v>
      </c>
      <c r="T23" s="18">
        <f t="shared" si="2"/>
        <v>787861.75</v>
      </c>
      <c r="U23" s="20">
        <f t="shared" si="3"/>
        <v>2277690.5</v>
      </c>
      <c r="V23" s="30">
        <f t="shared" si="4"/>
        <v>1.2368244047432686</v>
      </c>
      <c r="W23" s="30">
        <f t="shared" si="5"/>
        <v>1.7992300714071725</v>
      </c>
      <c r="X23" s="30">
        <f t="shared" si="6"/>
        <v>0.89280209177175118</v>
      </c>
      <c r="Y23" s="30">
        <f t="shared" si="7"/>
        <v>2.0433020407352309</v>
      </c>
      <c r="Z23" s="16">
        <f t="shared" si="8"/>
        <v>0.81430425749633084</v>
      </c>
      <c r="AA23" s="16">
        <f t="shared" si="9"/>
        <v>0.43466753615428549</v>
      </c>
      <c r="AB23" s="16">
        <f t="shared" si="10"/>
        <v>1.2566140160466257</v>
      </c>
      <c r="AC23" s="28">
        <f t="shared" si="11"/>
        <v>0.21934341425470286</v>
      </c>
      <c r="AD23" s="28">
        <f t="shared" si="12"/>
        <v>2.3417804993746704E-3</v>
      </c>
      <c r="AE23" s="28">
        <f t="shared" si="13"/>
        <v>0.21973373815540076</v>
      </c>
      <c r="AF23" s="32">
        <v>22</v>
      </c>
    </row>
    <row r="24" spans="1:33" ht="15.95">
      <c r="A24" s="13" t="s">
        <v>59</v>
      </c>
      <c r="B24" s="17">
        <v>3973648</v>
      </c>
      <c r="C24" s="17">
        <v>2937626</v>
      </c>
      <c r="D24" s="17">
        <v>2212104</v>
      </c>
      <c r="E24" s="17">
        <v>3410833</v>
      </c>
      <c r="F24" s="18">
        <v>2257030</v>
      </c>
      <c r="G24" s="18">
        <v>1820727</v>
      </c>
      <c r="H24" s="18">
        <v>924583</v>
      </c>
      <c r="I24" s="18">
        <v>1963618</v>
      </c>
      <c r="J24" s="17">
        <v>1351194</v>
      </c>
      <c r="K24" s="17">
        <v>2671756</v>
      </c>
      <c r="L24" s="17">
        <v>1785233</v>
      </c>
      <c r="M24" s="17">
        <v>1258276</v>
      </c>
      <c r="N24" s="18">
        <v>1415399</v>
      </c>
      <c r="O24" s="18">
        <v>1673362</v>
      </c>
      <c r="P24" s="18">
        <v>1826973</v>
      </c>
      <c r="Q24" s="18">
        <v>1811907</v>
      </c>
      <c r="R24" s="19">
        <f t="shared" si="0"/>
        <v>3133552.75</v>
      </c>
      <c r="S24" s="18">
        <f t="shared" si="1"/>
        <v>1741489.5</v>
      </c>
      <c r="T24" s="18">
        <f t="shared" si="2"/>
        <v>1766614.75</v>
      </c>
      <c r="U24" s="20">
        <f t="shared" si="3"/>
        <v>1681910.25</v>
      </c>
      <c r="V24" s="30">
        <f t="shared" si="4"/>
        <v>2.625823553623309</v>
      </c>
      <c r="W24" s="30">
        <f t="shared" si="5"/>
        <v>1.7286805690563871</v>
      </c>
      <c r="X24" s="30">
        <f t="shared" si="6"/>
        <v>2.0019214591326828</v>
      </c>
      <c r="Y24" s="30">
        <f t="shared" si="7"/>
        <v>1.5088312684091638</v>
      </c>
      <c r="Z24" s="16">
        <f t="shared" si="8"/>
        <v>1.7993520776323946</v>
      </c>
      <c r="AA24" s="16">
        <f t="shared" si="9"/>
        <v>1.0144274484571971</v>
      </c>
      <c r="AB24" s="16">
        <f t="shared" si="10"/>
        <v>0.96578833808644837</v>
      </c>
      <c r="AC24" s="28">
        <f t="shared" si="11"/>
        <v>2.5369727018226446E-2</v>
      </c>
      <c r="AD24" s="28">
        <f t="shared" si="12"/>
        <v>0.95550816340701172</v>
      </c>
      <c r="AE24" s="28">
        <f t="shared" si="13"/>
        <v>0.85034445802412251</v>
      </c>
      <c r="AF24" s="32">
        <v>23</v>
      </c>
    </row>
    <row r="25" spans="1:33" s="75" customFormat="1" ht="15.95">
      <c r="A25" s="67" t="s">
        <v>60</v>
      </c>
      <c r="B25" s="76">
        <v>849272</v>
      </c>
      <c r="C25" s="76">
        <v>587174</v>
      </c>
      <c r="D25" s="76">
        <v>552350</v>
      </c>
      <c r="E25" s="76">
        <v>765443</v>
      </c>
      <c r="F25" s="76">
        <v>1976065</v>
      </c>
      <c r="G25" s="76">
        <v>1582435</v>
      </c>
      <c r="H25" s="76">
        <v>1065070</v>
      </c>
      <c r="I25" s="76">
        <v>2143402</v>
      </c>
      <c r="J25" s="68">
        <v>300085</v>
      </c>
      <c r="K25" s="68">
        <v>421355</v>
      </c>
      <c r="L25" s="68">
        <v>292556</v>
      </c>
      <c r="M25" s="68">
        <v>337626</v>
      </c>
      <c r="N25" s="68">
        <v>3852701</v>
      </c>
      <c r="O25" s="68">
        <v>2876275</v>
      </c>
      <c r="P25" s="68">
        <v>6244089</v>
      </c>
      <c r="Q25" s="68">
        <v>4650050</v>
      </c>
      <c r="R25" s="69">
        <f t="shared" si="0"/>
        <v>688559.75</v>
      </c>
      <c r="S25" s="68">
        <f t="shared" si="1"/>
        <v>1691743</v>
      </c>
      <c r="T25" s="68">
        <f t="shared" si="2"/>
        <v>337905.5</v>
      </c>
      <c r="U25" s="70">
        <f t="shared" si="3"/>
        <v>4405778.75</v>
      </c>
      <c r="V25" s="77">
        <f t="shared" si="4"/>
        <v>0.57699249186948498</v>
      </c>
      <c r="W25" s="77">
        <f t="shared" si="5"/>
        <v>1.6792999624385674</v>
      </c>
      <c r="X25" s="77">
        <f t="shared" si="6"/>
        <v>0.38291329312684547</v>
      </c>
      <c r="Y25" s="77">
        <f t="shared" si="7"/>
        <v>3.9523968295529683</v>
      </c>
      <c r="Z25" s="72">
        <f t="shared" si="8"/>
        <v>0.40701202842275691</v>
      </c>
      <c r="AA25" s="72">
        <f t="shared" si="9"/>
        <v>0.19973808078413802</v>
      </c>
      <c r="AB25" s="72">
        <f t="shared" si="10"/>
        <v>2.6042837180351861</v>
      </c>
      <c r="AC25" s="73">
        <f t="shared" si="11"/>
        <v>7.0181304636008461E-3</v>
      </c>
      <c r="AD25" s="73">
        <f t="shared" si="12"/>
        <v>1.3737618298823244E-3</v>
      </c>
      <c r="AE25" s="73">
        <f t="shared" si="13"/>
        <v>1.1199442739356262E-2</v>
      </c>
      <c r="AF25" s="78">
        <v>24</v>
      </c>
    </row>
    <row r="26" spans="1:33" ht="15.95">
      <c r="A26" s="12" t="s">
        <v>61</v>
      </c>
      <c r="B26" s="21">
        <v>3078438</v>
      </c>
      <c r="C26" s="21">
        <v>2000873</v>
      </c>
      <c r="D26" s="21">
        <v>1173701</v>
      </c>
      <c r="E26" s="21">
        <v>2554868</v>
      </c>
      <c r="F26" s="22">
        <v>1910870</v>
      </c>
      <c r="G26" s="22">
        <v>1790348</v>
      </c>
      <c r="H26" s="22">
        <v>1163274</v>
      </c>
      <c r="I26" s="22">
        <v>1712744</v>
      </c>
      <c r="J26" s="17">
        <v>609346</v>
      </c>
      <c r="K26" s="17">
        <v>331527</v>
      </c>
      <c r="L26" s="17">
        <v>180360</v>
      </c>
      <c r="M26" s="17">
        <v>335567</v>
      </c>
      <c r="N26" s="18">
        <v>1200963</v>
      </c>
      <c r="O26" s="18">
        <v>1333982</v>
      </c>
      <c r="P26" s="18">
        <v>1603843</v>
      </c>
      <c r="Q26" s="18">
        <v>662241</v>
      </c>
      <c r="R26" s="19">
        <f t="shared" si="0"/>
        <v>2201970</v>
      </c>
      <c r="S26" s="18">
        <f t="shared" si="1"/>
        <v>1644309</v>
      </c>
      <c r="T26" s="18">
        <f t="shared" si="2"/>
        <v>364200</v>
      </c>
      <c r="U26" s="20">
        <f t="shared" si="3"/>
        <v>1200257.25</v>
      </c>
      <c r="V26" s="30">
        <f t="shared" si="4"/>
        <v>1.845185050857024</v>
      </c>
      <c r="W26" s="30">
        <f t="shared" si="5"/>
        <v>1.6322148470171878</v>
      </c>
      <c r="X26" s="30">
        <f t="shared" si="6"/>
        <v>0.41271012563215786</v>
      </c>
      <c r="Y26" s="30">
        <f t="shared" si="7"/>
        <v>1.0767433452140474</v>
      </c>
      <c r="Z26" s="16">
        <f t="shared" si="8"/>
        <v>1.3391461093991457</v>
      </c>
      <c r="AA26" s="16">
        <f t="shared" si="9"/>
        <v>0.2214912160670531</v>
      </c>
      <c r="AB26" s="16">
        <f t="shared" si="10"/>
        <v>0.72994628746786649</v>
      </c>
      <c r="AC26" s="28">
        <f t="shared" si="11"/>
        <v>0.25158933025961572</v>
      </c>
      <c r="AD26" s="28">
        <f t="shared" si="12"/>
        <v>4.9218888478249874E-4</v>
      </c>
      <c r="AE26" s="28">
        <f t="shared" si="13"/>
        <v>0.13599513680886915</v>
      </c>
      <c r="AF26" s="32">
        <v>25</v>
      </c>
    </row>
    <row r="27" spans="1:33" ht="15.95">
      <c r="A27" s="13" t="s">
        <v>62</v>
      </c>
      <c r="B27" s="21">
        <v>1575061</v>
      </c>
      <c r="C27" s="21">
        <v>1086607</v>
      </c>
      <c r="D27" s="21">
        <v>1107544</v>
      </c>
      <c r="E27" s="21">
        <v>969260</v>
      </c>
      <c r="F27" s="22">
        <v>1889989</v>
      </c>
      <c r="G27" s="22">
        <v>1725908</v>
      </c>
      <c r="H27" s="22">
        <v>985613</v>
      </c>
      <c r="I27" s="22">
        <v>1692410</v>
      </c>
      <c r="J27" s="17">
        <v>516550</v>
      </c>
      <c r="K27" s="17">
        <v>765876</v>
      </c>
      <c r="L27" s="17">
        <v>572153</v>
      </c>
      <c r="M27" s="17">
        <v>477201</v>
      </c>
      <c r="N27" s="18">
        <v>2354883</v>
      </c>
      <c r="O27" s="18">
        <v>2494015</v>
      </c>
      <c r="P27" s="18">
        <v>2685827</v>
      </c>
      <c r="Q27" s="18">
        <v>2653430</v>
      </c>
      <c r="R27" s="19">
        <f t="shared" si="0"/>
        <v>1184618</v>
      </c>
      <c r="S27" s="18">
        <f t="shared" si="1"/>
        <v>1573480</v>
      </c>
      <c r="T27" s="18">
        <f t="shared" si="2"/>
        <v>582945</v>
      </c>
      <c r="U27" s="20">
        <f t="shared" si="3"/>
        <v>2547038.75</v>
      </c>
      <c r="V27" s="30">
        <f t="shared" si="4"/>
        <v>0.99267447993212721</v>
      </c>
      <c r="W27" s="30">
        <f t="shared" si="5"/>
        <v>1.561906805524147</v>
      </c>
      <c r="X27" s="30">
        <f t="shared" si="6"/>
        <v>0.66059117019944602</v>
      </c>
      <c r="Y27" s="30">
        <f t="shared" si="7"/>
        <v>2.284932687609099</v>
      </c>
      <c r="Z27" s="16">
        <f t="shared" si="8"/>
        <v>0.75286498716221373</v>
      </c>
      <c r="AA27" s="16">
        <f t="shared" si="9"/>
        <v>0.37048135343315453</v>
      </c>
      <c r="AB27" s="16">
        <f t="shared" si="10"/>
        <v>1.6187296629127794</v>
      </c>
      <c r="AC27" s="28">
        <f t="shared" si="11"/>
        <v>0.15789154243110082</v>
      </c>
      <c r="AD27" s="28">
        <f t="shared" si="12"/>
        <v>3.3157881721194138E-3</v>
      </c>
      <c r="AE27" s="28">
        <f t="shared" si="13"/>
        <v>3.9614954412344446E-3</v>
      </c>
      <c r="AF27" s="32">
        <v>26</v>
      </c>
    </row>
    <row r="28" spans="1:33" ht="15.95">
      <c r="A28" s="12" t="s">
        <v>63</v>
      </c>
      <c r="B28" s="17">
        <v>3613608</v>
      </c>
      <c r="C28" s="17">
        <v>2286284</v>
      </c>
      <c r="D28" s="17">
        <v>1399037</v>
      </c>
      <c r="E28" s="17">
        <v>3522916</v>
      </c>
      <c r="F28" s="18">
        <v>1865254</v>
      </c>
      <c r="G28" s="18">
        <v>1718903</v>
      </c>
      <c r="H28" s="18">
        <v>876017</v>
      </c>
      <c r="I28" s="18">
        <v>1831133</v>
      </c>
      <c r="J28" s="17">
        <v>2760182</v>
      </c>
      <c r="K28" s="17">
        <v>3869563</v>
      </c>
      <c r="L28" s="17">
        <v>2706351</v>
      </c>
      <c r="M28" s="17">
        <v>1492346</v>
      </c>
      <c r="N28" s="18">
        <v>1426852</v>
      </c>
      <c r="O28" s="18">
        <v>1583487</v>
      </c>
      <c r="P28" s="18">
        <v>2021727</v>
      </c>
      <c r="Q28" s="18">
        <v>1381508</v>
      </c>
      <c r="R28" s="19">
        <f t="shared" si="0"/>
        <v>2705461.25</v>
      </c>
      <c r="S28" s="18">
        <f t="shared" si="1"/>
        <v>1572826.75</v>
      </c>
      <c r="T28" s="18">
        <f t="shared" si="2"/>
        <v>2707110.5</v>
      </c>
      <c r="U28" s="20">
        <f t="shared" si="3"/>
        <v>1603393.5</v>
      </c>
      <c r="V28" s="30">
        <f t="shared" si="4"/>
        <v>2.2670956707734247</v>
      </c>
      <c r="W28" s="30">
        <f t="shared" si="5"/>
        <v>1.5612583602813039</v>
      </c>
      <c r="X28" s="30">
        <f t="shared" si="6"/>
        <v>3.0676878488608832</v>
      </c>
      <c r="Y28" s="30">
        <f t="shared" si="7"/>
        <v>1.4383943782755404</v>
      </c>
      <c r="Z28" s="16">
        <f t="shared" si="8"/>
        <v>1.7201266763805994</v>
      </c>
      <c r="AA28" s="16">
        <f t="shared" si="9"/>
        <v>1.7211752661251469</v>
      </c>
      <c r="AB28" s="16">
        <f t="shared" si="10"/>
        <v>1.0194342765342719</v>
      </c>
      <c r="AC28" s="28">
        <f t="shared" si="11"/>
        <v>9.8597743772815091E-2</v>
      </c>
      <c r="AD28" s="28">
        <f t="shared" si="12"/>
        <v>8.0074955022045424E-2</v>
      </c>
      <c r="AE28" s="28">
        <f t="shared" si="13"/>
        <v>0.9154640551646358</v>
      </c>
      <c r="AF28" s="32">
        <v>27</v>
      </c>
    </row>
    <row r="29" spans="1:33" ht="15.95">
      <c r="A29" s="12" t="s">
        <v>64</v>
      </c>
      <c r="B29" s="21">
        <v>2129976</v>
      </c>
      <c r="C29" s="21">
        <v>1443110</v>
      </c>
      <c r="D29" s="21">
        <v>1117596</v>
      </c>
      <c r="E29" s="21">
        <v>1390173</v>
      </c>
      <c r="F29" s="22">
        <v>1712790</v>
      </c>
      <c r="G29" s="22">
        <v>1513745</v>
      </c>
      <c r="H29" s="22">
        <v>1180716</v>
      </c>
      <c r="I29" s="22">
        <v>1711199</v>
      </c>
      <c r="J29" s="17">
        <v>706010</v>
      </c>
      <c r="K29" s="17">
        <v>1051576</v>
      </c>
      <c r="L29" s="17">
        <v>1193666</v>
      </c>
      <c r="M29" s="17">
        <v>973277</v>
      </c>
      <c r="N29" s="18">
        <v>1451682</v>
      </c>
      <c r="O29" s="18">
        <v>1124248</v>
      </c>
      <c r="P29" s="18">
        <v>2032034</v>
      </c>
      <c r="Q29" s="18">
        <v>1178551</v>
      </c>
      <c r="R29" s="19">
        <f t="shared" si="0"/>
        <v>1520213.75</v>
      </c>
      <c r="S29" s="18">
        <f t="shared" si="1"/>
        <v>1529612.5</v>
      </c>
      <c r="T29" s="18">
        <f t="shared" si="2"/>
        <v>981132.25</v>
      </c>
      <c r="U29" s="20">
        <f t="shared" si="3"/>
        <v>1446628.75</v>
      </c>
      <c r="V29" s="30">
        <f t="shared" si="4"/>
        <v>1.2738936886548398</v>
      </c>
      <c r="W29" s="30">
        <f t="shared" si="5"/>
        <v>1.5183619579307039</v>
      </c>
      <c r="X29" s="30">
        <f t="shared" si="6"/>
        <v>1.1118155248744144</v>
      </c>
      <c r="Y29" s="30">
        <f t="shared" si="7"/>
        <v>1.2977616919687975</v>
      </c>
      <c r="Z29" s="16">
        <f t="shared" si="8"/>
        <v>0.99385546993110996</v>
      </c>
      <c r="AA29" s="16">
        <f t="shared" si="9"/>
        <v>0.64142536099829206</v>
      </c>
      <c r="AB29" s="16">
        <f t="shared" si="10"/>
        <v>0.94574851473820987</v>
      </c>
      <c r="AC29" s="28">
        <f t="shared" si="11"/>
        <v>0.97113922104020955</v>
      </c>
      <c r="AD29" s="28">
        <f t="shared" si="12"/>
        <v>1.4701916843547429E-2</v>
      </c>
      <c r="AE29" s="28">
        <f t="shared" si="13"/>
        <v>0.74410242740118482</v>
      </c>
      <c r="AF29" s="32">
        <v>28</v>
      </c>
    </row>
    <row r="30" spans="1:33" ht="15.95">
      <c r="A30" s="12" t="s">
        <v>65</v>
      </c>
      <c r="B30" s="21">
        <v>1465781</v>
      </c>
      <c r="C30" s="21">
        <v>695566</v>
      </c>
      <c r="D30" s="21">
        <v>366172</v>
      </c>
      <c r="E30" s="21">
        <v>1254826</v>
      </c>
      <c r="F30" s="22">
        <v>1618251</v>
      </c>
      <c r="G30" s="22">
        <v>1306314</v>
      </c>
      <c r="H30" s="22">
        <v>1393323</v>
      </c>
      <c r="I30" s="22">
        <v>1704023</v>
      </c>
      <c r="J30" s="17">
        <v>503675</v>
      </c>
      <c r="K30" s="17">
        <v>468497</v>
      </c>
      <c r="L30" s="17">
        <v>681193</v>
      </c>
      <c r="M30" s="17">
        <v>715787</v>
      </c>
      <c r="N30" s="18">
        <v>1259766</v>
      </c>
      <c r="O30" s="18">
        <v>748018</v>
      </c>
      <c r="P30" s="18">
        <v>1687899</v>
      </c>
      <c r="Q30" s="18">
        <v>576366</v>
      </c>
      <c r="R30" s="19">
        <f t="shared" si="0"/>
        <v>945586.25</v>
      </c>
      <c r="S30" s="18">
        <f t="shared" si="1"/>
        <v>1505477.75</v>
      </c>
      <c r="T30" s="18">
        <f t="shared" si="2"/>
        <v>592288</v>
      </c>
      <c r="U30" s="20">
        <f t="shared" si="3"/>
        <v>1068012.25</v>
      </c>
      <c r="V30" s="30">
        <f t="shared" si="4"/>
        <v>0.79237301725089482</v>
      </c>
      <c r="W30" s="30">
        <f t="shared" si="5"/>
        <v>1.4944047228373925</v>
      </c>
      <c r="X30" s="30">
        <f t="shared" si="6"/>
        <v>0.67117862408132767</v>
      </c>
      <c r="Y30" s="30">
        <f t="shared" si="7"/>
        <v>0.95810717476989338</v>
      </c>
      <c r="Z30" s="16">
        <f t="shared" si="8"/>
        <v>0.62809712730726175</v>
      </c>
      <c r="AA30" s="16">
        <f t="shared" si="9"/>
        <v>0.39342195525639617</v>
      </c>
      <c r="AB30" s="16">
        <f t="shared" si="10"/>
        <v>0.70941749222132311</v>
      </c>
      <c r="AC30" s="28">
        <f t="shared" si="11"/>
        <v>8.2647207963355396E-2</v>
      </c>
      <c r="AD30" s="28">
        <f t="shared" si="12"/>
        <v>1.8370993152252047E-4</v>
      </c>
      <c r="AE30" s="28">
        <f t="shared" si="13"/>
        <v>0.15525591589354842</v>
      </c>
      <c r="AF30" s="32">
        <v>29</v>
      </c>
    </row>
    <row r="31" spans="1:33" ht="15.95">
      <c r="A31" s="13" t="s">
        <v>66</v>
      </c>
      <c r="B31" s="21">
        <v>1590452</v>
      </c>
      <c r="C31" s="21">
        <v>923321</v>
      </c>
      <c r="D31" s="21">
        <v>646699</v>
      </c>
      <c r="E31" s="21">
        <v>1735141</v>
      </c>
      <c r="F31" s="22">
        <v>1885555</v>
      </c>
      <c r="G31" s="22">
        <v>1448947</v>
      </c>
      <c r="H31" s="22">
        <v>651648</v>
      </c>
      <c r="I31" s="22">
        <v>1534104</v>
      </c>
      <c r="J31" s="17">
        <v>581528</v>
      </c>
      <c r="K31" s="17">
        <v>1270481</v>
      </c>
      <c r="L31" s="17">
        <v>1312570</v>
      </c>
      <c r="M31" s="17">
        <v>1069059</v>
      </c>
      <c r="N31" s="18">
        <v>2895786</v>
      </c>
      <c r="O31" s="18">
        <v>2981591</v>
      </c>
      <c r="P31" s="18">
        <v>5202621</v>
      </c>
      <c r="Q31" s="18">
        <v>2438645</v>
      </c>
      <c r="R31" s="19">
        <f t="shared" si="0"/>
        <v>1223903.25</v>
      </c>
      <c r="S31" s="18">
        <f t="shared" si="1"/>
        <v>1380063.5</v>
      </c>
      <c r="T31" s="18">
        <f t="shared" si="2"/>
        <v>1058409.5</v>
      </c>
      <c r="U31" s="20">
        <f t="shared" si="3"/>
        <v>3379660.75</v>
      </c>
      <c r="V31" s="30">
        <f t="shared" si="4"/>
        <v>1.0255943453340994</v>
      </c>
      <c r="W31" s="30">
        <f t="shared" si="5"/>
        <v>1.3699129144987376</v>
      </c>
      <c r="X31" s="30">
        <f t="shared" si="6"/>
        <v>1.1993858256871757</v>
      </c>
      <c r="Y31" s="30">
        <f t="shared" si="7"/>
        <v>3.0318727269871659</v>
      </c>
      <c r="Z31" s="16">
        <f t="shared" si="8"/>
        <v>0.88684560529279999</v>
      </c>
      <c r="AA31" s="16">
        <f t="shared" si="9"/>
        <v>0.76692811598886568</v>
      </c>
      <c r="AB31" s="16">
        <f t="shared" si="10"/>
        <v>2.4489168433191661</v>
      </c>
      <c r="AC31" s="28">
        <f t="shared" si="11"/>
        <v>0.68688984855092583</v>
      </c>
      <c r="AD31" s="28">
        <f t="shared" si="12"/>
        <v>0.33916153033032337</v>
      </c>
      <c r="AE31" s="28">
        <f t="shared" si="13"/>
        <v>2.4749965437386782E-2</v>
      </c>
      <c r="AF31" s="32">
        <v>30</v>
      </c>
    </row>
    <row r="32" spans="1:33" ht="15.95">
      <c r="A32" s="13" t="s">
        <v>67</v>
      </c>
      <c r="B32" s="21">
        <v>1558506</v>
      </c>
      <c r="C32" s="21">
        <v>1278055</v>
      </c>
      <c r="D32" s="21">
        <v>919882</v>
      </c>
      <c r="E32" s="21">
        <v>1281507</v>
      </c>
      <c r="F32" s="22">
        <v>1665701</v>
      </c>
      <c r="G32" s="22">
        <v>2077820</v>
      </c>
      <c r="H32" s="22">
        <v>550917</v>
      </c>
      <c r="I32" s="22">
        <v>1083927</v>
      </c>
      <c r="J32" s="17">
        <v>700505</v>
      </c>
      <c r="K32" s="17">
        <v>673248</v>
      </c>
      <c r="L32" s="17">
        <v>928195</v>
      </c>
      <c r="M32" s="17">
        <v>403034</v>
      </c>
      <c r="N32" s="18">
        <v>1320475</v>
      </c>
      <c r="O32" s="18">
        <v>794515</v>
      </c>
      <c r="P32" s="18">
        <v>1654885</v>
      </c>
      <c r="Q32" s="18">
        <v>1097792</v>
      </c>
      <c r="R32" s="19">
        <f t="shared" si="0"/>
        <v>1259487.5</v>
      </c>
      <c r="S32" s="18">
        <f t="shared" si="1"/>
        <v>1344591.25</v>
      </c>
      <c r="T32" s="18">
        <f t="shared" si="2"/>
        <v>676245.5</v>
      </c>
      <c r="U32" s="20">
        <f t="shared" si="3"/>
        <v>1216916.75</v>
      </c>
      <c r="V32" s="30">
        <f t="shared" si="4"/>
        <v>1.0554128833459522</v>
      </c>
      <c r="W32" s="30">
        <f t="shared" si="5"/>
        <v>1.3347015685126089</v>
      </c>
      <c r="X32" s="30">
        <f t="shared" si="6"/>
        <v>0.76631896008561617</v>
      </c>
      <c r="Y32" s="30">
        <f t="shared" si="7"/>
        <v>1.0916884794838828</v>
      </c>
      <c r="Z32" s="16">
        <f t="shared" si="8"/>
        <v>0.93670660135561645</v>
      </c>
      <c r="AA32" s="16">
        <f t="shared" si="9"/>
        <v>0.50293760278448929</v>
      </c>
      <c r="AB32" s="16">
        <f t="shared" si="10"/>
        <v>0.90504586431006451</v>
      </c>
      <c r="AC32" s="28">
        <f t="shared" si="11"/>
        <v>0.82036216626440306</v>
      </c>
      <c r="AD32" s="28">
        <f t="shared" si="12"/>
        <v>0.10546239129609983</v>
      </c>
      <c r="AE32" s="28">
        <f t="shared" si="13"/>
        <v>0.74838633499835905</v>
      </c>
      <c r="AF32" s="32">
        <v>31</v>
      </c>
    </row>
    <row r="33" spans="1:32" ht="15.95">
      <c r="A33" s="12" t="s">
        <v>68</v>
      </c>
      <c r="B33" s="21">
        <v>1701922</v>
      </c>
      <c r="C33" s="21">
        <v>986059</v>
      </c>
      <c r="D33" s="21">
        <v>583077</v>
      </c>
      <c r="E33" s="21">
        <v>1167397</v>
      </c>
      <c r="F33" s="22">
        <v>1619296</v>
      </c>
      <c r="G33" s="22">
        <v>1319800</v>
      </c>
      <c r="H33" s="22">
        <v>885560</v>
      </c>
      <c r="I33" s="22">
        <v>1292272</v>
      </c>
      <c r="J33" s="17">
        <v>350001</v>
      </c>
      <c r="K33" s="17">
        <v>688665</v>
      </c>
      <c r="L33" s="17">
        <v>398231</v>
      </c>
      <c r="M33" s="17">
        <v>413287</v>
      </c>
      <c r="N33" s="18">
        <v>688440</v>
      </c>
      <c r="O33" s="18">
        <v>705710</v>
      </c>
      <c r="P33" s="18">
        <v>957369</v>
      </c>
      <c r="Q33" s="18">
        <v>589491</v>
      </c>
      <c r="R33" s="19">
        <f t="shared" si="0"/>
        <v>1109613.75</v>
      </c>
      <c r="S33" s="18">
        <f t="shared" si="1"/>
        <v>1279232</v>
      </c>
      <c r="T33" s="18">
        <f t="shared" si="2"/>
        <v>462546</v>
      </c>
      <c r="U33" s="20">
        <f t="shared" si="3"/>
        <v>735252.5</v>
      </c>
      <c r="V33" s="30">
        <f t="shared" si="4"/>
        <v>0.92982316004550625</v>
      </c>
      <c r="W33" s="30">
        <f t="shared" si="5"/>
        <v>1.2698230461424775</v>
      </c>
      <c r="X33" s="30">
        <f t="shared" si="6"/>
        <v>0.52415545790953344</v>
      </c>
      <c r="Y33" s="30">
        <f t="shared" si="7"/>
        <v>0.65959046398344312</v>
      </c>
      <c r="Z33" s="16">
        <f t="shared" si="8"/>
        <v>0.86740618589903939</v>
      </c>
      <c r="AA33" s="16">
        <f t="shared" si="9"/>
        <v>0.36158101110666402</v>
      </c>
      <c r="AB33" s="16">
        <f t="shared" si="10"/>
        <v>0.57476087214828897</v>
      </c>
      <c r="AC33" s="28">
        <f t="shared" si="11"/>
        <v>0.56244715116323318</v>
      </c>
      <c r="AD33" s="28">
        <f t="shared" si="12"/>
        <v>2.9043077044176775E-3</v>
      </c>
      <c r="AE33" s="28">
        <f t="shared" si="13"/>
        <v>1.8525349253415067E-2</v>
      </c>
      <c r="AF33" s="32">
        <v>32</v>
      </c>
    </row>
    <row r="34" spans="1:32" ht="15.95">
      <c r="A34" s="13" t="s">
        <v>69</v>
      </c>
      <c r="B34" s="21">
        <v>3455182</v>
      </c>
      <c r="C34" s="21">
        <v>1621085</v>
      </c>
      <c r="D34" s="21">
        <v>956431</v>
      </c>
      <c r="E34" s="21">
        <v>2867104</v>
      </c>
      <c r="F34" s="22">
        <v>1586877</v>
      </c>
      <c r="G34" s="22">
        <v>1704512</v>
      </c>
      <c r="H34" s="22">
        <v>702214</v>
      </c>
      <c r="I34" s="22">
        <v>1057281</v>
      </c>
      <c r="J34" s="17">
        <v>579218</v>
      </c>
      <c r="K34" s="17">
        <v>1288034</v>
      </c>
      <c r="L34" s="17">
        <v>1052177</v>
      </c>
      <c r="M34" s="17">
        <v>987872</v>
      </c>
      <c r="N34" s="18">
        <v>1556082</v>
      </c>
      <c r="O34" s="18">
        <v>1722913</v>
      </c>
      <c r="P34" s="18">
        <v>2232492</v>
      </c>
      <c r="Q34" s="18">
        <v>854059</v>
      </c>
      <c r="R34" s="19">
        <f t="shared" si="0"/>
        <v>2224950.5</v>
      </c>
      <c r="S34" s="18">
        <f t="shared" si="1"/>
        <v>1262721</v>
      </c>
      <c r="T34" s="18">
        <f t="shared" si="2"/>
        <v>976825.25</v>
      </c>
      <c r="U34" s="20">
        <f t="shared" si="3"/>
        <v>1591386.5</v>
      </c>
      <c r="V34" s="30">
        <f t="shared" si="4"/>
        <v>1.8644420230506598</v>
      </c>
      <c r="W34" s="30">
        <f t="shared" si="5"/>
        <v>1.2534334871611055</v>
      </c>
      <c r="X34" s="30">
        <f t="shared" si="6"/>
        <v>1.106934848018023</v>
      </c>
      <c r="Y34" s="30">
        <f t="shared" si="7"/>
        <v>1.4276229729405716</v>
      </c>
      <c r="Z34" s="16">
        <f t="shared" si="8"/>
        <v>1.7620285874710249</v>
      </c>
      <c r="AA34" s="16">
        <f t="shared" si="9"/>
        <v>0.7735875541786349</v>
      </c>
      <c r="AB34" s="16">
        <f t="shared" si="10"/>
        <v>1.2602835464049462</v>
      </c>
      <c r="AC34" s="28">
        <f t="shared" si="11"/>
        <v>0.1694103913760604</v>
      </c>
      <c r="AD34" s="28">
        <f t="shared" si="12"/>
        <v>0.34099600449995188</v>
      </c>
      <c r="AE34" s="28">
        <f t="shared" si="13"/>
        <v>0.40683569736260933</v>
      </c>
      <c r="AF34" s="32">
        <v>33</v>
      </c>
    </row>
    <row r="35" spans="1:32" ht="15.95">
      <c r="A35" s="12" t="s">
        <v>70</v>
      </c>
      <c r="B35" s="17">
        <v>4497587</v>
      </c>
      <c r="C35" s="17">
        <v>1628171</v>
      </c>
      <c r="D35" s="17">
        <v>1184310</v>
      </c>
      <c r="E35" s="17">
        <v>3566697</v>
      </c>
      <c r="F35" s="18">
        <v>1312350</v>
      </c>
      <c r="G35" s="18">
        <v>698351</v>
      </c>
      <c r="H35" s="18">
        <v>755989</v>
      </c>
      <c r="I35" s="18">
        <v>672196</v>
      </c>
      <c r="J35" s="18">
        <v>1245310</v>
      </c>
      <c r="K35" s="18">
        <v>1694970</v>
      </c>
      <c r="L35" s="18">
        <v>2761923</v>
      </c>
      <c r="M35" s="18">
        <v>1893750</v>
      </c>
      <c r="N35" s="18">
        <v>917285</v>
      </c>
      <c r="O35" s="18">
        <v>565026</v>
      </c>
      <c r="P35" s="18">
        <v>557224</v>
      </c>
      <c r="Q35" s="18">
        <v>895242</v>
      </c>
      <c r="R35" s="19">
        <f t="shared" si="0"/>
        <v>2719191.25</v>
      </c>
      <c r="S35" s="18">
        <f t="shared" si="1"/>
        <v>859721.5</v>
      </c>
      <c r="T35" s="18">
        <f t="shared" si="2"/>
        <v>1898988.25</v>
      </c>
      <c r="U35" s="20">
        <f t="shared" si="3"/>
        <v>733694.25</v>
      </c>
      <c r="V35" s="30">
        <f t="shared" si="4"/>
        <v>2.2786010004319883</v>
      </c>
      <c r="W35" s="30">
        <f t="shared" si="5"/>
        <v>0.85339811227688167</v>
      </c>
      <c r="X35" s="30">
        <f t="shared" si="6"/>
        <v>2.1519266316076102</v>
      </c>
      <c r="Y35" s="30">
        <f t="shared" si="7"/>
        <v>0.65819256755942257</v>
      </c>
      <c r="Z35" s="16">
        <f t="shared" si="8"/>
        <v>3.1628745471644013</v>
      </c>
      <c r="AA35" s="16">
        <f t="shared" si="9"/>
        <v>2.2088411770555929</v>
      </c>
      <c r="AB35" s="16">
        <f t="shared" si="10"/>
        <v>0.85340921449562446</v>
      </c>
      <c r="AC35" s="28">
        <f t="shared" si="11"/>
        <v>5.9390673382122262E-2</v>
      </c>
      <c r="AD35" s="28">
        <f t="shared" si="12"/>
        <v>2.5649524333890096E-2</v>
      </c>
      <c r="AE35" s="28">
        <f t="shared" si="13"/>
        <v>0.51390185630548246</v>
      </c>
      <c r="AF35" s="32">
        <v>34</v>
      </c>
    </row>
    <row r="36" spans="1:32">
      <c r="A36" s="4"/>
      <c r="J36"/>
      <c r="K36"/>
      <c r="L36"/>
      <c r="M36"/>
      <c r="R36" s="7"/>
      <c r="S36" s="8"/>
      <c r="T36" s="8"/>
      <c r="U36" s="9"/>
      <c r="V36" s="15"/>
      <c r="W36" s="15"/>
      <c r="X36" s="15"/>
      <c r="Y36" s="15"/>
      <c r="AD36" s="3"/>
      <c r="AE36" s="3"/>
    </row>
    <row r="37" spans="1:32">
      <c r="A37" s="6" t="s">
        <v>71</v>
      </c>
      <c r="B37" s="11">
        <v>836087</v>
      </c>
      <c r="C37" s="11">
        <v>647598</v>
      </c>
      <c r="D37" s="11">
        <v>509717</v>
      </c>
      <c r="E37" s="11">
        <v>671303</v>
      </c>
      <c r="F37" s="6">
        <v>1250253</v>
      </c>
      <c r="G37" s="6">
        <v>1238061</v>
      </c>
      <c r="H37" s="6">
        <v>774689</v>
      </c>
      <c r="I37" s="6">
        <v>1532566</v>
      </c>
      <c r="J37" s="11"/>
      <c r="K37" s="11"/>
      <c r="L37" s="11"/>
      <c r="M37" s="11"/>
      <c r="N37" s="6"/>
      <c r="O37" s="6"/>
      <c r="P37" s="6"/>
      <c r="Q37" s="6"/>
      <c r="R37" s="7"/>
      <c r="S37" s="8"/>
      <c r="T37" s="8"/>
      <c r="U37" s="9"/>
      <c r="V37" s="15" t="s">
        <v>72</v>
      </c>
      <c r="W37" s="15" t="s">
        <v>72</v>
      </c>
      <c r="X37" s="15" t="s">
        <v>72</v>
      </c>
      <c r="Y37" s="15" t="s">
        <v>72</v>
      </c>
      <c r="AD37" s="3"/>
      <c r="AE37" s="3"/>
    </row>
    <row r="38" spans="1:32">
      <c r="A38" s="6" t="s">
        <v>73</v>
      </c>
      <c r="B38" s="11">
        <v>2321778</v>
      </c>
      <c r="C38" s="11">
        <v>1685982</v>
      </c>
      <c r="D38" s="11">
        <v>1127912</v>
      </c>
      <c r="E38" s="11">
        <v>1684814</v>
      </c>
      <c r="F38" s="6">
        <v>1220044</v>
      </c>
      <c r="G38" s="6">
        <v>1144009</v>
      </c>
      <c r="H38" s="6">
        <v>862591</v>
      </c>
      <c r="I38" s="6">
        <v>1549213</v>
      </c>
      <c r="J38" s="11"/>
      <c r="K38" s="11"/>
      <c r="L38" s="11"/>
      <c r="M38" s="11"/>
      <c r="N38" s="6"/>
      <c r="O38" s="6"/>
      <c r="P38" s="6"/>
      <c r="Q38" s="6"/>
      <c r="R38" s="7"/>
      <c r="S38" s="8"/>
      <c r="T38" s="8"/>
      <c r="U38" s="9"/>
      <c r="V38" s="15">
        <f>SUM(R2:R21)</f>
        <v>119335998.25</v>
      </c>
      <c r="W38" s="15">
        <f>SUM(S2:S21)</f>
        <v>100740965.75</v>
      </c>
      <c r="X38" s="15">
        <f>SUM(T2:T21)</f>
        <v>88245957</v>
      </c>
      <c r="Y38" s="15">
        <f>SUM(U2:U21)</f>
        <v>111471062.75</v>
      </c>
      <c r="AD38" s="3"/>
      <c r="AE38" s="3"/>
    </row>
    <row r="39" spans="1:32">
      <c r="A39" s="6" t="s">
        <v>74</v>
      </c>
      <c r="B39" s="11">
        <v>862053</v>
      </c>
      <c r="C39" s="11">
        <v>546567</v>
      </c>
      <c r="D39" s="11">
        <v>443299</v>
      </c>
      <c r="E39" s="11">
        <v>779774</v>
      </c>
      <c r="F39" s="6">
        <v>1547251</v>
      </c>
      <c r="G39" s="6">
        <v>1004312</v>
      </c>
      <c r="H39" s="6">
        <v>737847</v>
      </c>
      <c r="I39" s="6">
        <v>1457265</v>
      </c>
      <c r="J39" s="11"/>
      <c r="K39" s="11"/>
      <c r="L39" s="11"/>
      <c r="M39" s="11"/>
      <c r="N39" s="6"/>
      <c r="O39" s="6"/>
      <c r="P39" s="6"/>
      <c r="Q39" s="6"/>
      <c r="R39" s="7"/>
      <c r="S39" s="8"/>
      <c r="T39" s="8"/>
      <c r="U39" s="9"/>
      <c r="V39" s="15"/>
      <c r="W39" s="15"/>
      <c r="Y39" s="15"/>
      <c r="AD39" s="3"/>
      <c r="AE39" s="3"/>
    </row>
    <row r="40" spans="1:32">
      <c r="A40" s="6" t="s">
        <v>75</v>
      </c>
      <c r="B40" s="11">
        <v>1490805</v>
      </c>
      <c r="C40" s="11">
        <v>894358</v>
      </c>
      <c r="D40" s="11">
        <v>622726</v>
      </c>
      <c r="E40" s="11">
        <v>821119</v>
      </c>
      <c r="F40" s="6">
        <v>1094563</v>
      </c>
      <c r="G40" s="6">
        <v>1130622</v>
      </c>
      <c r="H40" s="6">
        <v>607360</v>
      </c>
      <c r="I40" s="6">
        <v>1044495</v>
      </c>
      <c r="J40" s="11"/>
      <c r="K40" s="11"/>
      <c r="L40" s="11"/>
      <c r="M40" s="11"/>
      <c r="N40" s="6"/>
      <c r="O40" s="6"/>
      <c r="P40" s="6"/>
      <c r="Q40" s="6"/>
      <c r="R40" s="7"/>
      <c r="S40" s="8"/>
      <c r="T40" s="8"/>
      <c r="U40" s="9"/>
      <c r="V40" s="15"/>
      <c r="W40" s="15"/>
      <c r="X40" s="15"/>
      <c r="Y40" s="15"/>
      <c r="AD40" s="3"/>
      <c r="AE40" s="3"/>
    </row>
    <row r="41" spans="1:32">
      <c r="A41" s="5" t="s">
        <v>76</v>
      </c>
      <c r="B41" s="11">
        <v>1731141</v>
      </c>
      <c r="C41" s="11">
        <v>764869</v>
      </c>
      <c r="D41" s="11">
        <v>437923</v>
      </c>
      <c r="E41" s="11">
        <v>902476</v>
      </c>
      <c r="F41" s="6">
        <v>762469</v>
      </c>
      <c r="G41" s="6">
        <v>1340668</v>
      </c>
      <c r="H41" s="6">
        <v>640808</v>
      </c>
      <c r="I41" s="6">
        <v>899690</v>
      </c>
      <c r="R41" s="7"/>
      <c r="S41" s="8"/>
      <c r="T41" s="8"/>
      <c r="U41" s="9"/>
      <c r="V41" s="15">
        <v>119335998.25</v>
      </c>
      <c r="W41" s="15">
        <v>100740965.75</v>
      </c>
      <c r="X41" s="15">
        <v>88245957</v>
      </c>
      <c r="Y41" s="15">
        <f>SUM(U5:U24)</f>
        <v>88018031.25</v>
      </c>
      <c r="AD41" s="3"/>
      <c r="AE41" s="3"/>
    </row>
    <row r="42" spans="1:32">
      <c r="A42" s="6" t="s">
        <v>77</v>
      </c>
      <c r="B42" s="11">
        <v>979324</v>
      </c>
      <c r="C42" s="11">
        <v>513134</v>
      </c>
      <c r="D42" s="11">
        <v>421062</v>
      </c>
      <c r="E42" s="11">
        <v>877447</v>
      </c>
      <c r="F42" s="6">
        <v>1094054</v>
      </c>
      <c r="G42" s="6">
        <v>880447</v>
      </c>
      <c r="H42" s="6">
        <v>462022</v>
      </c>
      <c r="I42" s="6">
        <v>1206996</v>
      </c>
      <c r="J42" s="11"/>
      <c r="K42" s="11"/>
      <c r="L42" s="11"/>
      <c r="M42" s="11"/>
      <c r="N42" s="6"/>
      <c r="O42" s="6"/>
      <c r="P42" s="6"/>
      <c r="Q42" s="6"/>
      <c r="R42" s="7"/>
      <c r="S42" s="8"/>
      <c r="T42" s="8"/>
      <c r="U42" s="9"/>
      <c r="V42" s="15"/>
      <c r="W42" s="15"/>
      <c r="X42" s="15"/>
      <c r="Y42" s="15"/>
      <c r="AD42" s="3"/>
      <c r="AE42" s="3"/>
    </row>
    <row r="43" spans="1:32">
      <c r="A43" s="6" t="s">
        <v>78</v>
      </c>
      <c r="B43" s="11">
        <v>431349</v>
      </c>
      <c r="C43" s="11">
        <v>162712</v>
      </c>
      <c r="D43" s="11">
        <v>257372</v>
      </c>
      <c r="E43" s="11">
        <v>277820</v>
      </c>
      <c r="F43" s="6">
        <v>1002750</v>
      </c>
      <c r="G43" s="6">
        <v>808967</v>
      </c>
      <c r="H43" s="6">
        <v>665959</v>
      </c>
      <c r="I43" s="6">
        <v>1048197</v>
      </c>
      <c r="J43" s="11"/>
      <c r="K43" s="11"/>
      <c r="L43" s="11"/>
      <c r="M43" s="11"/>
      <c r="N43" s="6"/>
      <c r="O43" s="6"/>
      <c r="P43" s="6"/>
      <c r="Q43" s="6"/>
      <c r="R43" s="7"/>
      <c r="S43" s="8"/>
      <c r="T43" s="8"/>
      <c r="U43" s="9"/>
      <c r="V43" s="15"/>
      <c r="W43" s="15"/>
      <c r="X43" s="15"/>
      <c r="Y43" s="15"/>
      <c r="AD43" s="3"/>
      <c r="AE43" s="3"/>
    </row>
    <row r="44" spans="1:32">
      <c r="A44" s="6" t="s">
        <v>79</v>
      </c>
      <c r="B44" s="11">
        <v>3000296</v>
      </c>
      <c r="C44" s="11">
        <v>1606045</v>
      </c>
      <c r="D44" s="11">
        <v>1044322</v>
      </c>
      <c r="E44" s="11">
        <v>2864755</v>
      </c>
      <c r="F44" s="6">
        <v>1364367</v>
      </c>
      <c r="G44" s="6">
        <v>911815</v>
      </c>
      <c r="H44" s="6">
        <v>356517</v>
      </c>
      <c r="I44" s="6">
        <v>857892</v>
      </c>
      <c r="J44" s="11"/>
      <c r="K44" s="11"/>
      <c r="L44" s="11"/>
      <c r="M44" s="11"/>
      <c r="N44" s="6"/>
      <c r="O44" s="6"/>
      <c r="P44" s="6"/>
      <c r="Q44" s="6"/>
      <c r="R44" s="7"/>
      <c r="S44" s="8"/>
      <c r="T44" s="8"/>
      <c r="U44" s="9"/>
      <c r="V44" s="15"/>
      <c r="W44" s="15"/>
      <c r="X44" s="15"/>
      <c r="Y44" s="15"/>
      <c r="AD44" s="3"/>
      <c r="AE44" s="3"/>
    </row>
    <row r="46" spans="1:32">
      <c r="A46" s="6" t="s">
        <v>80</v>
      </c>
      <c r="B46" s="11">
        <v>375563</v>
      </c>
      <c r="C46" s="11">
        <v>319406</v>
      </c>
      <c r="D46" s="11">
        <v>348668</v>
      </c>
      <c r="E46" s="11">
        <v>389958</v>
      </c>
      <c r="F46" s="6">
        <v>742824</v>
      </c>
      <c r="G46" s="6">
        <v>804242</v>
      </c>
      <c r="H46" s="6">
        <v>685338</v>
      </c>
      <c r="I46" s="6">
        <v>933039</v>
      </c>
      <c r="J46" s="11"/>
      <c r="K46" s="11"/>
      <c r="L46" s="11"/>
      <c r="M46" s="11"/>
      <c r="N46" s="6"/>
      <c r="O46" s="6"/>
      <c r="P46" s="6"/>
      <c r="Q46" s="6"/>
      <c r="R46" s="7"/>
      <c r="S46" s="8"/>
      <c r="T46" s="8"/>
      <c r="U46" s="9"/>
      <c r="V46" s="15"/>
      <c r="W46" s="15"/>
      <c r="X46" s="15"/>
      <c r="Y46" s="15"/>
      <c r="AD46" s="3"/>
      <c r="AE46" s="3"/>
    </row>
    <row r="47" spans="1:32">
      <c r="A47" s="6" t="s">
        <v>81</v>
      </c>
      <c r="B47" s="11">
        <v>626072</v>
      </c>
      <c r="C47" s="11">
        <v>420806</v>
      </c>
      <c r="D47" s="11">
        <v>386670</v>
      </c>
      <c r="E47" s="11">
        <v>521878</v>
      </c>
      <c r="F47" s="6">
        <v>895906</v>
      </c>
      <c r="G47" s="6">
        <v>756079</v>
      </c>
      <c r="H47" s="6">
        <v>578784</v>
      </c>
      <c r="I47" s="6">
        <v>884018</v>
      </c>
      <c r="J47" s="11"/>
      <c r="K47" s="11"/>
      <c r="L47" s="11"/>
      <c r="M47" s="11"/>
      <c r="N47" s="6"/>
      <c r="O47" s="6"/>
      <c r="P47" s="6"/>
      <c r="Q47" s="6"/>
      <c r="R47" s="7"/>
      <c r="S47" s="8"/>
      <c r="T47" s="8"/>
      <c r="U47" s="9"/>
      <c r="V47" s="15"/>
      <c r="W47" s="15"/>
      <c r="X47" s="15"/>
      <c r="Y47" s="15"/>
      <c r="AD47" s="3"/>
      <c r="AE47" s="3"/>
    </row>
    <row r="48" spans="1:32">
      <c r="A48" s="6" t="s">
        <v>82</v>
      </c>
      <c r="B48" s="11">
        <v>2057368</v>
      </c>
      <c r="C48" s="11">
        <v>1382872</v>
      </c>
      <c r="D48" s="11">
        <v>598068</v>
      </c>
      <c r="E48" s="11">
        <v>955107</v>
      </c>
      <c r="F48" s="6">
        <v>1024984</v>
      </c>
      <c r="G48" s="6">
        <v>480918</v>
      </c>
      <c r="H48" s="6">
        <v>492819</v>
      </c>
      <c r="I48" s="6">
        <v>945744</v>
      </c>
      <c r="J48" s="11"/>
      <c r="K48" s="11"/>
      <c r="L48" s="11"/>
      <c r="M48" s="11"/>
      <c r="N48" s="6"/>
      <c r="O48" s="6"/>
      <c r="P48" s="6"/>
      <c r="Q48" s="6"/>
      <c r="R48" s="7"/>
      <c r="S48" s="8"/>
      <c r="T48" s="8"/>
      <c r="U48" s="9"/>
      <c r="V48" s="15"/>
      <c r="W48" s="15"/>
      <c r="X48" s="15"/>
      <c r="Y48" s="15"/>
      <c r="AD48" s="3"/>
      <c r="AE48" s="3"/>
    </row>
    <row r="49" spans="1:31">
      <c r="A49" s="6" t="s">
        <v>83</v>
      </c>
      <c r="B49" s="11">
        <v>392283</v>
      </c>
      <c r="C49" s="11">
        <v>238380</v>
      </c>
      <c r="D49" s="11">
        <v>258862</v>
      </c>
      <c r="E49" s="11">
        <v>319715</v>
      </c>
      <c r="F49" s="6">
        <v>446969</v>
      </c>
      <c r="G49" s="6">
        <v>693052</v>
      </c>
      <c r="H49" s="6">
        <v>416864</v>
      </c>
      <c r="I49" s="6">
        <v>646545</v>
      </c>
      <c r="J49" s="11"/>
      <c r="K49" s="11"/>
      <c r="L49" s="11"/>
      <c r="M49" s="11"/>
      <c r="N49" s="6"/>
      <c r="O49" s="6"/>
      <c r="P49" s="6"/>
      <c r="Q49" s="6"/>
      <c r="R49" s="7"/>
      <c r="S49" s="8"/>
      <c r="T49" s="8"/>
      <c r="U49" s="9"/>
      <c r="V49" s="15"/>
      <c r="W49" s="15"/>
      <c r="X49" s="15"/>
      <c r="Y49" s="15"/>
      <c r="AD49" s="3"/>
      <c r="AE49" s="3"/>
    </row>
    <row r="50" spans="1:31">
      <c r="A50" s="6" t="s">
        <v>84</v>
      </c>
      <c r="B50" s="11">
        <v>293428</v>
      </c>
      <c r="C50" s="11">
        <v>403491</v>
      </c>
      <c r="D50" s="11">
        <v>276927</v>
      </c>
      <c r="E50" s="11">
        <v>423741</v>
      </c>
      <c r="F50" s="6">
        <v>559085</v>
      </c>
      <c r="G50" s="6">
        <v>461390</v>
      </c>
      <c r="H50" s="6">
        <v>263238</v>
      </c>
      <c r="I50" s="6">
        <v>687980</v>
      </c>
      <c r="J50" s="11"/>
      <c r="K50" s="11"/>
      <c r="L50" s="11"/>
      <c r="M50" s="11"/>
      <c r="N50" s="6"/>
      <c r="O50" s="6"/>
      <c r="P50" s="6"/>
      <c r="Q50" s="6"/>
      <c r="R50" s="7"/>
      <c r="S50" s="8"/>
      <c r="T50" s="8"/>
      <c r="U50" s="9"/>
      <c r="V50" s="15"/>
      <c r="W50" s="15"/>
      <c r="X50" s="15"/>
      <c r="Y50" s="15"/>
      <c r="AD50" s="3"/>
      <c r="AE50" s="3"/>
    </row>
    <row r="51" spans="1:31">
      <c r="A51" s="6" t="s">
        <v>85</v>
      </c>
      <c r="B51" s="11">
        <v>208260</v>
      </c>
      <c r="C51" s="11">
        <v>287537</v>
      </c>
      <c r="D51" s="11">
        <v>62323</v>
      </c>
      <c r="E51" s="11">
        <v>271355</v>
      </c>
      <c r="F51" s="6">
        <v>686245</v>
      </c>
      <c r="G51" s="6">
        <v>348289</v>
      </c>
      <c r="H51" s="6">
        <v>432649</v>
      </c>
      <c r="I51" s="6">
        <v>383572</v>
      </c>
      <c r="J51" s="11"/>
      <c r="K51" s="11"/>
      <c r="L51" s="11"/>
      <c r="M51" s="11"/>
      <c r="N51" s="6"/>
      <c r="O51" s="6"/>
      <c r="P51" s="6"/>
      <c r="Q51" s="6"/>
      <c r="R51" s="7"/>
      <c r="S51" s="8"/>
      <c r="T51" s="8"/>
      <c r="U51" s="9"/>
      <c r="V51" s="15"/>
      <c r="W51" s="15"/>
      <c r="X51" s="15"/>
      <c r="Y51" s="15"/>
      <c r="AD51" s="3"/>
      <c r="AE51" s="3"/>
    </row>
    <row r="52" spans="1:31">
      <c r="A52" s="6" t="s">
        <v>86</v>
      </c>
      <c r="B52" s="11">
        <v>822090</v>
      </c>
      <c r="C52" s="11">
        <v>488986</v>
      </c>
      <c r="D52" s="11">
        <v>824724</v>
      </c>
      <c r="E52" s="11">
        <v>694323</v>
      </c>
      <c r="F52" s="6">
        <v>266224</v>
      </c>
      <c r="G52" s="6">
        <v>918876</v>
      </c>
      <c r="H52" s="6">
        <v>495446</v>
      </c>
      <c r="I52" s="6">
        <v>1</v>
      </c>
      <c r="J52" s="11"/>
      <c r="K52" s="11"/>
      <c r="L52" s="11"/>
      <c r="M52" s="11"/>
      <c r="N52" s="6"/>
      <c r="O52" s="6"/>
      <c r="P52" s="6"/>
      <c r="Q52" s="6"/>
      <c r="R52" s="7"/>
      <c r="S52" s="8"/>
      <c r="T52" s="8"/>
      <c r="U52" s="9"/>
      <c r="V52" s="15"/>
      <c r="W52" s="15"/>
      <c r="X52" s="15"/>
      <c r="Y52" s="15"/>
      <c r="AD52" s="3"/>
      <c r="AE52" s="3"/>
    </row>
    <row r="53" spans="1:31">
      <c r="A53" s="6" t="s">
        <v>87</v>
      </c>
      <c r="B53" s="11">
        <v>265414</v>
      </c>
      <c r="C53" s="11">
        <v>165812</v>
      </c>
      <c r="D53" s="11">
        <v>106369</v>
      </c>
      <c r="E53" s="11">
        <v>259140</v>
      </c>
      <c r="F53" s="6">
        <v>410247</v>
      </c>
      <c r="G53" s="6">
        <v>340087</v>
      </c>
      <c r="H53" s="6">
        <v>185187</v>
      </c>
      <c r="I53" s="6">
        <v>347801</v>
      </c>
      <c r="J53" s="11"/>
      <c r="K53" s="11"/>
      <c r="L53" s="11"/>
      <c r="M53" s="11"/>
      <c r="N53" s="6"/>
      <c r="O53" s="6"/>
      <c r="P53" s="6"/>
      <c r="Q53" s="6"/>
      <c r="R53" s="7"/>
      <c r="S53" s="8"/>
      <c r="T53" s="8"/>
      <c r="U53" s="9"/>
      <c r="V53" s="15"/>
      <c r="W53" s="15"/>
      <c r="X53" s="15"/>
      <c r="Y53" s="15"/>
      <c r="AD53" s="3"/>
      <c r="AE53" s="3"/>
    </row>
    <row r="54" spans="1:31">
      <c r="A54" s="6" t="s">
        <v>88</v>
      </c>
      <c r="B54" s="11">
        <v>89770</v>
      </c>
      <c r="C54" s="11">
        <v>31853</v>
      </c>
      <c r="D54" s="11">
        <v>93565</v>
      </c>
      <c r="E54" s="11">
        <v>68747</v>
      </c>
      <c r="F54" s="6">
        <v>205748</v>
      </c>
      <c r="G54" s="6">
        <v>255996</v>
      </c>
      <c r="H54" s="6">
        <v>294256</v>
      </c>
      <c r="I54" s="6">
        <v>336805</v>
      </c>
      <c r="J54" s="11"/>
      <c r="K54" s="11"/>
      <c r="L54" s="11"/>
      <c r="M54" s="11"/>
      <c r="N54" s="6"/>
      <c r="O54" s="6"/>
      <c r="P54" s="6"/>
      <c r="Q54" s="6"/>
      <c r="R54" s="7"/>
      <c r="S54" s="8"/>
      <c r="T54" s="8"/>
      <c r="U54" s="9"/>
      <c r="V54" s="15"/>
      <c r="W54" s="15"/>
      <c r="X54" s="15"/>
      <c r="Y54" s="15"/>
      <c r="AD54" s="3"/>
      <c r="AE54" s="3"/>
    </row>
    <row r="55" spans="1:31">
      <c r="A55" s="6" t="s">
        <v>89</v>
      </c>
      <c r="B55" s="11">
        <v>735234</v>
      </c>
      <c r="C55" s="11">
        <v>463842</v>
      </c>
      <c r="D55" s="11">
        <v>224602</v>
      </c>
      <c r="E55" s="11">
        <v>657544</v>
      </c>
      <c r="F55" s="6">
        <v>321449</v>
      </c>
      <c r="G55" s="6">
        <v>293388</v>
      </c>
      <c r="H55" s="6">
        <v>164104</v>
      </c>
      <c r="I55" s="6">
        <v>280305</v>
      </c>
      <c r="J55" s="11"/>
      <c r="K55" s="11"/>
      <c r="L55" s="11"/>
      <c r="M55" s="11"/>
      <c r="N55" s="6"/>
      <c r="O55" s="6"/>
      <c r="P55" s="6"/>
      <c r="Q55" s="6"/>
      <c r="R55" s="7"/>
      <c r="S55" s="8"/>
      <c r="T55" s="8"/>
      <c r="U55" s="9"/>
      <c r="V55" s="15"/>
      <c r="W55" s="15"/>
      <c r="X55" s="15"/>
      <c r="Y55" s="15"/>
      <c r="AD55" s="3"/>
      <c r="AE55" s="3"/>
    </row>
    <row r="56" spans="1:31">
      <c r="A56" s="6" t="s">
        <v>90</v>
      </c>
      <c r="B56" s="11">
        <v>639137</v>
      </c>
      <c r="C56" s="11">
        <v>269325</v>
      </c>
      <c r="D56" s="11">
        <v>63184</v>
      </c>
      <c r="E56" s="11">
        <v>297405</v>
      </c>
      <c r="F56" s="6">
        <v>261867</v>
      </c>
      <c r="G56" s="6">
        <v>176661</v>
      </c>
      <c r="H56" s="6">
        <v>156792</v>
      </c>
      <c r="I56" s="6">
        <v>238749</v>
      </c>
      <c r="J56" s="11"/>
      <c r="K56" s="11"/>
      <c r="L56" s="11"/>
      <c r="M56" s="11"/>
      <c r="N56" s="6"/>
      <c r="O56" s="6"/>
      <c r="P56" s="6"/>
      <c r="Q56" s="6"/>
      <c r="R56" s="7"/>
      <c r="S56" s="8"/>
      <c r="T56" s="8"/>
      <c r="U56" s="9"/>
      <c r="V56" s="15"/>
      <c r="W56" s="15"/>
      <c r="X56" s="15"/>
      <c r="Y56" s="15"/>
      <c r="AD56" s="3"/>
      <c r="AE56" s="3"/>
    </row>
    <row r="57" spans="1:31">
      <c r="A57" s="6" t="s">
        <v>91</v>
      </c>
      <c r="B57" s="11">
        <v>123953</v>
      </c>
      <c r="C57" s="11">
        <v>97357</v>
      </c>
      <c r="D57" s="11">
        <v>51566</v>
      </c>
      <c r="E57" s="11">
        <v>109069</v>
      </c>
      <c r="F57" s="6">
        <v>139309</v>
      </c>
      <c r="G57" s="6">
        <v>99701</v>
      </c>
      <c r="H57" s="6">
        <v>70127</v>
      </c>
      <c r="I57" s="6">
        <v>84074</v>
      </c>
      <c r="J57" s="11"/>
      <c r="K57" s="11"/>
      <c r="L57" s="11"/>
      <c r="M57" s="11"/>
      <c r="N57" s="6"/>
      <c r="O57" s="6"/>
      <c r="P57" s="6"/>
      <c r="Q57" s="6"/>
      <c r="R57" s="7"/>
      <c r="S57" s="8"/>
      <c r="T57" s="8"/>
      <c r="U57" s="9"/>
      <c r="V57" s="15"/>
      <c r="W57" s="15"/>
      <c r="X57" s="15"/>
      <c r="Y57" s="15"/>
      <c r="AD57" s="3"/>
      <c r="AE57" s="3"/>
    </row>
  </sheetData>
  <sortState xmlns:xlrd2="http://schemas.microsoft.com/office/spreadsheetml/2017/richdata2" ref="A2:AE35">
    <sortCondition descending="1" ref="S2:S35"/>
  </sortState>
  <conditionalFormatting sqref="J38:Q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Q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:Q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Y35">
    <cfRule type="cellIs" dxfId="9" priority="1" operator="lessThan">
      <formula>1</formula>
    </cfRule>
  </conditionalFormatting>
  <conditionalFormatting sqref="Z46:AB57 Z2:AB4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8:AB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E35">
    <cfRule type="cellIs" dxfId="8" priority="3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8E19-09DD-40EB-BC9F-31BDC98C873C}">
  <dimension ref="A1:C36"/>
  <sheetViews>
    <sheetView zoomScale="150" zoomScaleNormal="150" workbookViewId="0">
      <selection activeCell="C2" sqref="C2:C35"/>
    </sheetView>
  </sheetViews>
  <sheetFormatPr defaultColWidth="8.85546875" defaultRowHeight="15"/>
  <cols>
    <col min="1" max="1" width="17.42578125" customWidth="1"/>
    <col min="2" max="2" width="21.28515625" customWidth="1"/>
    <col min="3" max="3" width="30" customWidth="1"/>
  </cols>
  <sheetData>
    <row r="1" spans="1:3">
      <c r="A1" s="33" t="s">
        <v>0</v>
      </c>
      <c r="B1" s="35" t="s">
        <v>92</v>
      </c>
      <c r="C1" s="33" t="s">
        <v>93</v>
      </c>
    </row>
    <row r="2" spans="1:3">
      <c r="A2" s="12" t="s">
        <v>32</v>
      </c>
      <c r="B2" s="44" t="s">
        <v>94</v>
      </c>
      <c r="C2">
        <v>756.57515000000001</v>
      </c>
    </row>
    <row r="3" spans="1:3">
      <c r="A3" s="12" t="s">
        <v>34</v>
      </c>
      <c r="B3" s="44" t="s">
        <v>95</v>
      </c>
      <c r="C3" s="1">
        <v>891.17</v>
      </c>
    </row>
    <row r="4" spans="1:3">
      <c r="A4" s="12" t="s">
        <v>36</v>
      </c>
      <c r="B4" s="44" t="s">
        <v>96</v>
      </c>
      <c r="C4">
        <v>918.596675</v>
      </c>
    </row>
    <row r="5" spans="1:3">
      <c r="A5" s="12" t="s">
        <v>37</v>
      </c>
      <c r="B5" s="44" t="s">
        <v>97</v>
      </c>
      <c r="C5">
        <v>728.54385000000002</v>
      </c>
    </row>
    <row r="6" spans="1:3">
      <c r="A6" s="13" t="s">
        <v>38</v>
      </c>
      <c r="B6" t="s">
        <v>98</v>
      </c>
      <c r="C6">
        <v>748.52543800000001</v>
      </c>
    </row>
    <row r="7" spans="1:3">
      <c r="A7" s="12" t="s">
        <v>39</v>
      </c>
      <c r="B7" s="44" t="s">
        <v>99</v>
      </c>
      <c r="C7" s="1">
        <v>889.17</v>
      </c>
    </row>
    <row r="8" spans="1:3">
      <c r="A8" s="13" t="s">
        <v>40</v>
      </c>
      <c r="B8" s="44" t="s">
        <v>100</v>
      </c>
      <c r="C8">
        <v>594.52232500000002</v>
      </c>
    </row>
    <row r="9" spans="1:3">
      <c r="A9" s="12" t="s">
        <v>42</v>
      </c>
      <c r="B9" t="s">
        <v>101</v>
      </c>
      <c r="C9">
        <v>864.58102499999995</v>
      </c>
    </row>
    <row r="10" spans="1:3">
      <c r="A10" s="12" t="s">
        <v>43</v>
      </c>
      <c r="B10" s="44" t="s">
        <v>102</v>
      </c>
      <c r="C10">
        <v>702.52819999999997</v>
      </c>
    </row>
    <row r="11" spans="1:3">
      <c r="A11" s="12" t="s">
        <v>44</v>
      </c>
      <c r="B11" s="44" t="s">
        <v>103</v>
      </c>
      <c r="C11">
        <v>728.54385000000002</v>
      </c>
    </row>
    <row r="12" spans="1:3">
      <c r="A12" s="12" t="s">
        <v>45</v>
      </c>
      <c r="B12" s="44" t="s">
        <v>104</v>
      </c>
      <c r="C12" s="1">
        <v>893.19</v>
      </c>
    </row>
    <row r="13" spans="1:3">
      <c r="A13" s="12" t="s">
        <v>46</v>
      </c>
      <c r="B13" s="44" t="s">
        <v>101</v>
      </c>
      <c r="C13">
        <v>864.58102499999995</v>
      </c>
    </row>
    <row r="14" spans="1:3">
      <c r="A14" s="13" t="s">
        <v>47</v>
      </c>
      <c r="B14" s="44" t="s">
        <v>105</v>
      </c>
      <c r="C14">
        <v>720.49413800000002</v>
      </c>
    </row>
    <row r="15" spans="1:3">
      <c r="A15" s="13" t="s">
        <v>48</v>
      </c>
      <c r="B15" s="44" t="s">
        <v>106</v>
      </c>
      <c r="C15">
        <v>722.50978799999996</v>
      </c>
    </row>
    <row r="16" spans="1:3">
      <c r="A16" s="13" t="s">
        <v>49</v>
      </c>
      <c r="B16" s="44" t="s">
        <v>107</v>
      </c>
      <c r="C16">
        <v>620.53797499999996</v>
      </c>
    </row>
    <row r="17" spans="1:3">
      <c r="A17" s="12" t="s">
        <v>50</v>
      </c>
      <c r="B17" s="44" t="s">
        <v>108</v>
      </c>
      <c r="C17">
        <v>784.59079999999994</v>
      </c>
    </row>
    <row r="18" spans="1:3">
      <c r="A18" s="13" t="s">
        <v>51</v>
      </c>
      <c r="B18" s="44" t="s">
        <v>109</v>
      </c>
      <c r="C18">
        <v>694.47848799999997</v>
      </c>
    </row>
    <row r="19" spans="1:3">
      <c r="A19" s="13" t="s">
        <v>52</v>
      </c>
      <c r="B19" s="44" t="s">
        <v>110</v>
      </c>
      <c r="C19">
        <v>1376.972231</v>
      </c>
    </row>
    <row r="20" spans="1:3">
      <c r="A20" s="12" t="s">
        <v>54</v>
      </c>
      <c r="B20" s="44" t="s">
        <v>111</v>
      </c>
      <c r="C20" s="1">
        <v>837.08</v>
      </c>
    </row>
    <row r="21" spans="1:3" ht="15.95" thickBot="1">
      <c r="A21" s="14" t="s">
        <v>55</v>
      </c>
      <c r="B21" s="45" t="s">
        <v>112</v>
      </c>
      <c r="C21">
        <v>1402.987881</v>
      </c>
    </row>
    <row r="22" spans="1:3">
      <c r="A22" s="13" t="s">
        <v>57</v>
      </c>
      <c r="B22" t="s">
        <v>113</v>
      </c>
      <c r="C22">
        <v>774.54108799999995</v>
      </c>
    </row>
    <row r="23" spans="1:3">
      <c r="A23" s="12" t="s">
        <v>58</v>
      </c>
      <c r="B23" t="s">
        <v>114</v>
      </c>
      <c r="C23">
        <v>1374.972231</v>
      </c>
    </row>
    <row r="24" spans="1:3">
      <c r="A24" s="13" t="s">
        <v>59</v>
      </c>
      <c r="B24" s="44" t="s">
        <v>115</v>
      </c>
      <c r="C24">
        <v>1349.81</v>
      </c>
    </row>
    <row r="25" spans="1:3">
      <c r="A25" s="13" t="s">
        <v>60</v>
      </c>
      <c r="B25" t="s">
        <v>116</v>
      </c>
      <c r="C25">
        <v>746.50978799999996</v>
      </c>
    </row>
    <row r="26" spans="1:3">
      <c r="A26" s="12" t="s">
        <v>61</v>
      </c>
      <c r="B26" t="s">
        <v>111</v>
      </c>
      <c r="C26">
        <v>837.08</v>
      </c>
    </row>
    <row r="27" spans="1:3">
      <c r="A27" s="13" t="s">
        <v>62</v>
      </c>
      <c r="B27">
        <v>837.08</v>
      </c>
      <c r="C27">
        <v>1405.0035310000001</v>
      </c>
    </row>
    <row r="28" spans="1:3">
      <c r="A28" s="12" t="s">
        <v>63</v>
      </c>
      <c r="B28" s="44" t="s">
        <v>102</v>
      </c>
      <c r="C28">
        <v>674.94</v>
      </c>
    </row>
    <row r="29" spans="1:3">
      <c r="A29" s="12" t="s">
        <v>64</v>
      </c>
      <c r="B29" s="44" t="s">
        <v>117</v>
      </c>
      <c r="C29">
        <v>1347.81</v>
      </c>
    </row>
    <row r="30" spans="1:3">
      <c r="A30" s="12" t="s">
        <v>65</v>
      </c>
      <c r="B30" t="s">
        <v>118</v>
      </c>
      <c r="C30">
        <v>914.596675</v>
      </c>
    </row>
    <row r="31" spans="1:3">
      <c r="A31" s="13" t="s">
        <v>66</v>
      </c>
      <c r="B31" t="s">
        <v>119</v>
      </c>
      <c r="C31">
        <v>592.50667499999997</v>
      </c>
    </row>
    <row r="32" spans="1:3">
      <c r="A32" s="13" t="s">
        <v>67</v>
      </c>
      <c r="B32" t="s">
        <v>120</v>
      </c>
      <c r="C32">
        <v>592.50667499999997</v>
      </c>
    </row>
    <row r="33" spans="1:3">
      <c r="A33" s="12" t="s">
        <v>68</v>
      </c>
      <c r="B33" s="44" t="s">
        <v>121</v>
      </c>
      <c r="C33">
        <v>860.58102499999995</v>
      </c>
    </row>
    <row r="34" spans="1:3">
      <c r="A34" s="13" t="s">
        <v>69</v>
      </c>
      <c r="B34" t="s">
        <v>122</v>
      </c>
      <c r="C34">
        <v>540.47537499999999</v>
      </c>
    </row>
    <row r="35" spans="1:3">
      <c r="A35" s="12" t="s">
        <v>70</v>
      </c>
      <c r="B35" s="44" t="s">
        <v>123</v>
      </c>
      <c r="C35">
        <v>1351.81</v>
      </c>
    </row>
    <row r="36" spans="1:3">
      <c r="A3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B273-0B34-4446-B065-AE1DB09D8B06}">
  <dimension ref="A1:I57"/>
  <sheetViews>
    <sheetView zoomScale="93" zoomScaleNormal="93" workbookViewId="0">
      <selection activeCell="A18" sqref="A18"/>
    </sheetView>
  </sheetViews>
  <sheetFormatPr defaultColWidth="11.42578125" defaultRowHeight="15"/>
  <cols>
    <col min="1" max="1" width="24.42578125" customWidth="1"/>
    <col min="2" max="2" width="13.7109375" bestFit="1" customWidth="1"/>
    <col min="3" max="3" width="11.42578125" customWidth="1"/>
    <col min="4" max="7" width="18.140625" style="1" customWidth="1"/>
    <col min="8" max="8" width="20.7109375" customWidth="1"/>
  </cols>
  <sheetData>
    <row r="1" spans="1:9" ht="18.95">
      <c r="A1" s="33" t="s">
        <v>0</v>
      </c>
      <c r="B1" s="33" t="s">
        <v>93</v>
      </c>
      <c r="C1" s="33"/>
      <c r="D1" s="37" t="s">
        <v>17</v>
      </c>
      <c r="E1" s="37" t="s">
        <v>124</v>
      </c>
      <c r="F1" s="47" t="s">
        <v>31</v>
      </c>
      <c r="G1" s="37"/>
      <c r="H1" t="s">
        <v>125</v>
      </c>
      <c r="I1" t="s">
        <v>126</v>
      </c>
    </row>
    <row r="2" spans="1:9" ht="15.95">
      <c r="A2" s="53" t="s">
        <v>32</v>
      </c>
      <c r="B2" s="54">
        <v>756.57515000000001</v>
      </c>
      <c r="C2" s="55"/>
      <c r="D2" s="56">
        <v>9764685.75</v>
      </c>
      <c r="E2" s="56">
        <f t="shared" ref="E2:E21" si="0">D2/B2</f>
        <v>12906.432031239725</v>
      </c>
      <c r="F2" s="56">
        <f>E2/173791*100</f>
        <v>7.4264099011109463</v>
      </c>
      <c r="G2" s="41"/>
      <c r="H2">
        <f t="shared" ref="H2" si="1">F2*100/80</f>
        <v>9.2830123763886832</v>
      </c>
      <c r="I2">
        <f>H2*40</f>
        <v>371.32049505554733</v>
      </c>
    </row>
    <row r="3" spans="1:9" ht="15.95">
      <c r="A3" s="53" t="s">
        <v>34</v>
      </c>
      <c r="B3" s="57">
        <v>891.17</v>
      </c>
      <c r="C3" s="55"/>
      <c r="D3" s="56">
        <v>16818057</v>
      </c>
      <c r="E3" s="56">
        <f t="shared" si="0"/>
        <v>18871.884152294177</v>
      </c>
      <c r="F3" s="56">
        <f t="shared" ref="F3:F35" si="2">E3/173791*100</f>
        <v>10.858953658298862</v>
      </c>
      <c r="G3" s="41">
        <f>SUM(F2:F15,F18,F20)</f>
        <v>80.128698061340671</v>
      </c>
      <c r="H3">
        <f t="shared" ref="H3:H20" si="3">F3*100/80</f>
        <v>13.573692072873579</v>
      </c>
      <c r="I3">
        <f t="shared" ref="I3:I20" si="4">H3*40</f>
        <v>542.94768291494313</v>
      </c>
    </row>
    <row r="4" spans="1:9" ht="15.95">
      <c r="A4" s="53" t="s">
        <v>36</v>
      </c>
      <c r="B4" s="54">
        <v>918.596675</v>
      </c>
      <c r="C4" s="55"/>
      <c r="D4" s="56">
        <v>12746812.25</v>
      </c>
      <c r="E4" s="56">
        <f t="shared" si="0"/>
        <v>13876.397114108866</v>
      </c>
      <c r="F4" s="56">
        <f t="shared" si="2"/>
        <v>7.9845314855826048</v>
      </c>
      <c r="G4" s="41"/>
      <c r="H4">
        <f t="shared" si="3"/>
        <v>9.9806643569782558</v>
      </c>
      <c r="I4">
        <f t="shared" si="4"/>
        <v>399.2265742791302</v>
      </c>
    </row>
    <row r="5" spans="1:9" ht="15.95">
      <c r="A5" s="53" t="s">
        <v>37</v>
      </c>
      <c r="B5" s="54">
        <v>728.54385000000002</v>
      </c>
      <c r="C5" s="55"/>
      <c r="D5" s="56">
        <v>8106055.75</v>
      </c>
      <c r="E5" s="56">
        <f t="shared" si="0"/>
        <v>11126.380038758134</v>
      </c>
      <c r="F5" s="56">
        <f t="shared" si="2"/>
        <v>6.4021612389353502</v>
      </c>
      <c r="G5" s="41"/>
      <c r="H5">
        <f t="shared" si="3"/>
        <v>8.0027015486691884</v>
      </c>
      <c r="I5">
        <f t="shared" si="4"/>
        <v>320.10806194676752</v>
      </c>
    </row>
    <row r="6" spans="1:9" ht="15.95">
      <c r="A6" s="53" t="s">
        <v>38</v>
      </c>
      <c r="B6" s="54">
        <v>748.52543800000001</v>
      </c>
      <c r="C6" s="55"/>
      <c r="D6" s="56">
        <v>4389716.5</v>
      </c>
      <c r="E6" s="56">
        <f t="shared" si="0"/>
        <v>5864.4853964201548</v>
      </c>
      <c r="F6" s="56">
        <f t="shared" si="2"/>
        <v>3.3744471212088976</v>
      </c>
      <c r="G6" s="41"/>
      <c r="H6">
        <f t="shared" si="3"/>
        <v>4.2180589015111218</v>
      </c>
      <c r="I6">
        <f t="shared" si="4"/>
        <v>168.72235606044487</v>
      </c>
    </row>
    <row r="7" spans="1:9" ht="15.95">
      <c r="A7" s="53" t="s">
        <v>39</v>
      </c>
      <c r="B7" s="57">
        <v>889.17</v>
      </c>
      <c r="C7" s="55"/>
      <c r="D7" s="56">
        <v>4797262.75</v>
      </c>
      <c r="E7" s="56">
        <f t="shared" si="0"/>
        <v>5395.2143572095329</v>
      </c>
      <c r="F7" s="56">
        <f t="shared" si="2"/>
        <v>3.1044267868931836</v>
      </c>
      <c r="G7" s="41"/>
      <c r="H7">
        <f t="shared" si="3"/>
        <v>3.8805334836164795</v>
      </c>
      <c r="I7">
        <f t="shared" si="4"/>
        <v>155.22133934465919</v>
      </c>
    </row>
    <row r="8" spans="1:9" ht="15.95">
      <c r="A8" s="53" t="s">
        <v>40</v>
      </c>
      <c r="B8" s="54">
        <v>594.52232500000002</v>
      </c>
      <c r="C8" s="55"/>
      <c r="D8" s="56">
        <v>4718273.5</v>
      </c>
      <c r="E8" s="56">
        <f t="shared" si="0"/>
        <v>7936.2427643066221</v>
      </c>
      <c r="F8" s="56">
        <f t="shared" si="2"/>
        <v>4.5665441618418807</v>
      </c>
      <c r="G8" s="41"/>
      <c r="H8">
        <f t="shared" si="3"/>
        <v>5.7081802023023505</v>
      </c>
      <c r="I8">
        <f t="shared" si="4"/>
        <v>228.32720809209403</v>
      </c>
    </row>
    <row r="9" spans="1:9" ht="15.95">
      <c r="A9" s="53" t="s">
        <v>42</v>
      </c>
      <c r="B9" s="54">
        <v>864.58102499999995</v>
      </c>
      <c r="C9" s="55"/>
      <c r="D9" s="56">
        <v>7244786.75</v>
      </c>
      <c r="E9" s="56">
        <f t="shared" si="0"/>
        <v>8379.5347578903893</v>
      </c>
      <c r="F9" s="56">
        <f t="shared" si="2"/>
        <v>4.8216160548534672</v>
      </c>
      <c r="G9" s="41"/>
      <c r="H9">
        <f t="shared" si="3"/>
        <v>6.0270200685668343</v>
      </c>
      <c r="I9">
        <f t="shared" si="4"/>
        <v>241.08080274267337</v>
      </c>
    </row>
    <row r="10" spans="1:9" ht="15.95">
      <c r="A10" s="53" t="s">
        <v>43</v>
      </c>
      <c r="B10" s="54">
        <v>702.52819999999997</v>
      </c>
      <c r="C10" s="55"/>
      <c r="D10" s="56">
        <v>6188164.25</v>
      </c>
      <c r="E10" s="56">
        <f t="shared" si="0"/>
        <v>8808.4211423826127</v>
      </c>
      <c r="F10" s="56">
        <f t="shared" si="2"/>
        <v>5.068398905802149</v>
      </c>
      <c r="G10" s="41"/>
      <c r="H10">
        <f t="shared" si="3"/>
        <v>6.3354986322526861</v>
      </c>
      <c r="I10">
        <f t="shared" si="4"/>
        <v>253.41994529010745</v>
      </c>
    </row>
    <row r="11" spans="1:9" ht="15.95">
      <c r="A11" s="53" t="s">
        <v>44</v>
      </c>
      <c r="B11" s="54">
        <v>728.54385000000002</v>
      </c>
      <c r="C11" s="55"/>
      <c r="D11" s="56">
        <v>4222603</v>
      </c>
      <c r="E11" s="56">
        <f t="shared" si="0"/>
        <v>5795.9490015597548</v>
      </c>
      <c r="F11" s="56">
        <f t="shared" si="2"/>
        <v>3.3350110198800595</v>
      </c>
      <c r="G11" s="41"/>
      <c r="H11">
        <f t="shared" si="3"/>
        <v>4.1687637748500741</v>
      </c>
      <c r="I11">
        <f t="shared" si="4"/>
        <v>166.75055099400296</v>
      </c>
    </row>
    <row r="12" spans="1:9" ht="15.95">
      <c r="A12" s="53" t="s">
        <v>45</v>
      </c>
      <c r="B12" s="57">
        <v>893.19</v>
      </c>
      <c r="C12" s="55"/>
      <c r="D12" s="56">
        <v>6855369</v>
      </c>
      <c r="E12" s="56">
        <f t="shared" si="0"/>
        <v>7675.1519833406101</v>
      </c>
      <c r="F12" s="56">
        <f t="shared" si="2"/>
        <v>4.4163115370419694</v>
      </c>
      <c r="G12" s="41"/>
      <c r="H12">
        <f t="shared" si="3"/>
        <v>5.520389421302462</v>
      </c>
      <c r="I12">
        <f t="shared" si="4"/>
        <v>220.81557685209847</v>
      </c>
    </row>
    <row r="13" spans="1:9" ht="15.95">
      <c r="A13" s="53" t="s">
        <v>46</v>
      </c>
      <c r="B13" s="54">
        <v>864.58102499999995</v>
      </c>
      <c r="C13" s="55"/>
      <c r="D13" s="56">
        <v>8909460.75</v>
      </c>
      <c r="E13" s="56">
        <f t="shared" si="0"/>
        <v>10304.945970795508</v>
      </c>
      <c r="F13" s="56">
        <f t="shared" si="2"/>
        <v>5.9295049633154235</v>
      </c>
      <c r="G13" s="41"/>
      <c r="H13">
        <f t="shared" si="3"/>
        <v>7.4118812041442794</v>
      </c>
      <c r="I13">
        <f t="shared" si="4"/>
        <v>296.47524816577118</v>
      </c>
    </row>
    <row r="14" spans="1:9" ht="15.95">
      <c r="A14" s="53" t="s">
        <v>47</v>
      </c>
      <c r="B14" s="54">
        <v>720.49413800000002</v>
      </c>
      <c r="C14" s="55"/>
      <c r="D14" s="56">
        <v>3918876</v>
      </c>
      <c r="E14" s="56">
        <f t="shared" si="0"/>
        <v>5439.150429284964</v>
      </c>
      <c r="F14" s="56">
        <f t="shared" si="2"/>
        <v>3.1297077692659365</v>
      </c>
      <c r="G14" s="41"/>
      <c r="H14">
        <f t="shared" si="3"/>
        <v>3.9121347115824205</v>
      </c>
      <c r="I14">
        <f t="shared" si="4"/>
        <v>156.48538846329683</v>
      </c>
    </row>
    <row r="15" spans="1:9" ht="15.95">
      <c r="A15" s="53" t="s">
        <v>48</v>
      </c>
      <c r="B15" s="54">
        <v>722.50978799999996</v>
      </c>
      <c r="C15" s="55"/>
      <c r="D15" s="56">
        <v>3873371</v>
      </c>
      <c r="E15" s="56">
        <f t="shared" si="0"/>
        <v>5360.9945004648162</v>
      </c>
      <c r="F15" s="56">
        <f t="shared" si="2"/>
        <v>3.0847365516423841</v>
      </c>
      <c r="G15" s="41"/>
      <c r="H15">
        <f t="shared" si="3"/>
        <v>3.8559206895529803</v>
      </c>
      <c r="I15">
        <f t="shared" si="4"/>
        <v>154.23682758211922</v>
      </c>
    </row>
    <row r="16" spans="1:9" ht="15.95">
      <c r="A16" s="12" t="s">
        <v>49</v>
      </c>
      <c r="B16">
        <v>620.53797499999996</v>
      </c>
      <c r="C16" s="18"/>
      <c r="D16" s="48">
        <v>1679332.75</v>
      </c>
      <c r="E16" s="48">
        <f t="shared" si="0"/>
        <v>2706.2529895934254</v>
      </c>
      <c r="F16" s="48">
        <f t="shared" si="2"/>
        <v>1.5571882258537124</v>
      </c>
      <c r="G16" s="41"/>
    </row>
    <row r="17" spans="1:9" ht="15.95">
      <c r="A17" s="12" t="s">
        <v>50</v>
      </c>
      <c r="B17">
        <v>784.59079999999994</v>
      </c>
      <c r="C17" s="18"/>
      <c r="D17" s="48">
        <v>1811763</v>
      </c>
      <c r="E17" s="48">
        <f t="shared" si="0"/>
        <v>2309.1820602535745</v>
      </c>
      <c r="F17" s="48">
        <f t="shared" si="2"/>
        <v>1.3287121083678526</v>
      </c>
      <c r="G17" s="41"/>
    </row>
    <row r="18" spans="1:9" ht="15.95">
      <c r="A18" s="53" t="s">
        <v>51</v>
      </c>
      <c r="B18" s="54">
        <v>694.47848799999997</v>
      </c>
      <c r="C18" s="55"/>
      <c r="D18" s="56">
        <v>3969681.75</v>
      </c>
      <c r="E18" s="56">
        <f t="shared" si="0"/>
        <v>5716.0615031174302</v>
      </c>
      <c r="F18" s="56">
        <f t="shared" si="2"/>
        <v>3.2890434505339341</v>
      </c>
      <c r="G18" s="41"/>
      <c r="H18">
        <f t="shared" si="3"/>
        <v>4.1113043131674178</v>
      </c>
      <c r="I18">
        <f t="shared" si="4"/>
        <v>164.4521725266967</v>
      </c>
    </row>
    <row r="19" spans="1:9" ht="15.95">
      <c r="A19" s="12" t="s">
        <v>52</v>
      </c>
      <c r="B19">
        <v>1376.972231</v>
      </c>
      <c r="C19" s="18"/>
      <c r="D19" s="48">
        <v>3164822.25</v>
      </c>
      <c r="E19" s="48">
        <f t="shared" si="0"/>
        <v>2298.3922106414652</v>
      </c>
      <c r="F19" s="48">
        <f t="shared" si="2"/>
        <v>1.3225035880117297</v>
      </c>
      <c r="G19" s="41"/>
    </row>
    <row r="20" spans="1:9" ht="15.95">
      <c r="A20" s="53" t="s">
        <v>54</v>
      </c>
      <c r="B20" s="57">
        <v>837.08</v>
      </c>
      <c r="C20" s="55"/>
      <c r="D20" s="56">
        <v>4854411.5</v>
      </c>
      <c r="E20" s="56">
        <f t="shared" si="0"/>
        <v>5799.2205046112676</v>
      </c>
      <c r="F20" s="56">
        <f t="shared" si="2"/>
        <v>3.3368934551336187</v>
      </c>
      <c r="G20" s="41"/>
      <c r="H20">
        <f t="shared" si="3"/>
        <v>4.1711168189170227</v>
      </c>
      <c r="I20">
        <f t="shared" si="4"/>
        <v>166.84467275668089</v>
      </c>
    </row>
    <row r="21" spans="1:9" ht="17.100000000000001" thickBot="1">
      <c r="A21" s="14" t="s">
        <v>55</v>
      </c>
      <c r="B21">
        <v>1402.987881</v>
      </c>
      <c r="C21" s="18"/>
      <c r="D21" s="48">
        <v>1302492.75</v>
      </c>
      <c r="E21" s="48">
        <f t="shared" si="0"/>
        <v>928.37063501334694</v>
      </c>
      <c r="F21" s="48">
        <f t="shared" si="2"/>
        <v>0.53418798154872627</v>
      </c>
      <c r="G21" s="41"/>
    </row>
    <row r="22" spans="1:9" ht="15.95">
      <c r="A22" s="12" t="s">
        <v>57</v>
      </c>
      <c r="B22">
        <v>774.54108799999995</v>
      </c>
      <c r="C22" s="18"/>
      <c r="D22" s="48">
        <v>559075</v>
      </c>
      <c r="E22" s="48">
        <f t="shared" ref="E22:E35" si="5">D22/B22</f>
        <v>721.81451528107959</v>
      </c>
      <c r="F22" s="48">
        <f t="shared" si="2"/>
        <v>0.41533480748777529</v>
      </c>
      <c r="G22" s="41"/>
    </row>
    <row r="23" spans="1:9" ht="15.95">
      <c r="A23" s="12" t="s">
        <v>58</v>
      </c>
      <c r="B23">
        <v>1374.972231</v>
      </c>
      <c r="C23" s="18"/>
      <c r="D23" s="48">
        <v>1475976.75</v>
      </c>
      <c r="E23" s="48">
        <f t="shared" si="5"/>
        <v>1073.4593155576244</v>
      </c>
      <c r="F23" s="48">
        <f t="shared" si="2"/>
        <v>0.61767255816332522</v>
      </c>
      <c r="G23" s="42"/>
    </row>
    <row r="24" spans="1:9" ht="15.95">
      <c r="A24" s="12" t="s">
        <v>59</v>
      </c>
      <c r="B24">
        <v>1349.81</v>
      </c>
      <c r="C24" s="18"/>
      <c r="D24" s="48">
        <v>3133552.75</v>
      </c>
      <c r="E24" s="48">
        <f t="shared" si="5"/>
        <v>2321.4769115653316</v>
      </c>
      <c r="F24" s="48">
        <f t="shared" si="2"/>
        <v>1.3357866124053213</v>
      </c>
      <c r="G24" s="42"/>
    </row>
    <row r="25" spans="1:9" ht="15.95">
      <c r="A25" s="12" t="s">
        <v>60</v>
      </c>
      <c r="B25">
        <v>746.50978799999996</v>
      </c>
      <c r="C25" s="18"/>
      <c r="D25" s="48">
        <v>688559.75</v>
      </c>
      <c r="E25" s="48">
        <f t="shared" si="5"/>
        <v>922.37203191232641</v>
      </c>
      <c r="F25" s="48">
        <f t="shared" si="2"/>
        <v>0.53073636259203671</v>
      </c>
      <c r="G25" s="42"/>
    </row>
    <row r="26" spans="1:9" ht="15.95">
      <c r="A26" s="12" t="s">
        <v>61</v>
      </c>
      <c r="B26">
        <v>837.08</v>
      </c>
      <c r="C26" s="18"/>
      <c r="D26" s="48">
        <v>2201970</v>
      </c>
      <c r="E26" s="48">
        <f t="shared" si="5"/>
        <v>2630.5371051751326</v>
      </c>
      <c r="F26" s="48">
        <f t="shared" si="2"/>
        <v>1.5136210190258026</v>
      </c>
      <c r="G26" s="42"/>
    </row>
    <row r="27" spans="1:9" ht="15.95">
      <c r="A27" s="12" t="s">
        <v>62</v>
      </c>
      <c r="B27">
        <v>1405.0035310000001</v>
      </c>
      <c r="C27" s="18"/>
      <c r="D27" s="48">
        <v>1184618</v>
      </c>
      <c r="E27" s="48">
        <f t="shared" si="5"/>
        <v>843.14236502797792</v>
      </c>
      <c r="F27" s="48">
        <f t="shared" si="2"/>
        <v>0.48514731201729544</v>
      </c>
      <c r="G27" s="42"/>
    </row>
    <row r="28" spans="1:9" ht="15.95">
      <c r="A28" s="12" t="s">
        <v>63</v>
      </c>
      <c r="B28">
        <v>674.94</v>
      </c>
      <c r="C28" s="18"/>
      <c r="D28" s="48">
        <v>2705461.25</v>
      </c>
      <c r="E28" s="48">
        <f t="shared" si="5"/>
        <v>4008.4470471449313</v>
      </c>
      <c r="F28" s="48">
        <f t="shared" si="2"/>
        <v>2.3064756213756357</v>
      </c>
      <c r="G28" s="42"/>
    </row>
    <row r="29" spans="1:9" ht="15.95">
      <c r="A29" s="12" t="s">
        <v>64</v>
      </c>
      <c r="B29">
        <v>1347.81</v>
      </c>
      <c r="C29" s="18"/>
      <c r="D29" s="48">
        <v>1520213.75</v>
      </c>
      <c r="E29" s="48">
        <f t="shared" si="5"/>
        <v>1127.9139863927408</v>
      </c>
      <c r="F29" s="48">
        <f t="shared" si="2"/>
        <v>0.64900598212378136</v>
      </c>
      <c r="G29" s="42"/>
    </row>
    <row r="30" spans="1:9" ht="15.95">
      <c r="A30" s="12" t="s">
        <v>65</v>
      </c>
      <c r="B30">
        <v>914.596675</v>
      </c>
      <c r="C30" s="18"/>
      <c r="D30" s="48">
        <v>945586.25</v>
      </c>
      <c r="E30" s="48">
        <f t="shared" si="5"/>
        <v>1033.8833234879189</v>
      </c>
      <c r="F30" s="48">
        <f t="shared" si="2"/>
        <v>0.59490038234886666</v>
      </c>
      <c r="G30" s="42"/>
    </row>
    <row r="31" spans="1:9" ht="15.95">
      <c r="A31" s="12" t="s">
        <v>66</v>
      </c>
      <c r="B31">
        <v>592.50667499999997</v>
      </c>
      <c r="C31" s="18"/>
      <c r="D31" s="48">
        <v>1223903.25</v>
      </c>
      <c r="E31" s="48">
        <f t="shared" si="5"/>
        <v>2065.6362225792645</v>
      </c>
      <c r="F31" s="48">
        <f t="shared" si="2"/>
        <v>1.1885749104264689</v>
      </c>
      <c r="G31" s="42"/>
    </row>
    <row r="32" spans="1:9" ht="15.95">
      <c r="A32" s="12" t="s">
        <v>67</v>
      </c>
      <c r="B32">
        <v>592.50667499999997</v>
      </c>
      <c r="C32" s="18"/>
      <c r="D32" s="48">
        <v>1259487.5</v>
      </c>
      <c r="E32" s="48">
        <f t="shared" si="5"/>
        <v>2125.693351893462</v>
      </c>
      <c r="F32" s="48">
        <f t="shared" si="2"/>
        <v>1.2231320102269174</v>
      </c>
      <c r="G32" s="42"/>
    </row>
    <row r="33" spans="1:7" ht="15.95">
      <c r="A33" s="12" t="s">
        <v>68</v>
      </c>
      <c r="B33">
        <v>860.58102499999995</v>
      </c>
      <c r="C33" s="18"/>
      <c r="D33" s="48">
        <v>1109613.75</v>
      </c>
      <c r="E33" s="48">
        <f t="shared" si="5"/>
        <v>1289.3774296266874</v>
      </c>
      <c r="F33" s="48">
        <f t="shared" si="2"/>
        <v>0.74191265924396965</v>
      </c>
      <c r="G33" s="42"/>
    </row>
    <row r="34" spans="1:7" ht="15.95">
      <c r="A34" s="12" t="s">
        <v>69</v>
      </c>
      <c r="B34">
        <v>540.47537499999999</v>
      </c>
      <c r="C34" s="18"/>
      <c r="D34" s="48">
        <v>2224950.5</v>
      </c>
      <c r="E34" s="48">
        <f t="shared" si="5"/>
        <v>4116.6547134547991</v>
      </c>
      <c r="F34" s="48">
        <f t="shared" si="2"/>
        <v>2.3687387226351184</v>
      </c>
      <c r="G34" s="42"/>
    </row>
    <row r="35" spans="1:7" ht="15.95">
      <c r="A35" s="12" t="s">
        <v>70</v>
      </c>
      <c r="B35">
        <v>1351.81</v>
      </c>
      <c r="C35" s="18"/>
      <c r="D35" s="48">
        <v>2719191.25</v>
      </c>
      <c r="E35" s="48">
        <f t="shared" si="5"/>
        <v>2011.5188155140147</v>
      </c>
      <c r="F35" s="48">
        <f t="shared" si="2"/>
        <v>1.1574355493172919</v>
      </c>
      <c r="G35" s="42"/>
    </row>
    <row r="36" spans="1:7" ht="15.95">
      <c r="A36" s="4"/>
      <c r="B36" s="8"/>
      <c r="C36" s="8"/>
      <c r="D36" s="49"/>
      <c r="E36" s="48"/>
      <c r="F36" s="50"/>
      <c r="G36" s="15"/>
    </row>
    <row r="37" spans="1:7" ht="15.95">
      <c r="B37" s="8"/>
      <c r="C37" s="8"/>
      <c r="D37" s="49"/>
      <c r="E37" s="51">
        <f>SUM(E2:E35)</f>
        <v>173790.59067789963</v>
      </c>
      <c r="F37" s="48"/>
      <c r="G37" s="15"/>
    </row>
    <row r="38" spans="1:7" ht="15.95">
      <c r="B38" s="8"/>
      <c r="C38" s="8"/>
      <c r="D38" s="49"/>
      <c r="E38" s="52"/>
      <c r="F38" s="48"/>
      <c r="G38" s="15"/>
    </row>
    <row r="39" spans="1:7" ht="15.95">
      <c r="B39" s="8"/>
      <c r="C39" s="8"/>
      <c r="D39" s="49"/>
      <c r="E39" s="52">
        <v>173791</v>
      </c>
      <c r="F39" s="48"/>
      <c r="G39" s="15"/>
    </row>
    <row r="40" spans="1:7" ht="15.95">
      <c r="B40" s="8"/>
      <c r="C40" s="8"/>
      <c r="D40" s="49"/>
      <c r="E40" s="52"/>
      <c r="F40" s="48"/>
      <c r="G40" s="15"/>
    </row>
    <row r="41" spans="1:7" ht="15.95">
      <c r="B41" s="8"/>
      <c r="C41" s="8"/>
      <c r="D41" s="49"/>
      <c r="E41" s="52"/>
      <c r="F41" s="48"/>
      <c r="G41" s="15"/>
    </row>
    <row r="42" spans="1:7" ht="15.95">
      <c r="B42" s="8"/>
      <c r="C42" s="8"/>
      <c r="D42" s="15"/>
      <c r="E42" s="43"/>
      <c r="F42" s="42"/>
      <c r="G42" s="15"/>
    </row>
    <row r="43" spans="1:7" ht="15.95">
      <c r="B43" s="8"/>
      <c r="C43" s="8"/>
      <c r="D43" s="15"/>
      <c r="E43" s="43"/>
      <c r="F43" s="42"/>
      <c r="G43" s="15"/>
    </row>
    <row r="44" spans="1:7" ht="15.95">
      <c r="B44" s="8"/>
      <c r="C44" s="8"/>
      <c r="D44" s="15"/>
      <c r="E44" s="43"/>
      <c r="F44" s="42"/>
      <c r="G44" s="15"/>
    </row>
    <row r="45" spans="1:7" ht="15.95">
      <c r="F45" s="42"/>
    </row>
    <row r="46" spans="1:7" ht="15.95">
      <c r="B46" s="8"/>
      <c r="C46" s="8"/>
      <c r="D46" s="15"/>
      <c r="E46" s="43"/>
      <c r="F46" s="42"/>
      <c r="G46" s="15"/>
    </row>
    <row r="47" spans="1:7">
      <c r="B47" s="8"/>
      <c r="C47" s="8"/>
      <c r="D47" s="15"/>
      <c r="E47" s="15"/>
      <c r="F47" s="15"/>
      <c r="G47" s="15"/>
    </row>
    <row r="48" spans="1:7">
      <c r="B48" s="8"/>
      <c r="C48" s="8"/>
      <c r="D48" s="15"/>
      <c r="E48" s="15"/>
      <c r="F48" s="15"/>
      <c r="G48" s="15"/>
    </row>
    <row r="49" spans="2:7">
      <c r="B49" s="8"/>
      <c r="C49" s="8"/>
      <c r="D49" s="15"/>
      <c r="E49" s="15"/>
      <c r="F49" s="15"/>
      <c r="G49" s="15"/>
    </row>
    <row r="50" spans="2:7">
      <c r="B50" s="8"/>
      <c r="C50" s="8"/>
      <c r="D50" s="15"/>
      <c r="E50" s="15"/>
      <c r="F50" s="15"/>
      <c r="G50" s="15"/>
    </row>
    <row r="51" spans="2:7">
      <c r="B51" s="8"/>
      <c r="C51" s="8"/>
      <c r="D51" s="15"/>
      <c r="E51" s="15"/>
      <c r="F51" s="15"/>
      <c r="G51" s="15"/>
    </row>
    <row r="52" spans="2:7">
      <c r="B52" s="8"/>
      <c r="C52" s="8"/>
      <c r="D52" s="15"/>
      <c r="E52" s="15"/>
      <c r="F52" s="15"/>
      <c r="G52" s="15"/>
    </row>
    <row r="53" spans="2:7">
      <c r="B53" s="8"/>
      <c r="C53" s="8"/>
      <c r="D53" s="15"/>
      <c r="E53" s="15"/>
      <c r="F53" s="15"/>
      <c r="G53" s="15"/>
    </row>
    <row r="54" spans="2:7">
      <c r="B54" s="8"/>
      <c r="C54" s="8"/>
      <c r="D54" s="15"/>
      <c r="E54" s="15"/>
      <c r="F54" s="15"/>
      <c r="G54" s="15"/>
    </row>
    <row r="55" spans="2:7">
      <c r="B55" s="8"/>
      <c r="C55" s="8"/>
      <c r="D55" s="15"/>
      <c r="E55" s="15"/>
      <c r="F55" s="15"/>
      <c r="G55" s="15"/>
    </row>
    <row r="56" spans="2:7">
      <c r="B56" s="8"/>
      <c r="C56" s="8"/>
      <c r="D56" s="15"/>
      <c r="E56" s="15"/>
      <c r="F56" s="15"/>
      <c r="G56" s="15"/>
    </row>
    <row r="57" spans="2:7">
      <c r="B57" s="8"/>
      <c r="C57" s="8"/>
      <c r="D57" s="15"/>
      <c r="E57" s="15"/>
      <c r="F57" s="15"/>
      <c r="G57" s="15"/>
    </row>
  </sheetData>
  <conditionalFormatting sqref="D2:G35 F27:F46">
    <cfRule type="cellIs" dxfId="7" priority="2" operator="lessThan">
      <formula>1</formula>
    </cfRule>
  </conditionalFormatting>
  <conditionalFormatting sqref="E36">
    <cfRule type="cellIs" dxfId="6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9155-004D-8640-AF6B-1C38669705E6}">
  <dimension ref="A1:I57"/>
  <sheetViews>
    <sheetView workbookViewId="0">
      <selection activeCell="A13" sqref="A13"/>
    </sheetView>
  </sheetViews>
  <sheetFormatPr defaultColWidth="11.42578125" defaultRowHeight="15"/>
  <cols>
    <col min="1" max="1" width="24.42578125" customWidth="1"/>
    <col min="2" max="2" width="13.7109375" bestFit="1" customWidth="1"/>
  </cols>
  <sheetData>
    <row r="1" spans="1:9" ht="18.95">
      <c r="A1" s="33" t="s">
        <v>0</v>
      </c>
      <c r="B1" s="33" t="s">
        <v>93</v>
      </c>
      <c r="D1" s="46" t="s">
        <v>18</v>
      </c>
      <c r="E1" s="37" t="s">
        <v>124</v>
      </c>
      <c r="F1" s="37" t="s">
        <v>31</v>
      </c>
      <c r="H1" t="s">
        <v>125</v>
      </c>
      <c r="I1" t="s">
        <v>126</v>
      </c>
    </row>
    <row r="2" spans="1:9" ht="15.95">
      <c r="A2" s="61" t="s">
        <v>32</v>
      </c>
      <c r="B2" s="61">
        <v>756.57515000000001</v>
      </c>
      <c r="C2" s="61"/>
      <c r="D2" s="61">
        <v>13191700.5</v>
      </c>
      <c r="E2" s="56">
        <f t="shared" ref="E2:E21" si="0">D2/B2</f>
        <v>17436.074261757076</v>
      </c>
      <c r="F2" s="56">
        <f>E2/151425*100</f>
        <v>11.514660235599852</v>
      </c>
      <c r="G2" s="63">
        <f>SUM(F2:F16)</f>
        <v>75.823889683843305</v>
      </c>
      <c r="H2">
        <f>F2*100/76</f>
        <v>15.150868731052435</v>
      </c>
      <c r="I2">
        <f>H2*40</f>
        <v>606.0347492420974</v>
      </c>
    </row>
    <row r="3" spans="1:9" ht="15.95">
      <c r="A3" s="61" t="s">
        <v>34</v>
      </c>
      <c r="B3" s="62">
        <v>891.17</v>
      </c>
      <c r="C3" s="61"/>
      <c r="D3" s="61">
        <v>10939392.75</v>
      </c>
      <c r="E3" s="56">
        <f t="shared" si="0"/>
        <v>12275.315315820775</v>
      </c>
      <c r="F3" s="56">
        <f t="shared" ref="F3:F35" si="1">E3/151425*100</f>
        <v>8.1065314946810467</v>
      </c>
      <c r="H3">
        <f t="shared" ref="H3:H16" si="2">F3*100/76</f>
        <v>10.66648880879085</v>
      </c>
      <c r="I3">
        <f t="shared" ref="I3:I16" si="3">H3*40</f>
        <v>426.65955235163403</v>
      </c>
    </row>
    <row r="4" spans="1:9" ht="15.95">
      <c r="A4" s="61" t="s">
        <v>36</v>
      </c>
      <c r="B4" s="61">
        <v>918.596675</v>
      </c>
      <c r="C4" s="61"/>
      <c r="D4" s="61">
        <v>9656595.25</v>
      </c>
      <c r="E4" s="56">
        <f t="shared" si="0"/>
        <v>10512.334208046203</v>
      </c>
      <c r="F4" s="56">
        <f t="shared" si="1"/>
        <v>6.9422712286915651</v>
      </c>
      <c r="H4">
        <f t="shared" si="2"/>
        <v>9.1345674061731117</v>
      </c>
      <c r="I4">
        <f t="shared" si="3"/>
        <v>365.38269624692447</v>
      </c>
    </row>
    <row r="5" spans="1:9" ht="15.95">
      <c r="A5" s="61" t="s">
        <v>37</v>
      </c>
      <c r="B5" s="61">
        <v>728.54385000000002</v>
      </c>
      <c r="C5" s="61"/>
      <c r="D5" s="61">
        <v>9338370.25</v>
      </c>
      <c r="E5" s="56">
        <f t="shared" si="0"/>
        <v>12817.856124926455</v>
      </c>
      <c r="F5" s="56">
        <f t="shared" si="1"/>
        <v>8.4648216113101906</v>
      </c>
      <c r="H5">
        <f t="shared" si="2"/>
        <v>11.137923172776567</v>
      </c>
      <c r="I5">
        <f t="shared" si="3"/>
        <v>445.51692691106268</v>
      </c>
    </row>
    <row r="6" spans="1:9" ht="15.95">
      <c r="A6" s="61" t="s">
        <v>38</v>
      </c>
      <c r="B6" s="61">
        <v>748.52543800000001</v>
      </c>
      <c r="C6" s="61"/>
      <c r="D6" s="61">
        <v>6443334.5</v>
      </c>
      <c r="E6" s="56">
        <f t="shared" si="0"/>
        <v>8608.0367785710441</v>
      </c>
      <c r="F6" s="56">
        <f t="shared" si="1"/>
        <v>5.6846866624210302</v>
      </c>
      <c r="H6">
        <f t="shared" si="2"/>
        <v>7.4798508716066188</v>
      </c>
      <c r="I6">
        <f t="shared" si="3"/>
        <v>299.19403486426472</v>
      </c>
    </row>
    <row r="7" spans="1:9" ht="15.95">
      <c r="A7" s="61" t="s">
        <v>39</v>
      </c>
      <c r="B7" s="62">
        <v>889.17</v>
      </c>
      <c r="C7" s="61"/>
      <c r="D7" s="61">
        <v>6080554.5</v>
      </c>
      <c r="E7" s="56">
        <f t="shared" si="0"/>
        <v>6838.4611491615779</v>
      </c>
      <c r="F7" s="56">
        <f t="shared" si="1"/>
        <v>4.5160714209421018</v>
      </c>
      <c r="H7">
        <f t="shared" si="2"/>
        <v>5.942199238081713</v>
      </c>
      <c r="I7">
        <f t="shared" si="3"/>
        <v>237.68796952326852</v>
      </c>
    </row>
    <row r="8" spans="1:9" ht="15.95">
      <c r="A8" s="61" t="s">
        <v>40</v>
      </c>
      <c r="B8" s="61">
        <v>594.52232500000002</v>
      </c>
      <c r="C8" s="61"/>
      <c r="D8" s="61">
        <v>5035183.5</v>
      </c>
      <c r="E8" s="56">
        <f t="shared" si="0"/>
        <v>8469.2925534798032</v>
      </c>
      <c r="F8" s="56">
        <f t="shared" si="1"/>
        <v>5.5930609565658269</v>
      </c>
      <c r="H8">
        <f t="shared" si="2"/>
        <v>7.3592907323234558</v>
      </c>
      <c r="I8">
        <f t="shared" si="3"/>
        <v>294.37162929293822</v>
      </c>
    </row>
    <row r="9" spans="1:9" ht="15.95">
      <c r="A9" s="61" t="s">
        <v>42</v>
      </c>
      <c r="B9" s="61">
        <v>864.58102499999995</v>
      </c>
      <c r="C9" s="61"/>
      <c r="D9" s="61">
        <v>4779952</v>
      </c>
      <c r="E9" s="56">
        <f t="shared" si="0"/>
        <v>5528.6339415094153</v>
      </c>
      <c r="F9" s="56">
        <f t="shared" si="1"/>
        <v>3.6510707885153808</v>
      </c>
      <c r="H9">
        <f t="shared" si="2"/>
        <v>4.8040405112044482</v>
      </c>
      <c r="I9">
        <f t="shared" si="3"/>
        <v>192.16162044817793</v>
      </c>
    </row>
    <row r="10" spans="1:9" ht="15.95">
      <c r="A10" s="61" t="s">
        <v>43</v>
      </c>
      <c r="B10" s="61">
        <v>702.52819999999997</v>
      </c>
      <c r="C10" s="61"/>
      <c r="D10" s="61">
        <v>4159643.75</v>
      </c>
      <c r="E10" s="56">
        <f t="shared" si="0"/>
        <v>5920.9633862384462</v>
      </c>
      <c r="F10" s="56">
        <f t="shared" si="1"/>
        <v>3.9101623815343878</v>
      </c>
      <c r="H10">
        <f t="shared" si="2"/>
        <v>5.1449505020189319</v>
      </c>
      <c r="I10">
        <f t="shared" si="3"/>
        <v>205.79802008075728</v>
      </c>
    </row>
    <row r="11" spans="1:9" ht="15.95">
      <c r="A11" s="61" t="s">
        <v>44</v>
      </c>
      <c r="B11" s="61">
        <v>728.54385000000002</v>
      </c>
      <c r="C11" s="61"/>
      <c r="D11" s="61">
        <v>3834533.5</v>
      </c>
      <c r="E11" s="56">
        <f t="shared" si="0"/>
        <v>5263.2844268742365</v>
      </c>
      <c r="F11" s="56">
        <f t="shared" si="1"/>
        <v>3.4758358440642145</v>
      </c>
      <c r="H11">
        <f t="shared" si="2"/>
        <v>4.5734682158739659</v>
      </c>
      <c r="I11">
        <f t="shared" si="3"/>
        <v>182.93872863495864</v>
      </c>
    </row>
    <row r="12" spans="1:9" ht="15.95">
      <c r="A12" s="61" t="s">
        <v>45</v>
      </c>
      <c r="B12" s="62">
        <v>893.19</v>
      </c>
      <c r="C12" s="61"/>
      <c r="D12" s="61">
        <v>3576357.25</v>
      </c>
      <c r="E12" s="56">
        <f t="shared" si="0"/>
        <v>4004.0274185783537</v>
      </c>
      <c r="F12" s="56">
        <f t="shared" si="1"/>
        <v>2.6442314139530154</v>
      </c>
      <c r="H12">
        <f t="shared" si="2"/>
        <v>3.4792518604644935</v>
      </c>
      <c r="I12">
        <f t="shared" si="3"/>
        <v>139.17007441857973</v>
      </c>
    </row>
    <row r="13" spans="1:9" ht="15.95">
      <c r="A13" s="61" t="s">
        <v>46</v>
      </c>
      <c r="B13" s="61">
        <v>864.58102499999995</v>
      </c>
      <c r="C13" s="61"/>
      <c r="D13" s="61">
        <v>3535709.5</v>
      </c>
      <c r="E13" s="56">
        <f t="shared" si="0"/>
        <v>4089.5062437901643</v>
      </c>
      <c r="F13" s="56">
        <f t="shared" si="1"/>
        <v>2.7006810261120453</v>
      </c>
      <c r="H13">
        <f t="shared" si="2"/>
        <v>3.5535276659369019</v>
      </c>
      <c r="I13">
        <f t="shared" si="3"/>
        <v>142.14110663747607</v>
      </c>
    </row>
    <row r="14" spans="1:9" ht="15.95">
      <c r="A14" s="61" t="s">
        <v>47</v>
      </c>
      <c r="B14" s="61">
        <v>720.49413800000002</v>
      </c>
      <c r="C14" s="61"/>
      <c r="D14" s="61">
        <v>3439149.5</v>
      </c>
      <c r="E14" s="56">
        <f t="shared" si="0"/>
        <v>4773.3205846013416</v>
      </c>
      <c r="F14" s="56">
        <f t="shared" si="1"/>
        <v>3.1522671848118486</v>
      </c>
      <c r="H14">
        <f t="shared" si="2"/>
        <v>4.1477199800155908</v>
      </c>
      <c r="I14">
        <f t="shared" si="3"/>
        <v>165.90879920062363</v>
      </c>
    </row>
    <row r="15" spans="1:9" ht="15.95">
      <c r="A15" s="61" t="s">
        <v>48</v>
      </c>
      <c r="B15" s="61">
        <v>722.50978799999996</v>
      </c>
      <c r="C15" s="61"/>
      <c r="D15" s="61">
        <v>3115141.75</v>
      </c>
      <c r="E15" s="56">
        <f t="shared" si="0"/>
        <v>4311.5564684917463</v>
      </c>
      <c r="F15" s="56">
        <f t="shared" si="1"/>
        <v>2.8473214254526971</v>
      </c>
      <c r="H15">
        <f t="shared" si="2"/>
        <v>3.7464755598061803</v>
      </c>
      <c r="I15">
        <f t="shared" si="3"/>
        <v>149.8590223922472</v>
      </c>
    </row>
    <row r="16" spans="1:9" ht="15.95">
      <c r="A16" s="61" t="s">
        <v>49</v>
      </c>
      <c r="B16" s="61">
        <v>620.53797499999996</v>
      </c>
      <c r="C16" s="61"/>
      <c r="D16" s="61">
        <v>2462085</v>
      </c>
      <c r="E16" s="56">
        <f t="shared" si="0"/>
        <v>3967.6620919130696</v>
      </c>
      <c r="F16" s="56">
        <f t="shared" si="1"/>
        <v>2.6202160091880931</v>
      </c>
      <c r="H16">
        <f t="shared" si="2"/>
        <v>3.447652643668544</v>
      </c>
      <c r="I16">
        <f t="shared" si="3"/>
        <v>137.90610574674176</v>
      </c>
    </row>
    <row r="17" spans="1:7" ht="15.95">
      <c r="A17" s="58" t="s">
        <v>50</v>
      </c>
      <c r="B17" s="58">
        <v>784.59079999999994</v>
      </c>
      <c r="C17" s="58"/>
      <c r="D17" s="58">
        <v>2417671.5</v>
      </c>
      <c r="E17" s="48">
        <f t="shared" si="0"/>
        <v>3081.4425812793115</v>
      </c>
      <c r="F17" s="48">
        <f t="shared" si="1"/>
        <v>2.0349629065737571</v>
      </c>
    </row>
    <row r="18" spans="1:7" ht="15.95">
      <c r="A18" s="58" t="s">
        <v>51</v>
      </c>
      <c r="B18" s="58">
        <v>694.47848799999997</v>
      </c>
      <c r="C18" s="58"/>
      <c r="D18" s="58">
        <v>2356036.25</v>
      </c>
      <c r="E18" s="48">
        <f t="shared" si="0"/>
        <v>3392.5258891532435</v>
      </c>
      <c r="F18" s="48">
        <f t="shared" si="1"/>
        <v>2.2404001249154657</v>
      </c>
    </row>
    <row r="19" spans="1:7" ht="15.95">
      <c r="A19" s="58" t="s">
        <v>52</v>
      </c>
      <c r="B19" s="58">
        <v>1376.972231</v>
      </c>
      <c r="C19" s="58"/>
      <c r="D19" s="58">
        <v>2330379</v>
      </c>
      <c r="E19" s="48">
        <f t="shared" si="0"/>
        <v>1692.393606447391</v>
      </c>
      <c r="F19" s="48">
        <f t="shared" si="1"/>
        <v>1.1176447788987229</v>
      </c>
    </row>
    <row r="20" spans="1:7" ht="15.95">
      <c r="A20" s="58" t="s">
        <v>54</v>
      </c>
      <c r="B20" s="52">
        <v>837.08</v>
      </c>
      <c r="C20" s="58"/>
      <c r="D20" s="58">
        <v>2166416</v>
      </c>
      <c r="E20" s="48">
        <f t="shared" si="0"/>
        <v>2588.0632675490992</v>
      </c>
      <c r="F20" s="48">
        <f t="shared" si="1"/>
        <v>1.7091386941053981</v>
      </c>
    </row>
    <row r="21" spans="1:7" ht="17.100000000000001" thickBot="1">
      <c r="A21" s="59" t="s">
        <v>55</v>
      </c>
      <c r="B21" s="58">
        <v>1402.987881</v>
      </c>
      <c r="C21" s="58"/>
      <c r="D21" s="58">
        <v>1882759.5</v>
      </c>
      <c r="E21" s="48">
        <f t="shared" si="0"/>
        <v>1341.9641933457299</v>
      </c>
      <c r="F21" s="48">
        <f t="shared" si="1"/>
        <v>0.88622367069224361</v>
      </c>
    </row>
    <row r="22" spans="1:7" ht="15.95">
      <c r="A22" s="58" t="s">
        <v>57</v>
      </c>
      <c r="B22" s="58">
        <v>774.54108799999995</v>
      </c>
      <c r="C22" s="58"/>
      <c r="D22" s="58">
        <v>1847527.75</v>
      </c>
      <c r="E22" s="48">
        <f t="shared" ref="E22:E35" si="4">D22/B22</f>
        <v>2385.319227893563</v>
      </c>
      <c r="F22" s="48">
        <f t="shared" si="1"/>
        <v>1.5752479629477054</v>
      </c>
    </row>
    <row r="23" spans="1:7" ht="15.95">
      <c r="A23" s="58" t="s">
        <v>58</v>
      </c>
      <c r="B23" s="58">
        <v>1374.972231</v>
      </c>
      <c r="C23" s="58"/>
      <c r="D23" s="58">
        <v>1812561.75</v>
      </c>
      <c r="E23" s="48">
        <f t="shared" si="4"/>
        <v>1318.2533502380238</v>
      </c>
      <c r="F23" s="48">
        <f t="shared" si="1"/>
        <v>0.87056519744957828</v>
      </c>
    </row>
    <row r="24" spans="1:7" ht="15.95">
      <c r="A24" s="58" t="s">
        <v>59</v>
      </c>
      <c r="B24" s="58">
        <v>1349.81</v>
      </c>
      <c r="C24" s="58"/>
      <c r="D24" s="58">
        <v>1741489.5</v>
      </c>
      <c r="E24" s="48">
        <f t="shared" si="4"/>
        <v>1290.1738022388336</v>
      </c>
      <c r="F24" s="48">
        <f t="shared" si="1"/>
        <v>0.85202166236673837</v>
      </c>
    </row>
    <row r="25" spans="1:7" ht="15.95">
      <c r="A25" s="58" t="s">
        <v>60</v>
      </c>
      <c r="B25" s="58">
        <v>746.50978799999996</v>
      </c>
      <c r="C25" s="58"/>
      <c r="D25" s="58">
        <v>1691743</v>
      </c>
      <c r="E25" s="48">
        <f t="shared" si="4"/>
        <v>2266.2033736120284</v>
      </c>
      <c r="F25" s="48">
        <f t="shared" si="1"/>
        <v>1.4965846944771526</v>
      </c>
    </row>
    <row r="26" spans="1:7" ht="15.95">
      <c r="A26" s="58" t="s">
        <v>61</v>
      </c>
      <c r="B26" s="58">
        <v>837.08</v>
      </c>
      <c r="C26" s="58"/>
      <c r="D26" s="58">
        <v>1644309</v>
      </c>
      <c r="E26" s="48">
        <f t="shared" si="4"/>
        <v>1964.3391312658287</v>
      </c>
      <c r="F26" s="48">
        <f t="shared" si="1"/>
        <v>1.2972356818661575</v>
      </c>
    </row>
    <row r="27" spans="1:7" ht="15.95">
      <c r="A27" s="58" t="s">
        <v>62</v>
      </c>
      <c r="B27" s="58">
        <v>1405.0035310000001</v>
      </c>
      <c r="C27" s="58"/>
      <c r="D27" s="58">
        <v>1573480</v>
      </c>
      <c r="E27" s="48">
        <f t="shared" si="4"/>
        <v>1119.9117762217211</v>
      </c>
      <c r="F27" s="48">
        <f t="shared" si="1"/>
        <v>0.73958182349131329</v>
      </c>
    </row>
    <row r="28" spans="1:7" ht="15.95">
      <c r="A28" s="58" t="s">
        <v>63</v>
      </c>
      <c r="B28" s="58">
        <v>674.94</v>
      </c>
      <c r="C28" s="58"/>
      <c r="D28" s="58">
        <v>1572826.75</v>
      </c>
      <c r="E28" s="48">
        <f t="shared" si="4"/>
        <v>2330.320843334222</v>
      </c>
      <c r="F28" s="48">
        <f t="shared" si="1"/>
        <v>1.5389274184145432</v>
      </c>
    </row>
    <row r="29" spans="1:7" ht="15.95">
      <c r="A29" s="58" t="s">
        <v>64</v>
      </c>
      <c r="B29" s="58">
        <v>1347.81</v>
      </c>
      <c r="C29" s="58"/>
      <c r="D29" s="58">
        <v>1529612.5</v>
      </c>
      <c r="E29" s="48">
        <f t="shared" si="4"/>
        <v>1134.887335752072</v>
      </c>
      <c r="F29" s="48">
        <f t="shared" si="1"/>
        <v>0.74947157718479251</v>
      </c>
    </row>
    <row r="30" spans="1:7" ht="15.95">
      <c r="A30" s="58" t="s">
        <v>65</v>
      </c>
      <c r="B30" s="58">
        <v>914.596675</v>
      </c>
      <c r="C30" s="58"/>
      <c r="D30" s="58">
        <v>1505477.75</v>
      </c>
      <c r="E30" s="48">
        <f t="shared" si="4"/>
        <v>1646.0564434044111</v>
      </c>
      <c r="F30" s="48">
        <f t="shared" si="1"/>
        <v>1.0870440438530038</v>
      </c>
    </row>
    <row r="31" spans="1:7" ht="15.95">
      <c r="A31" s="58" t="s">
        <v>66</v>
      </c>
      <c r="B31" s="58">
        <v>592.50667499999997</v>
      </c>
      <c r="C31" s="58"/>
      <c r="D31" s="58">
        <v>1380063.5</v>
      </c>
      <c r="E31" s="48">
        <f t="shared" si="4"/>
        <v>2329.1948567499262</v>
      </c>
      <c r="F31" s="48">
        <f t="shared" si="1"/>
        <v>1.5381838248307256</v>
      </c>
      <c r="G31" s="63"/>
    </row>
    <row r="32" spans="1:7" ht="15.95">
      <c r="A32" s="58" t="s">
        <v>67</v>
      </c>
      <c r="B32" s="58">
        <v>592.50667499999997</v>
      </c>
      <c r="C32" s="58"/>
      <c r="D32" s="58">
        <v>1344591.25</v>
      </c>
      <c r="E32" s="48">
        <f t="shared" si="4"/>
        <v>2269.3267548420449</v>
      </c>
      <c r="F32" s="48">
        <f t="shared" si="1"/>
        <v>1.4986473533710054</v>
      </c>
    </row>
    <row r="33" spans="1:6" ht="15.95">
      <c r="A33" s="58" t="s">
        <v>68</v>
      </c>
      <c r="B33" s="58">
        <v>860.58102499999995</v>
      </c>
      <c r="C33" s="58"/>
      <c r="D33" s="58">
        <v>1279232</v>
      </c>
      <c r="E33" s="48">
        <f t="shared" si="4"/>
        <v>1486.4747918419421</v>
      </c>
      <c r="F33" s="48">
        <f t="shared" si="1"/>
        <v>0.98165744879771633</v>
      </c>
    </row>
    <row r="34" spans="1:6" ht="15.95">
      <c r="A34" s="58" t="s">
        <v>69</v>
      </c>
      <c r="B34" s="58">
        <v>540.47537499999999</v>
      </c>
      <c r="C34" s="58"/>
      <c r="D34" s="58">
        <v>1262721</v>
      </c>
      <c r="E34" s="48">
        <f t="shared" si="4"/>
        <v>2336.3155074363935</v>
      </c>
      <c r="F34" s="48">
        <f t="shared" si="1"/>
        <v>1.5428862522280955</v>
      </c>
    </row>
    <row r="35" spans="1:6" ht="15.95">
      <c r="A35" s="58" t="s">
        <v>70</v>
      </c>
      <c r="B35" s="58">
        <v>1351.81</v>
      </c>
      <c r="C35" s="58"/>
      <c r="D35" s="58">
        <v>859721.5</v>
      </c>
      <c r="E35" s="48">
        <f t="shared" si="4"/>
        <v>635.97805904675954</v>
      </c>
      <c r="F35" s="48">
        <f t="shared" si="1"/>
        <v>0.41999541624352621</v>
      </c>
    </row>
    <row r="36" spans="1:6" ht="15.95">
      <c r="A36" s="58"/>
      <c r="B36" s="60"/>
      <c r="C36" s="58"/>
      <c r="D36" s="58"/>
      <c r="E36" s="48"/>
      <c r="F36" s="48"/>
    </row>
    <row r="37" spans="1:6" ht="15.95">
      <c r="A37" s="58"/>
      <c r="B37" s="60"/>
      <c r="C37" s="58"/>
      <c r="D37" s="58"/>
      <c r="E37" s="51">
        <f>SUM(E2:E35)</f>
        <v>151425.46974541224</v>
      </c>
      <c r="F37" s="48"/>
    </row>
    <row r="38" spans="1:6" ht="15.95">
      <c r="B38" s="8"/>
      <c r="E38" s="43"/>
      <c r="F38" s="42"/>
    </row>
    <row r="39" spans="1:6" ht="15.95">
      <c r="B39" s="8"/>
      <c r="E39" s="43"/>
      <c r="F39" s="42"/>
    </row>
    <row r="40" spans="1:6" ht="15.95">
      <c r="B40" s="8"/>
      <c r="E40" s="43">
        <v>151425</v>
      </c>
      <c r="F40" s="42"/>
    </row>
    <row r="41" spans="1:6">
      <c r="B41" s="8"/>
    </row>
    <row r="42" spans="1:6">
      <c r="B42" s="8"/>
    </row>
    <row r="43" spans="1:6">
      <c r="B43" s="8"/>
    </row>
    <row r="44" spans="1:6">
      <c r="B44" s="8"/>
    </row>
    <row r="46" spans="1:6">
      <c r="B46" s="8"/>
    </row>
    <row r="47" spans="1:6">
      <c r="B47" s="8"/>
    </row>
    <row r="48" spans="1:6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</sheetData>
  <conditionalFormatting sqref="E36">
    <cfRule type="cellIs" dxfId="5" priority="1" operator="lessThan">
      <formula>1</formula>
    </cfRule>
  </conditionalFormatting>
  <conditionalFormatting sqref="E2:F35 F2:F40">
    <cfRule type="cellIs" dxfId="4" priority="2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B657-ECDC-C04D-950A-32A747DA872E}">
  <dimension ref="A1:I57"/>
  <sheetViews>
    <sheetView zoomScaleNormal="124" workbookViewId="0">
      <selection activeCell="A15" sqref="A15"/>
    </sheetView>
  </sheetViews>
  <sheetFormatPr defaultColWidth="11.42578125" defaultRowHeight="15"/>
  <cols>
    <col min="1" max="1" width="24.42578125" customWidth="1"/>
    <col min="2" max="2" width="13.7109375" bestFit="1" customWidth="1"/>
  </cols>
  <sheetData>
    <row r="1" spans="1:9" ht="18.95">
      <c r="A1" s="33" t="s">
        <v>0</v>
      </c>
      <c r="B1" s="33" t="s">
        <v>93</v>
      </c>
      <c r="D1" s="46" t="s">
        <v>19</v>
      </c>
      <c r="E1" s="37" t="s">
        <v>124</v>
      </c>
      <c r="F1" s="37" t="s">
        <v>31</v>
      </c>
      <c r="H1" t="s">
        <v>125</v>
      </c>
      <c r="I1" t="s">
        <v>126</v>
      </c>
    </row>
    <row r="2" spans="1:9" ht="15.95">
      <c r="A2" s="61" t="s">
        <v>32</v>
      </c>
      <c r="B2" s="61">
        <v>756.57515000000001</v>
      </c>
      <c r="C2" s="61"/>
      <c r="D2" s="61">
        <v>4656845.25</v>
      </c>
      <c r="E2" s="56">
        <f t="shared" ref="E2:E21" si="0">D2/B2</f>
        <v>6155.1654848827638</v>
      </c>
      <c r="F2" s="56">
        <f>E2/126759*100</f>
        <v>4.8558015485155011</v>
      </c>
      <c r="G2" s="63"/>
      <c r="H2">
        <f>F2*100/79</f>
        <v>6.1465842386272165</v>
      </c>
      <c r="I2">
        <f>H2*40</f>
        <v>245.86336954508866</v>
      </c>
    </row>
    <row r="3" spans="1:9" ht="15.95">
      <c r="A3" s="61" t="s">
        <v>34</v>
      </c>
      <c r="B3" s="62">
        <v>891.17</v>
      </c>
      <c r="C3" s="61"/>
      <c r="D3" s="61">
        <v>9356715.25</v>
      </c>
      <c r="E3" s="56">
        <f t="shared" si="0"/>
        <v>10499.360671925671</v>
      </c>
      <c r="F3" s="56">
        <f t="shared" ref="F3:F35" si="1">E3/126759*100</f>
        <v>8.282931130669752</v>
      </c>
      <c r="G3" s="63">
        <f>SUM(F2:F5,F8:F12,F15,F20,F28)</f>
        <v>79.161308210756488</v>
      </c>
      <c r="H3">
        <f t="shared" ref="H3:H28" si="2">F3*100/79</f>
        <v>10.484722950214875</v>
      </c>
      <c r="I3">
        <f t="shared" ref="I3:I28" si="3">H3*40</f>
        <v>419.388918008595</v>
      </c>
    </row>
    <row r="4" spans="1:9" ht="15.95">
      <c r="A4" s="61" t="s">
        <v>36</v>
      </c>
      <c r="B4" s="61">
        <v>918.596675</v>
      </c>
      <c r="C4" s="61"/>
      <c r="D4" s="61">
        <v>4869909.5</v>
      </c>
      <c r="E4" s="56">
        <f t="shared" si="0"/>
        <v>5301.4665005183042</v>
      </c>
      <c r="F4" s="56">
        <f t="shared" si="1"/>
        <v>4.1823195990172719</v>
      </c>
      <c r="H4">
        <f t="shared" si="2"/>
        <v>5.294075441794015</v>
      </c>
      <c r="I4">
        <f t="shared" si="3"/>
        <v>211.76301767176059</v>
      </c>
    </row>
    <row r="5" spans="1:9" ht="15.95">
      <c r="A5" s="61" t="s">
        <v>37</v>
      </c>
      <c r="B5" s="61">
        <v>728.54385000000002</v>
      </c>
      <c r="C5" s="61"/>
      <c r="D5" s="61">
        <v>7577032</v>
      </c>
      <c r="E5" s="56">
        <f t="shared" si="0"/>
        <v>10400.24152286784</v>
      </c>
      <c r="F5" s="56">
        <f t="shared" si="1"/>
        <v>8.2047361708974034</v>
      </c>
      <c r="H5">
        <f t="shared" si="2"/>
        <v>10.385741988477726</v>
      </c>
      <c r="I5">
        <f t="shared" si="3"/>
        <v>415.42967953910903</v>
      </c>
    </row>
    <row r="6" spans="1:9" ht="15.95">
      <c r="A6" s="58" t="s">
        <v>38</v>
      </c>
      <c r="B6" s="58">
        <v>748.52543800000001</v>
      </c>
      <c r="C6" s="58"/>
      <c r="D6" s="58">
        <v>1741669</v>
      </c>
      <c r="E6" s="48">
        <f t="shared" si="0"/>
        <v>2326.8000145106625</v>
      </c>
      <c r="F6" s="48">
        <f>E6/126759*100</f>
        <v>1.835609317295547</v>
      </c>
    </row>
    <row r="7" spans="1:9" ht="15.95">
      <c r="A7" s="58" t="s">
        <v>39</v>
      </c>
      <c r="B7" s="52">
        <v>889.17</v>
      </c>
      <c r="C7" s="58"/>
      <c r="D7" s="58">
        <v>1929276.75</v>
      </c>
      <c r="E7" s="48">
        <f t="shared" si="0"/>
        <v>2169.7501602618172</v>
      </c>
      <c r="F7" s="48">
        <f>E7/126759*100</f>
        <v>1.7117129042212524</v>
      </c>
    </row>
    <row r="8" spans="1:9" ht="15.95">
      <c r="A8" s="61" t="s">
        <v>40</v>
      </c>
      <c r="B8" s="61">
        <v>594.52232500000002</v>
      </c>
      <c r="C8" s="61"/>
      <c r="D8" s="61">
        <v>2326087.75</v>
      </c>
      <c r="E8" s="56">
        <f t="shared" si="0"/>
        <v>3912.5322165151661</v>
      </c>
      <c r="F8" s="56">
        <f t="shared" si="1"/>
        <v>3.0865912609875168</v>
      </c>
      <c r="H8">
        <f t="shared" si="2"/>
        <v>3.9070775455538191</v>
      </c>
      <c r="I8">
        <f t="shared" si="3"/>
        <v>156.28310182215276</v>
      </c>
    </row>
    <row r="9" spans="1:9" ht="15.95">
      <c r="A9" s="61" t="s">
        <v>42</v>
      </c>
      <c r="B9" s="61">
        <v>864.58102499999995</v>
      </c>
      <c r="C9" s="61"/>
      <c r="D9" s="61">
        <v>7707822.75</v>
      </c>
      <c r="E9" s="56">
        <f t="shared" si="0"/>
        <v>8915.0958986174846</v>
      </c>
      <c r="F9" s="56">
        <f t="shared" si="1"/>
        <v>7.0331068394492577</v>
      </c>
      <c r="H9">
        <f t="shared" si="2"/>
        <v>8.9026668853788085</v>
      </c>
      <c r="I9">
        <f t="shared" si="3"/>
        <v>356.10667541515232</v>
      </c>
    </row>
    <row r="10" spans="1:9" ht="15.95">
      <c r="A10" s="61" t="s">
        <v>43</v>
      </c>
      <c r="B10" s="61">
        <v>702.52819999999997</v>
      </c>
      <c r="C10" s="61"/>
      <c r="D10" s="61">
        <v>2425657</v>
      </c>
      <c r="E10" s="56">
        <f t="shared" si="0"/>
        <v>3452.7539250381697</v>
      </c>
      <c r="F10" s="56">
        <f t="shared" si="1"/>
        <v>2.7238728019613361</v>
      </c>
      <c r="H10">
        <f t="shared" si="2"/>
        <v>3.4479402556472607</v>
      </c>
      <c r="I10">
        <f t="shared" si="3"/>
        <v>137.91761022589043</v>
      </c>
    </row>
    <row r="11" spans="1:9" ht="15.95">
      <c r="A11" s="61" t="s">
        <v>44</v>
      </c>
      <c r="B11" s="61">
        <v>728.54385000000002</v>
      </c>
      <c r="C11" s="61"/>
      <c r="D11" s="61">
        <v>10100166.25</v>
      </c>
      <c r="E11" s="56">
        <f t="shared" si="0"/>
        <v>13863.498058490233</v>
      </c>
      <c r="F11" s="56">
        <f t="shared" si="1"/>
        <v>10.936894467840732</v>
      </c>
      <c r="H11">
        <f t="shared" si="2"/>
        <v>13.844170212456623</v>
      </c>
      <c r="I11">
        <f t="shared" si="3"/>
        <v>553.76680849826494</v>
      </c>
    </row>
    <row r="12" spans="1:9" ht="15.95">
      <c r="A12" s="61" t="s">
        <v>45</v>
      </c>
      <c r="B12" s="62">
        <v>893.19</v>
      </c>
      <c r="C12" s="61"/>
      <c r="D12" s="61">
        <v>8796021.25</v>
      </c>
      <c r="E12" s="56">
        <f t="shared" si="0"/>
        <v>9847.8725131271058</v>
      </c>
      <c r="F12" s="56">
        <f t="shared" si="1"/>
        <v>7.7689730221342126</v>
      </c>
      <c r="H12">
        <f t="shared" si="2"/>
        <v>9.8341430659926754</v>
      </c>
      <c r="I12">
        <f t="shared" si="3"/>
        <v>393.36572263970703</v>
      </c>
    </row>
    <row r="13" spans="1:9" ht="15.95">
      <c r="A13" s="58" t="s">
        <v>46</v>
      </c>
      <c r="B13" s="58">
        <v>864.58102499999995</v>
      </c>
      <c r="C13" s="58"/>
      <c r="D13" s="58">
        <v>2674491.75</v>
      </c>
      <c r="E13" s="48">
        <f t="shared" si="0"/>
        <v>3093.3963071882131</v>
      </c>
      <c r="F13" s="48">
        <f>E13/126759*100</f>
        <v>2.4403760736422764</v>
      </c>
    </row>
    <row r="14" spans="1:9" ht="15.95">
      <c r="A14" s="58" t="s">
        <v>47</v>
      </c>
      <c r="B14" s="58">
        <v>720.49413800000002</v>
      </c>
      <c r="C14" s="58"/>
      <c r="D14" s="58">
        <v>1594030.5</v>
      </c>
      <c r="E14" s="48">
        <f t="shared" si="0"/>
        <v>2212.4128649052241</v>
      </c>
      <c r="F14" s="48">
        <f>E14/126759*100</f>
        <v>1.7453694529818191</v>
      </c>
    </row>
    <row r="15" spans="1:9" ht="15.95">
      <c r="A15" s="61" t="s">
        <v>48</v>
      </c>
      <c r="B15" s="61">
        <v>722.50978799999996</v>
      </c>
      <c r="C15" s="61"/>
      <c r="D15" s="61">
        <v>13096237.5</v>
      </c>
      <c r="E15" s="56">
        <f t="shared" si="0"/>
        <v>18126.034716086091</v>
      </c>
      <c r="F15" s="56">
        <f t="shared" si="1"/>
        <v>14.299603748914153</v>
      </c>
      <c r="H15">
        <f t="shared" si="2"/>
        <v>18.100764239131838</v>
      </c>
      <c r="I15">
        <f t="shared" si="3"/>
        <v>724.03056956527348</v>
      </c>
    </row>
    <row r="16" spans="1:9" ht="15.95">
      <c r="A16" s="58" t="s">
        <v>49</v>
      </c>
      <c r="B16" s="58">
        <v>620.53797499999996</v>
      </c>
      <c r="C16" s="58"/>
      <c r="D16" s="58">
        <v>658930.5</v>
      </c>
      <c r="E16" s="48">
        <f t="shared" si="0"/>
        <v>1061.8697429436129</v>
      </c>
      <c r="F16" s="48">
        <f t="shared" si="1"/>
        <v>0.83770757338225521</v>
      </c>
    </row>
    <row r="17" spans="1:9" ht="15.95">
      <c r="A17" s="58" t="s">
        <v>50</v>
      </c>
      <c r="B17" s="58">
        <v>784.59079999999994</v>
      </c>
      <c r="C17" s="58"/>
      <c r="D17" s="58">
        <v>475199.75</v>
      </c>
      <c r="E17" s="48">
        <f t="shared" si="0"/>
        <v>605.66571772190048</v>
      </c>
      <c r="F17" s="48">
        <f t="shared" si="1"/>
        <v>0.47780884806751434</v>
      </c>
    </row>
    <row r="18" spans="1:9" ht="15.95">
      <c r="A18" s="58" t="s">
        <v>51</v>
      </c>
      <c r="B18" s="58">
        <v>694.47848799999997</v>
      </c>
      <c r="C18" s="58"/>
      <c r="D18" s="58">
        <v>1211499.75</v>
      </c>
      <c r="E18" s="48">
        <f t="shared" si="0"/>
        <v>1744.4741211336125</v>
      </c>
      <c r="F18" s="48">
        <f t="shared" si="1"/>
        <v>1.376213224412951</v>
      </c>
    </row>
    <row r="19" spans="1:9" ht="15.95">
      <c r="A19" s="58" t="s">
        <v>52</v>
      </c>
      <c r="B19" s="58">
        <v>1376.972231</v>
      </c>
      <c r="C19" s="58"/>
      <c r="D19" s="58">
        <v>1388255</v>
      </c>
      <c r="E19" s="48">
        <f t="shared" si="0"/>
        <v>1008.1938972667634</v>
      </c>
      <c r="F19" s="48">
        <f t="shared" si="1"/>
        <v>0.79536277287353441</v>
      </c>
    </row>
    <row r="20" spans="1:9" ht="15.95">
      <c r="A20" s="61" t="s">
        <v>54</v>
      </c>
      <c r="B20" s="62">
        <v>837.08</v>
      </c>
      <c r="C20" s="61"/>
      <c r="D20" s="61">
        <v>4904594.5</v>
      </c>
      <c r="E20" s="56">
        <f t="shared" si="0"/>
        <v>5859.170569121231</v>
      </c>
      <c r="F20" s="56">
        <f t="shared" si="1"/>
        <v>4.6222915683472028</v>
      </c>
      <c r="H20">
        <f t="shared" si="2"/>
        <v>5.8510019852496242</v>
      </c>
      <c r="I20">
        <f t="shared" si="3"/>
        <v>234.04007940998497</v>
      </c>
    </row>
    <row r="21" spans="1:9" ht="17.100000000000001" thickBot="1">
      <c r="A21" s="59" t="s">
        <v>55</v>
      </c>
      <c r="B21" s="58">
        <v>1402.987881</v>
      </c>
      <c r="C21" s="58"/>
      <c r="D21" s="58">
        <v>755515</v>
      </c>
      <c r="E21" s="48">
        <f t="shared" si="0"/>
        <v>538.50429517715838</v>
      </c>
      <c r="F21" s="48">
        <f t="shared" si="1"/>
        <v>0.42482529459616947</v>
      </c>
    </row>
    <row r="22" spans="1:9" ht="15.95">
      <c r="A22" s="58" t="s">
        <v>57</v>
      </c>
      <c r="B22" s="58">
        <v>774.54108799999995</v>
      </c>
      <c r="C22" s="58"/>
      <c r="D22" s="58">
        <v>322740.5</v>
      </c>
      <c r="E22" s="48">
        <f t="shared" ref="E22:E35" si="4">D22/B22</f>
        <v>416.68609322375937</v>
      </c>
      <c r="F22" s="48">
        <f t="shared" si="1"/>
        <v>0.32872308335010481</v>
      </c>
    </row>
    <row r="23" spans="1:9" ht="15.95">
      <c r="A23" s="58" t="s">
        <v>58</v>
      </c>
      <c r="B23" s="58">
        <v>1374.972231</v>
      </c>
      <c r="C23" s="58"/>
      <c r="D23" s="58">
        <v>787861.75</v>
      </c>
      <c r="E23" s="48">
        <f t="shared" si="4"/>
        <v>573.00193577509424</v>
      </c>
      <c r="F23" s="48">
        <f t="shared" si="1"/>
        <v>0.4520404356101691</v>
      </c>
    </row>
    <row r="24" spans="1:9" ht="15.95">
      <c r="A24" s="58" t="s">
        <v>59</v>
      </c>
      <c r="B24" s="58">
        <v>1349.81</v>
      </c>
      <c r="C24" s="58"/>
      <c r="D24" s="58">
        <v>1766614.75</v>
      </c>
      <c r="E24" s="48">
        <f t="shared" si="4"/>
        <v>1308.7877182714606</v>
      </c>
      <c r="F24" s="48">
        <f t="shared" si="1"/>
        <v>1.032500823035414</v>
      </c>
    </row>
    <row r="25" spans="1:9" ht="15.95">
      <c r="A25" s="58" t="s">
        <v>60</v>
      </c>
      <c r="B25" s="58">
        <v>746.50978799999996</v>
      </c>
      <c r="C25" s="58"/>
      <c r="D25" s="58">
        <v>337905.5</v>
      </c>
      <c r="E25" s="48">
        <f t="shared" si="4"/>
        <v>452.6471125118054</v>
      </c>
      <c r="F25" s="48">
        <f t="shared" si="1"/>
        <v>0.35709268179127746</v>
      </c>
    </row>
    <row r="26" spans="1:9" ht="15.95">
      <c r="A26" s="58" t="s">
        <v>61</v>
      </c>
      <c r="B26" s="58">
        <v>837.08</v>
      </c>
      <c r="C26" s="58"/>
      <c r="D26" s="58">
        <v>364200</v>
      </c>
      <c r="E26" s="48">
        <f t="shared" si="4"/>
        <v>435.08386295216701</v>
      </c>
      <c r="F26" s="48">
        <f t="shared" si="1"/>
        <v>0.34323705847487518</v>
      </c>
    </row>
    <row r="27" spans="1:9" ht="15.95">
      <c r="A27" s="58" t="s">
        <v>62</v>
      </c>
      <c r="B27" s="58">
        <v>1405.0035310000001</v>
      </c>
      <c r="C27" s="58"/>
      <c r="D27" s="58">
        <v>582945</v>
      </c>
      <c r="E27" s="48">
        <f t="shared" si="4"/>
        <v>414.9064305803513</v>
      </c>
      <c r="F27" s="48">
        <f t="shared" si="1"/>
        <v>0.32731910994907765</v>
      </c>
    </row>
    <row r="28" spans="1:9" ht="15.95">
      <c r="A28" s="61" t="s">
        <v>63</v>
      </c>
      <c r="B28" s="61">
        <v>674.94</v>
      </c>
      <c r="C28" s="61"/>
      <c r="D28" s="61">
        <v>2707110.5</v>
      </c>
      <c r="E28" s="56">
        <f t="shared" si="4"/>
        <v>4010.8905976827568</v>
      </c>
      <c r="F28" s="56">
        <f t="shared" si="1"/>
        <v>3.1641860520221501</v>
      </c>
      <c r="H28">
        <f t="shared" si="2"/>
        <v>4.0052988000280383</v>
      </c>
      <c r="I28">
        <f t="shared" si="3"/>
        <v>160.21195200112152</v>
      </c>
    </row>
    <row r="29" spans="1:9" ht="15.95">
      <c r="A29" s="58" t="s">
        <v>64</v>
      </c>
      <c r="B29" s="58">
        <v>1347.81</v>
      </c>
      <c r="C29" s="58"/>
      <c r="D29" s="58">
        <v>981132.25</v>
      </c>
      <c r="E29" s="48">
        <f t="shared" si="4"/>
        <v>727.94551902716262</v>
      </c>
      <c r="F29" s="48">
        <f t="shared" si="1"/>
        <v>0.57427521440462814</v>
      </c>
    </row>
    <row r="30" spans="1:9" ht="15.95">
      <c r="A30" s="58" t="s">
        <v>65</v>
      </c>
      <c r="B30" s="58">
        <v>914.596675</v>
      </c>
      <c r="C30" s="58"/>
      <c r="D30" s="58">
        <v>592288</v>
      </c>
      <c r="E30" s="48">
        <f t="shared" si="4"/>
        <v>647.59474442655278</v>
      </c>
      <c r="F30" s="48">
        <f t="shared" si="1"/>
        <v>0.51088659931567204</v>
      </c>
    </row>
    <row r="31" spans="1:9" ht="15.95">
      <c r="A31" s="58" t="s">
        <v>66</v>
      </c>
      <c r="B31" s="58">
        <v>592.50667499999997</v>
      </c>
      <c r="C31" s="58"/>
      <c r="D31" s="58">
        <v>1058409.5</v>
      </c>
      <c r="E31" s="48">
        <f t="shared" si="4"/>
        <v>1786.3250232581768</v>
      </c>
      <c r="F31" s="48">
        <f t="shared" si="1"/>
        <v>1.4092293432877956</v>
      </c>
    </row>
    <row r="32" spans="1:9" ht="15.95">
      <c r="A32" s="58" t="s">
        <v>67</v>
      </c>
      <c r="B32" s="58">
        <v>592.50667499999997</v>
      </c>
      <c r="C32" s="58"/>
      <c r="D32" s="58">
        <v>676245.5</v>
      </c>
      <c r="E32" s="48">
        <f t="shared" si="4"/>
        <v>1141.3297580149624</v>
      </c>
      <c r="F32" s="48">
        <f t="shared" si="1"/>
        <v>0.90039346950903876</v>
      </c>
    </row>
    <row r="33" spans="1:6" ht="15.95">
      <c r="A33" s="58" t="s">
        <v>68</v>
      </c>
      <c r="B33" s="58">
        <v>860.58102499999995</v>
      </c>
      <c r="C33" s="58"/>
      <c r="D33" s="58">
        <v>462546</v>
      </c>
      <c r="E33" s="48">
        <f t="shared" si="4"/>
        <v>537.48105821877732</v>
      </c>
      <c r="F33" s="48">
        <f t="shared" si="1"/>
        <v>0.42401806437316275</v>
      </c>
    </row>
    <row r="34" spans="1:6" ht="15.95">
      <c r="A34" s="58" t="s">
        <v>69</v>
      </c>
      <c r="B34" s="58">
        <v>540.47537499999999</v>
      </c>
      <c r="C34" s="58"/>
      <c r="D34" s="58">
        <v>976825.25</v>
      </c>
      <c r="E34" s="48">
        <f t="shared" si="4"/>
        <v>1807.3445991873359</v>
      </c>
      <c r="F34" s="48">
        <f t="shared" si="1"/>
        <v>1.4258116577026767</v>
      </c>
    </row>
    <row r="35" spans="1:6" ht="15.95">
      <c r="A35" s="58" t="s">
        <v>70</v>
      </c>
      <c r="B35" s="58">
        <v>1351.81</v>
      </c>
      <c r="C35" s="58"/>
      <c r="D35" s="58">
        <v>1898988.25</v>
      </c>
      <c r="E35" s="48">
        <f t="shared" si="4"/>
        <v>1404.7745245263759</v>
      </c>
      <c r="F35" s="48">
        <f t="shared" si="1"/>
        <v>1.1082246818974399</v>
      </c>
    </row>
    <row r="36" spans="1:6" ht="15.95">
      <c r="A36" s="58"/>
      <c r="B36" s="60"/>
      <c r="C36" s="58"/>
      <c r="D36" s="58"/>
      <c r="E36" s="48"/>
      <c r="F36" s="48"/>
    </row>
    <row r="37" spans="1:6" ht="15.95">
      <c r="A37" s="58"/>
      <c r="B37" s="60"/>
      <c r="C37" s="58"/>
      <c r="D37" s="58"/>
      <c r="E37" s="51">
        <f>SUM(E2:E35)</f>
        <v>126759.05817595577</v>
      </c>
      <c r="F37" s="48"/>
    </row>
    <row r="38" spans="1:6" ht="15.95">
      <c r="A38" s="58"/>
      <c r="B38" s="60"/>
      <c r="C38" s="58"/>
      <c r="D38" s="58"/>
      <c r="E38" s="52"/>
      <c r="F38" s="48"/>
    </row>
    <row r="39" spans="1:6" ht="15.95">
      <c r="A39" s="58"/>
      <c r="B39" s="60"/>
      <c r="C39" s="58"/>
      <c r="D39" s="58"/>
      <c r="E39" s="52"/>
      <c r="F39" s="48"/>
    </row>
    <row r="40" spans="1:6" ht="15.95">
      <c r="A40" s="58"/>
      <c r="B40" s="60"/>
      <c r="C40" s="58"/>
      <c r="D40" s="58"/>
      <c r="E40" s="52">
        <v>126759</v>
      </c>
      <c r="F40" s="48"/>
    </row>
    <row r="41" spans="1:6">
      <c r="A41" s="58"/>
      <c r="B41" s="60"/>
      <c r="C41" s="58"/>
      <c r="D41" s="58"/>
      <c r="E41" s="58"/>
      <c r="F41" s="58"/>
    </row>
    <row r="42" spans="1:6">
      <c r="B42" s="8"/>
    </row>
    <row r="43" spans="1:6">
      <c r="B43" s="8"/>
    </row>
    <row r="44" spans="1:6">
      <c r="B44" s="8"/>
    </row>
    <row r="46" spans="1:6">
      <c r="B46" s="8"/>
    </row>
    <row r="47" spans="1:6">
      <c r="B47" s="8"/>
    </row>
    <row r="48" spans="1:6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</sheetData>
  <conditionalFormatting sqref="E36">
    <cfRule type="cellIs" dxfId="3" priority="1" operator="lessThan">
      <formula>1</formula>
    </cfRule>
  </conditionalFormatting>
  <conditionalFormatting sqref="E2:F35 F2:F40">
    <cfRule type="cellIs" dxfId="2" priority="2" operator="less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0BDF-2CB3-6147-9CD3-57703B9D1E30}">
  <dimension ref="A1:J59"/>
  <sheetViews>
    <sheetView workbookViewId="0">
      <selection activeCell="J16" sqref="J16"/>
    </sheetView>
  </sheetViews>
  <sheetFormatPr defaultColWidth="11.42578125" defaultRowHeight="15"/>
  <cols>
    <col min="1" max="1" width="24.42578125" customWidth="1"/>
    <col min="2" max="2" width="13.7109375" bestFit="1" customWidth="1"/>
  </cols>
  <sheetData>
    <row r="1" spans="1:10" ht="18.95">
      <c r="A1" s="64" t="s">
        <v>0</v>
      </c>
      <c r="B1" s="64" t="s">
        <v>93</v>
      </c>
      <c r="C1" s="58"/>
      <c r="D1" s="58" t="s">
        <v>20</v>
      </c>
      <c r="E1" s="65" t="s">
        <v>124</v>
      </c>
      <c r="F1" s="65" t="s">
        <v>31</v>
      </c>
      <c r="H1" t="s">
        <v>125</v>
      </c>
      <c r="I1" t="s">
        <v>126</v>
      </c>
    </row>
    <row r="2" spans="1:10" ht="15.95">
      <c r="A2" s="61" t="s">
        <v>32</v>
      </c>
      <c r="B2" s="61">
        <v>756.57515000000001</v>
      </c>
      <c r="C2" s="61"/>
      <c r="D2" s="61">
        <v>13359707.5</v>
      </c>
      <c r="E2" s="56">
        <f t="shared" ref="E2:E21" si="0">D2/B2</f>
        <v>17658.13680240489</v>
      </c>
      <c r="F2" s="56">
        <f>E2/181435*100</f>
        <v>9.732486456529827</v>
      </c>
      <c r="G2" s="63">
        <f>SUM(F2:F35)-F7-SUM(F12:F13)-SUM(F18:F21)-SUM(F23:F24)-SUM(F26:F30)-SUM(F32:F35)</f>
        <v>79.881288111531987</v>
      </c>
      <c r="H2">
        <f t="shared" ref="H2:H31" si="1">F2*100/80</f>
        <v>12.165608070662284</v>
      </c>
      <c r="I2">
        <f>H2*40</f>
        <v>486.62432282649138</v>
      </c>
    </row>
    <row r="3" spans="1:10" ht="15.95">
      <c r="A3" s="61" t="s">
        <v>34</v>
      </c>
      <c r="B3" s="62">
        <v>891.17</v>
      </c>
      <c r="C3" s="61"/>
      <c r="D3" s="61">
        <v>7216756.25</v>
      </c>
      <c r="E3" s="56">
        <f t="shared" si="0"/>
        <v>8098.0691113928888</v>
      </c>
      <c r="F3" s="56">
        <f t="shared" ref="F3:F31" si="2">E3/181435*100</f>
        <v>4.4633445098205353</v>
      </c>
      <c r="H3">
        <f t="shared" si="1"/>
        <v>5.5791806372756687</v>
      </c>
      <c r="I3">
        <f t="shared" ref="I3:I31" si="3">H3*40</f>
        <v>223.16722549102676</v>
      </c>
    </row>
    <row r="4" spans="1:10" ht="15.95">
      <c r="A4" s="61" t="s">
        <v>36</v>
      </c>
      <c r="B4" s="61">
        <v>918.596675</v>
      </c>
      <c r="C4" s="61"/>
      <c r="D4" s="61">
        <v>15103288.25</v>
      </c>
      <c r="E4" s="56">
        <f t="shared" si="0"/>
        <v>16441.697059267062</v>
      </c>
      <c r="F4" s="56">
        <f t="shared" si="2"/>
        <v>9.0620316142238622</v>
      </c>
      <c r="H4">
        <f t="shared" si="1"/>
        <v>11.327539517779828</v>
      </c>
      <c r="I4">
        <f t="shared" si="3"/>
        <v>453.10158071119309</v>
      </c>
      <c r="J4">
        <v>-365</v>
      </c>
    </row>
    <row r="5" spans="1:10" ht="15.95">
      <c r="A5" s="61" t="s">
        <v>37</v>
      </c>
      <c r="B5" s="61">
        <v>728.54385000000002</v>
      </c>
      <c r="C5" s="61"/>
      <c r="D5" s="61">
        <v>8784862</v>
      </c>
      <c r="E5" s="56">
        <f t="shared" si="0"/>
        <v>12058.110160424798</v>
      </c>
      <c r="F5" s="56">
        <f t="shared" si="2"/>
        <v>6.6459669636094452</v>
      </c>
      <c r="H5">
        <f t="shared" si="1"/>
        <v>8.3074587045118058</v>
      </c>
      <c r="I5">
        <f t="shared" si="3"/>
        <v>332.2983481804722</v>
      </c>
    </row>
    <row r="6" spans="1:10" ht="15.95">
      <c r="A6" s="61" t="s">
        <v>38</v>
      </c>
      <c r="B6" s="61">
        <v>748.52543800000001</v>
      </c>
      <c r="C6" s="61"/>
      <c r="D6" s="61">
        <v>11607319.25</v>
      </c>
      <c r="E6" s="56">
        <f t="shared" si="0"/>
        <v>15506.913540592324</v>
      </c>
      <c r="F6" s="56">
        <f t="shared" si="2"/>
        <v>8.5468148596424758</v>
      </c>
      <c r="H6">
        <f t="shared" si="1"/>
        <v>10.683518574553094</v>
      </c>
      <c r="I6">
        <f t="shared" si="3"/>
        <v>427.34074298212374</v>
      </c>
      <c r="J6">
        <v>-299</v>
      </c>
    </row>
    <row r="7" spans="1:10" ht="15.95">
      <c r="A7" s="58" t="s">
        <v>39</v>
      </c>
      <c r="B7" s="52">
        <v>889.17</v>
      </c>
      <c r="C7" s="58"/>
      <c r="D7" s="58">
        <v>2843054.5</v>
      </c>
      <c r="E7" s="48">
        <f t="shared" si="0"/>
        <v>3197.4251268036487</v>
      </c>
      <c r="F7" s="48">
        <f>E7/181435*100</f>
        <v>1.7622978624871986</v>
      </c>
    </row>
    <row r="8" spans="1:10" ht="15.95">
      <c r="A8" s="61" t="s">
        <v>40</v>
      </c>
      <c r="B8" s="61">
        <v>594.52232500000002</v>
      </c>
      <c r="C8" s="61"/>
      <c r="D8" s="61">
        <v>5740955.25</v>
      </c>
      <c r="E8" s="56">
        <f t="shared" si="0"/>
        <v>9656.4166030266388</v>
      </c>
      <c r="F8" s="56">
        <f t="shared" si="2"/>
        <v>5.3222457646135739</v>
      </c>
      <c r="H8">
        <f t="shared" si="1"/>
        <v>6.6528072057669672</v>
      </c>
      <c r="I8">
        <f t="shared" si="3"/>
        <v>266.1122882306787</v>
      </c>
    </row>
    <row r="9" spans="1:10" ht="15.95">
      <c r="A9" s="61" t="s">
        <v>42</v>
      </c>
      <c r="B9" s="61">
        <v>864.58102499999995</v>
      </c>
      <c r="C9" s="61"/>
      <c r="D9" s="61">
        <v>4285477.75</v>
      </c>
      <c r="E9" s="56">
        <f t="shared" si="0"/>
        <v>4956.7103904460546</v>
      </c>
      <c r="F9" s="56">
        <f t="shared" si="2"/>
        <v>2.7319482957786834</v>
      </c>
      <c r="H9">
        <f t="shared" si="1"/>
        <v>3.4149353697233544</v>
      </c>
      <c r="I9">
        <f t="shared" si="3"/>
        <v>136.59741478893417</v>
      </c>
    </row>
    <row r="10" spans="1:10" ht="15.95">
      <c r="A10" s="61" t="s">
        <v>43</v>
      </c>
      <c r="B10" s="61">
        <v>702.52819999999997</v>
      </c>
      <c r="C10" s="61"/>
      <c r="D10" s="61">
        <v>3963103.25</v>
      </c>
      <c r="E10" s="56">
        <f t="shared" si="0"/>
        <v>5641.2016627944613</v>
      </c>
      <c r="F10" s="56">
        <f t="shared" si="2"/>
        <v>3.1092135821613587</v>
      </c>
      <c r="H10">
        <f t="shared" si="1"/>
        <v>3.8865169777016981</v>
      </c>
      <c r="I10">
        <f t="shared" si="3"/>
        <v>155.46067910806792</v>
      </c>
    </row>
    <row r="11" spans="1:10" ht="15.95">
      <c r="A11" s="61" t="s">
        <v>44</v>
      </c>
      <c r="B11" s="61">
        <v>728.54385000000002</v>
      </c>
      <c r="C11" s="61"/>
      <c r="D11" s="61">
        <v>4606505</v>
      </c>
      <c r="E11" s="56">
        <f t="shared" si="0"/>
        <v>6322.8932616753264</v>
      </c>
      <c r="F11" s="56">
        <f t="shared" si="2"/>
        <v>3.4849357961117349</v>
      </c>
      <c r="H11">
        <f t="shared" si="1"/>
        <v>4.3561697451396686</v>
      </c>
      <c r="I11">
        <f t="shared" si="3"/>
        <v>174.24678980558673</v>
      </c>
    </row>
    <row r="12" spans="1:10" ht="15.95">
      <c r="A12" s="58" t="s">
        <v>45</v>
      </c>
      <c r="B12" s="52">
        <v>893.19</v>
      </c>
      <c r="C12" s="58"/>
      <c r="D12" s="58">
        <v>2988384.25</v>
      </c>
      <c r="E12" s="48">
        <f t="shared" si="0"/>
        <v>3345.7430669846281</v>
      </c>
      <c r="F12" s="48">
        <f>E12/181435*100</f>
        <v>1.844045011703711</v>
      </c>
    </row>
    <row r="13" spans="1:10" ht="15.95">
      <c r="A13" s="58" t="s">
        <v>46</v>
      </c>
      <c r="B13" s="58">
        <v>864.58102499999995</v>
      </c>
      <c r="C13" s="58"/>
      <c r="D13" s="58">
        <v>2608145</v>
      </c>
      <c r="E13" s="48">
        <f t="shared" si="0"/>
        <v>3016.6576926668035</v>
      </c>
      <c r="F13" s="48">
        <f>E13/181435*100</f>
        <v>1.6626657991384262</v>
      </c>
    </row>
    <row r="14" spans="1:10" ht="15.95">
      <c r="A14" s="61" t="s">
        <v>47</v>
      </c>
      <c r="B14" s="61">
        <v>720.49413800000002</v>
      </c>
      <c r="C14" s="61"/>
      <c r="D14" s="61">
        <v>5484627.25</v>
      </c>
      <c r="E14" s="56">
        <f t="shared" si="0"/>
        <v>7612.3134953250656</v>
      </c>
      <c r="F14" s="56">
        <f t="shared" si="2"/>
        <v>4.1956146803676608</v>
      </c>
      <c r="H14">
        <f t="shared" si="1"/>
        <v>5.2445183504595763</v>
      </c>
      <c r="I14">
        <f t="shared" si="3"/>
        <v>209.78073401838304</v>
      </c>
    </row>
    <row r="15" spans="1:10" ht="15.95">
      <c r="A15" s="61" t="s">
        <v>48</v>
      </c>
      <c r="B15" s="61">
        <v>722.50978799999996</v>
      </c>
      <c r="C15" s="61"/>
      <c r="D15" s="61">
        <v>5274363</v>
      </c>
      <c r="E15" s="56">
        <f t="shared" si="0"/>
        <v>7300.0575045496826</v>
      </c>
      <c r="F15" s="56">
        <f t="shared" si="2"/>
        <v>4.0235111773085031</v>
      </c>
      <c r="H15">
        <f t="shared" si="1"/>
        <v>5.0293889716356288</v>
      </c>
      <c r="I15">
        <f t="shared" si="3"/>
        <v>201.17555886542516</v>
      </c>
    </row>
    <row r="16" spans="1:10" ht="15.95">
      <c r="A16" s="61" t="s">
        <v>49</v>
      </c>
      <c r="B16" s="61">
        <v>620.53797499999996</v>
      </c>
      <c r="C16" s="61"/>
      <c r="D16" s="61">
        <v>4157890.75</v>
      </c>
      <c r="E16" s="56">
        <f t="shared" si="0"/>
        <v>6700.4614020600438</v>
      </c>
      <c r="F16" s="56">
        <f t="shared" si="2"/>
        <v>3.693036846286573</v>
      </c>
      <c r="H16">
        <f t="shared" si="1"/>
        <v>4.6162960578582162</v>
      </c>
      <c r="I16">
        <f t="shared" si="3"/>
        <v>184.65184231432863</v>
      </c>
      <c r="J16">
        <v>-138</v>
      </c>
    </row>
    <row r="17" spans="1:10" ht="15.95">
      <c r="A17" s="61" t="s">
        <v>50</v>
      </c>
      <c r="B17" s="61">
        <v>784.59079999999994</v>
      </c>
      <c r="C17" s="61"/>
      <c r="D17" s="61">
        <v>3687750.5</v>
      </c>
      <c r="E17" s="56">
        <f t="shared" si="0"/>
        <v>4700.2214402717955</v>
      </c>
      <c r="F17" s="56">
        <f t="shared" si="2"/>
        <v>2.5905814425396398</v>
      </c>
      <c r="H17">
        <f t="shared" si="1"/>
        <v>3.2382268031745496</v>
      </c>
      <c r="I17">
        <f t="shared" si="3"/>
        <v>129.52907212698199</v>
      </c>
      <c r="J17" t="s">
        <v>127</v>
      </c>
    </row>
    <row r="18" spans="1:10" ht="15.95">
      <c r="A18" s="58" t="s">
        <v>51</v>
      </c>
      <c r="B18" s="58">
        <v>694.47848799999997</v>
      </c>
      <c r="C18" s="58"/>
      <c r="D18" s="58">
        <v>2618093.5</v>
      </c>
      <c r="E18" s="48">
        <f t="shared" si="0"/>
        <v>3769.8698307268519</v>
      </c>
      <c r="F18" s="48">
        <f>E18/181435*100</f>
        <v>2.0778073859656914</v>
      </c>
    </row>
    <row r="19" spans="1:10" ht="15.95">
      <c r="A19" s="58" t="s">
        <v>52</v>
      </c>
      <c r="B19" s="58">
        <v>1376.972231</v>
      </c>
      <c r="C19" s="58"/>
      <c r="D19" s="58">
        <v>2436556</v>
      </c>
      <c r="E19" s="48">
        <f t="shared" si="0"/>
        <v>1769.5026414806473</v>
      </c>
      <c r="F19" s="48">
        <f>E19/181435*100</f>
        <v>0.97528185933290001</v>
      </c>
    </row>
    <row r="20" spans="1:10" ht="15.95">
      <c r="A20" s="58" t="s">
        <v>54</v>
      </c>
      <c r="B20" s="52">
        <v>837.08</v>
      </c>
      <c r="C20" s="58"/>
      <c r="D20" s="58">
        <v>1845213.5</v>
      </c>
      <c r="E20" s="48">
        <f t="shared" si="0"/>
        <v>2204.3454627992546</v>
      </c>
      <c r="F20" s="48">
        <f>E20/181435*100</f>
        <v>1.2149505127452005</v>
      </c>
    </row>
    <row r="21" spans="1:10" ht="17.100000000000001" thickBot="1">
      <c r="A21" s="59" t="s">
        <v>55</v>
      </c>
      <c r="B21" s="58">
        <v>1402.987881</v>
      </c>
      <c r="C21" s="58"/>
      <c r="D21" s="58">
        <v>2859010</v>
      </c>
      <c r="E21" s="48">
        <f t="shared" si="0"/>
        <v>2037.8009238128266</v>
      </c>
      <c r="F21" s="48">
        <f>E21/181435*100</f>
        <v>1.1231575626603614</v>
      </c>
    </row>
    <row r="22" spans="1:10" ht="15.95">
      <c r="A22" s="61" t="s">
        <v>57</v>
      </c>
      <c r="B22" s="61">
        <v>774.54108799999995</v>
      </c>
      <c r="C22" s="61"/>
      <c r="D22" s="61">
        <v>8267119.75</v>
      </c>
      <c r="E22" s="56">
        <f t="shared" ref="E22:E31" si="4">D22/B22</f>
        <v>10673.571587205455</v>
      </c>
      <c r="F22" s="56">
        <f t="shared" si="2"/>
        <v>5.8828625056937502</v>
      </c>
      <c r="H22">
        <f t="shared" si="1"/>
        <v>7.353578132117188</v>
      </c>
      <c r="I22">
        <f t="shared" si="3"/>
        <v>294.14312528468753</v>
      </c>
      <c r="J22" t="s">
        <v>128</v>
      </c>
    </row>
    <row r="23" spans="1:10" ht="15.95">
      <c r="A23" s="58" t="s">
        <v>58</v>
      </c>
      <c r="B23" s="58">
        <v>1374.972231</v>
      </c>
      <c r="C23" s="58"/>
      <c r="D23" s="58">
        <v>2277690.5</v>
      </c>
      <c r="E23" s="48">
        <f>D23/B23</f>
        <v>1656.5356366095223</v>
      </c>
      <c r="F23" s="48">
        <f>E23/181435*100</f>
        <v>0.91301878722932306</v>
      </c>
    </row>
    <row r="24" spans="1:10" ht="15.95">
      <c r="A24" s="58" t="s">
        <v>59</v>
      </c>
      <c r="B24" s="58">
        <v>1349.81</v>
      </c>
      <c r="C24" s="58"/>
      <c r="D24" s="58">
        <v>1681910.25</v>
      </c>
      <c r="E24" s="48">
        <f>D24/B24</f>
        <v>1246.0348123069173</v>
      </c>
      <c r="F24" s="48">
        <f>E24/181435*100</f>
        <v>0.68676650718269205</v>
      </c>
    </row>
    <row r="25" spans="1:10" ht="15.95">
      <c r="A25" s="61" t="s">
        <v>60</v>
      </c>
      <c r="B25" s="61">
        <v>746.50978799999996</v>
      </c>
      <c r="C25" s="61"/>
      <c r="D25" s="61">
        <v>4405778.75</v>
      </c>
      <c r="E25" s="56">
        <f t="shared" si="4"/>
        <v>5901.8365476542158</v>
      </c>
      <c r="F25" s="56">
        <f t="shared" si="2"/>
        <v>3.2528655152832786</v>
      </c>
      <c r="H25">
        <f t="shared" si="1"/>
        <v>4.0660818941040979</v>
      </c>
      <c r="I25">
        <f t="shared" si="3"/>
        <v>162.64327576416392</v>
      </c>
      <c r="J25" t="s">
        <v>128</v>
      </c>
    </row>
    <row r="26" spans="1:10" ht="15.95">
      <c r="A26" s="58" t="s">
        <v>61</v>
      </c>
      <c r="B26" s="58">
        <v>837.08</v>
      </c>
      <c r="C26" s="58"/>
      <c r="D26" s="58">
        <v>1200257.25</v>
      </c>
      <c r="E26" s="48">
        <f>D26/B26</f>
        <v>1433.8620561953458</v>
      </c>
      <c r="F26" s="48">
        <f>E26/181435*100</f>
        <v>0.79028966637933462</v>
      </c>
    </row>
    <row r="27" spans="1:10" ht="15.95">
      <c r="A27" s="58" t="s">
        <v>62</v>
      </c>
      <c r="B27" s="58">
        <v>1405.0035310000001</v>
      </c>
      <c r="C27" s="58"/>
      <c r="D27" s="58">
        <v>2547038.75</v>
      </c>
      <c r="E27" s="48">
        <f>D27/B27</f>
        <v>1812.8344120154384</v>
      </c>
      <c r="F27" s="48">
        <f>E27/181435*100</f>
        <v>0.99916466614238619</v>
      </c>
    </row>
    <row r="28" spans="1:10" ht="15.95">
      <c r="A28" s="58" t="s">
        <v>63</v>
      </c>
      <c r="B28" s="58">
        <v>674.94</v>
      </c>
      <c r="C28" s="58"/>
      <c r="D28" s="58">
        <v>1603393.5</v>
      </c>
      <c r="E28" s="48">
        <f>D28/B28</f>
        <v>2375.6089430171569</v>
      </c>
      <c r="F28" s="48">
        <f>E28/181435*100</f>
        <v>1.309344361902145</v>
      </c>
    </row>
    <row r="29" spans="1:10" ht="15.95">
      <c r="A29" s="58" t="s">
        <v>64</v>
      </c>
      <c r="B29" s="58">
        <v>1347.81</v>
      </c>
      <c r="C29" s="58"/>
      <c r="D29" s="58">
        <v>1446628.75</v>
      </c>
      <c r="E29" s="48">
        <f>D29/B29</f>
        <v>1073.3180121827261</v>
      </c>
      <c r="F29" s="48">
        <f>E29/181435*100</f>
        <v>0.59157164394010309</v>
      </c>
    </row>
    <row r="30" spans="1:10" ht="15.95">
      <c r="A30" s="58" t="s">
        <v>65</v>
      </c>
      <c r="B30" s="58">
        <v>914.596675</v>
      </c>
      <c r="C30" s="58"/>
      <c r="D30" s="58">
        <v>1068012.25</v>
      </c>
      <c r="E30" s="48">
        <f>D30/B30</f>
        <v>1167.7412341347076</v>
      </c>
      <c r="F30" s="48">
        <f>E30/181435*100</f>
        <v>0.6436140954803139</v>
      </c>
    </row>
    <row r="31" spans="1:10" ht="15.95">
      <c r="A31" s="61" t="s">
        <v>66</v>
      </c>
      <c r="B31" s="61">
        <v>592.50667499999997</v>
      </c>
      <c r="C31" s="61"/>
      <c r="D31" s="61">
        <v>3379660.75</v>
      </c>
      <c r="E31" s="56">
        <f t="shared" si="4"/>
        <v>5704.0045160672662</v>
      </c>
      <c r="F31" s="56">
        <f t="shared" si="2"/>
        <v>3.1438281015610365</v>
      </c>
      <c r="H31">
        <f t="shared" si="1"/>
        <v>3.9297851269512956</v>
      </c>
      <c r="I31">
        <f t="shared" si="3"/>
        <v>157.19140507805182</v>
      </c>
      <c r="J31" t="s">
        <v>128</v>
      </c>
    </row>
    <row r="32" spans="1:10" ht="15.95">
      <c r="A32" s="58" t="s">
        <v>67</v>
      </c>
      <c r="B32" s="58">
        <v>592.50667499999997</v>
      </c>
      <c r="C32" s="58"/>
      <c r="D32" s="58">
        <v>1216916.75</v>
      </c>
      <c r="E32" s="48">
        <f>D32/B32</f>
        <v>2053.8447942379721</v>
      </c>
      <c r="F32" s="48">
        <f>E32/181435*100</f>
        <v>1.1320003275211354</v>
      </c>
    </row>
    <row r="33" spans="1:6" ht="15.95">
      <c r="A33" s="58" t="s">
        <v>68</v>
      </c>
      <c r="B33" s="58">
        <v>860.58102499999995</v>
      </c>
      <c r="C33" s="58"/>
      <c r="D33" s="58">
        <v>735252.5</v>
      </c>
      <c r="E33" s="48">
        <f>D33/B33</f>
        <v>854.36754778552086</v>
      </c>
      <c r="F33" s="48">
        <f>E33/181435*100</f>
        <v>0.47089456157054638</v>
      </c>
    </row>
    <row r="34" spans="1:6" ht="15.95">
      <c r="A34" s="58" t="s">
        <v>69</v>
      </c>
      <c r="B34" s="58">
        <v>540.47537499999999</v>
      </c>
      <c r="C34" s="58"/>
      <c r="D34" s="58">
        <v>1591386.5</v>
      </c>
      <c r="E34" s="48">
        <f>D34/B34</f>
        <v>2944.4199932328092</v>
      </c>
      <c r="F34" s="48">
        <f>E34/181435*100</f>
        <v>1.6228511550873916</v>
      </c>
    </row>
    <row r="35" spans="1:6" ht="15.95">
      <c r="A35" s="58" t="s">
        <v>70</v>
      </c>
      <c r="B35" s="58">
        <v>1351.81</v>
      </c>
      <c r="C35" s="58"/>
      <c r="D35" s="58">
        <v>733694.25</v>
      </c>
      <c r="E35" s="48">
        <f>D35/B35</f>
        <v>542.74953580754698</v>
      </c>
      <c r="F35" s="48">
        <f>E35/181435*100</f>
        <v>0.29914268790891885</v>
      </c>
    </row>
    <row r="36" spans="1:6" ht="15.95">
      <c r="A36" s="58"/>
      <c r="B36" s="60"/>
      <c r="C36" s="58"/>
      <c r="D36" s="58"/>
      <c r="E36" s="48"/>
      <c r="F36" s="48"/>
    </row>
    <row r="37" spans="1:6" ht="15.95">
      <c r="A37" s="58"/>
      <c r="B37" s="60"/>
      <c r="C37" s="58"/>
      <c r="D37" s="58"/>
      <c r="E37" s="51">
        <f>SUM(E2:E35)</f>
        <v>181435.27680795835</v>
      </c>
      <c r="F37" s="48"/>
    </row>
    <row r="38" spans="1:6" ht="15.95">
      <c r="A38" s="58"/>
      <c r="B38" s="60"/>
      <c r="C38" s="58"/>
      <c r="D38" s="58"/>
      <c r="E38" s="51"/>
      <c r="F38" s="48"/>
    </row>
    <row r="39" spans="1:6" ht="15.95">
      <c r="A39" s="58"/>
      <c r="B39" s="60"/>
      <c r="C39" s="58"/>
      <c r="D39" s="58"/>
      <c r="E39" s="51"/>
      <c r="F39" s="48"/>
    </row>
    <row r="40" spans="1:6" ht="15.95">
      <c r="A40" s="58"/>
      <c r="B40" s="60"/>
      <c r="C40" s="58"/>
      <c r="D40" s="58"/>
      <c r="E40" s="52"/>
      <c r="F40" s="48"/>
    </row>
    <row r="41" spans="1:6" ht="15.95">
      <c r="A41" s="58"/>
      <c r="B41" s="60"/>
      <c r="C41" s="58"/>
      <c r="D41" s="58"/>
      <c r="E41" s="52">
        <v>181435</v>
      </c>
      <c r="F41" s="48"/>
    </row>
    <row r="42" spans="1:6" ht="15.95">
      <c r="A42" s="58"/>
      <c r="B42" s="60"/>
      <c r="C42" s="58"/>
      <c r="D42" s="58"/>
      <c r="E42" s="52"/>
      <c r="F42" s="48"/>
    </row>
    <row r="43" spans="1:6">
      <c r="B43" s="8"/>
    </row>
    <row r="44" spans="1:6">
      <c r="B44" s="8"/>
    </row>
    <row r="45" spans="1:6">
      <c r="B45" s="8"/>
    </row>
    <row r="46" spans="1:6">
      <c r="B46" s="8"/>
    </row>
    <row r="48" spans="1:6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</sheetData>
  <conditionalFormatting sqref="E36">
    <cfRule type="cellIs" dxfId="1" priority="1" operator="lessThan">
      <formula>1</formula>
    </cfRule>
  </conditionalFormatting>
  <conditionalFormatting sqref="E2:F35 F2:F42">
    <cfRule type="cellIs" dxfId="0" priority="2" operator="less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8B66-3BC7-4842-B0EB-3DBED94B32E4}">
  <dimension ref="A1:AC116"/>
  <sheetViews>
    <sheetView tabSelected="1" zoomScale="75" zoomScaleNormal="65" workbookViewId="0">
      <selection activeCell="G12" sqref="G12"/>
    </sheetView>
  </sheetViews>
  <sheetFormatPr defaultColWidth="11.42578125" defaultRowHeight="15"/>
  <cols>
    <col min="1" max="1" width="16.42578125" customWidth="1"/>
    <col min="2" max="2" width="20.85546875" customWidth="1"/>
    <col min="3" max="3" width="18" customWidth="1"/>
    <col min="4" max="4" width="21.7109375" customWidth="1"/>
    <col min="5" max="5" width="21.42578125" customWidth="1"/>
    <col min="6" max="6" width="20.42578125" customWidth="1"/>
    <col min="7" max="7" width="15.85546875" customWidth="1"/>
    <col min="8" max="8" width="20" customWidth="1"/>
    <col min="9" max="9" width="14.140625" customWidth="1"/>
    <col min="10" max="10" width="22.28515625" customWidth="1"/>
    <col min="11" max="11" width="21.85546875" customWidth="1"/>
    <col min="12" max="12" width="20.85546875" customWidth="1"/>
    <col min="14" max="14" width="19.85546875" customWidth="1"/>
    <col min="15" max="15" width="13.28515625" customWidth="1"/>
    <col min="16" max="16" width="23.140625" customWidth="1"/>
    <col min="17" max="17" width="17.7109375" customWidth="1"/>
    <col min="18" max="18" width="20.85546875" customWidth="1"/>
    <col min="20" max="20" width="21" customWidth="1"/>
    <col min="21" max="21" width="14.28515625" customWidth="1"/>
    <col min="22" max="22" width="21.42578125" customWidth="1"/>
    <col min="23" max="23" width="17.140625" customWidth="1"/>
    <col min="24" max="24" width="23" customWidth="1"/>
    <col min="26" max="26" width="52" customWidth="1"/>
    <col min="27" max="27" width="21.42578125" customWidth="1"/>
  </cols>
  <sheetData>
    <row r="1" spans="1:29" ht="24">
      <c r="A1" s="108" t="s">
        <v>129</v>
      </c>
    </row>
    <row r="2" spans="1:29">
      <c r="B2" s="85" t="s">
        <v>130</v>
      </c>
      <c r="C2" s="85" t="s">
        <v>131</v>
      </c>
      <c r="D2" s="84"/>
      <c r="E2" s="84"/>
      <c r="F2" s="84"/>
      <c r="H2" s="84"/>
      <c r="I2" s="85" t="s">
        <v>132</v>
      </c>
      <c r="J2" s="84"/>
      <c r="K2" s="84"/>
      <c r="L2" s="84"/>
      <c r="N2" s="86"/>
      <c r="O2" s="87" t="s">
        <v>133</v>
      </c>
      <c r="P2" s="86"/>
      <c r="Q2" s="86"/>
      <c r="R2" s="86"/>
      <c r="T2" s="84"/>
      <c r="U2" s="85" t="s">
        <v>134</v>
      </c>
      <c r="V2" s="84"/>
      <c r="W2" s="84"/>
      <c r="X2" s="84"/>
      <c r="Z2" s="84" t="s">
        <v>135</v>
      </c>
    </row>
    <row r="3" spans="1:29">
      <c r="B3" s="85" t="s">
        <v>136</v>
      </c>
      <c r="C3" s="85" t="s">
        <v>137</v>
      </c>
      <c r="D3" s="85" t="s">
        <v>138</v>
      </c>
      <c r="E3" s="85" t="s">
        <v>139</v>
      </c>
      <c r="F3" s="85" t="s">
        <v>140</v>
      </c>
      <c r="H3" s="85" t="s">
        <v>136</v>
      </c>
      <c r="I3" s="85" t="s">
        <v>141</v>
      </c>
      <c r="J3" s="85" t="s">
        <v>138</v>
      </c>
      <c r="K3" s="85" t="s">
        <v>139</v>
      </c>
      <c r="L3" s="85" t="s">
        <v>140</v>
      </c>
      <c r="N3" s="87" t="s">
        <v>136</v>
      </c>
      <c r="O3" s="87" t="s">
        <v>141</v>
      </c>
      <c r="P3" s="87" t="s">
        <v>138</v>
      </c>
      <c r="Q3" s="87" t="s">
        <v>139</v>
      </c>
      <c r="R3" s="87" t="s">
        <v>140</v>
      </c>
      <c r="T3" s="85" t="s">
        <v>136</v>
      </c>
      <c r="U3" s="85" t="s">
        <v>141</v>
      </c>
      <c r="V3" s="85" t="s">
        <v>138</v>
      </c>
      <c r="W3" s="85" t="s">
        <v>139</v>
      </c>
      <c r="X3" s="85" t="s">
        <v>140</v>
      </c>
    </row>
    <row r="4" spans="1:29" ht="14.1" customHeight="1">
      <c r="B4" s="81" t="s">
        <v>142</v>
      </c>
      <c r="C4" s="81" t="s">
        <v>143</v>
      </c>
      <c r="D4" s="81">
        <f>'Av Gal MD'!H18</f>
        <v>4.1113043131674178</v>
      </c>
      <c r="E4" s="81">
        <f>D4*4000/100</f>
        <v>164.4521725266967</v>
      </c>
      <c r="F4" s="81">
        <v>164</v>
      </c>
      <c r="H4" s="81" t="s">
        <v>142</v>
      </c>
      <c r="I4" s="81" t="s">
        <v>144</v>
      </c>
      <c r="J4" s="81">
        <f>'Av Glu MD'!H15</f>
        <v>3.7464755598061803</v>
      </c>
      <c r="K4" s="81">
        <f>J4*4000/100</f>
        <v>149.8590223922472</v>
      </c>
      <c r="L4" s="81">
        <v>150</v>
      </c>
      <c r="N4" s="81" t="s">
        <v>142</v>
      </c>
      <c r="O4" s="81" t="s">
        <v>144</v>
      </c>
      <c r="P4" s="81">
        <f>'Av Glu 16-0 MD'!H15</f>
        <v>18.100764239131838</v>
      </c>
      <c r="Q4" s="81">
        <f>P4*4000/100</f>
        <v>724.03056956527348</v>
      </c>
      <c r="R4" s="81">
        <v>724</v>
      </c>
      <c r="T4" s="81" t="s">
        <v>142</v>
      </c>
      <c r="U4" s="81" t="s">
        <v>144</v>
      </c>
      <c r="V4" s="81">
        <f>'Av Glu 18-1 MD'!H15</f>
        <v>5.0293889716356288</v>
      </c>
      <c r="W4" s="81">
        <f t="shared" ref="W4:W5" si="0">V4*4000/100</f>
        <v>201.17555886542516</v>
      </c>
      <c r="X4" s="81">
        <v>201</v>
      </c>
    </row>
    <row r="5" spans="1:29">
      <c r="B5" s="81"/>
      <c r="C5" s="81" t="s">
        <v>144</v>
      </c>
      <c r="D5" s="81">
        <f>'Av Gal MD'!H15</f>
        <v>3.8559206895529803</v>
      </c>
      <c r="E5" s="81">
        <f t="shared" ref="E5:E19" si="1">D5*4000/100</f>
        <v>154.23682758211919</v>
      </c>
      <c r="F5" s="81">
        <v>154</v>
      </c>
      <c r="H5" s="81"/>
      <c r="I5" s="81" t="s">
        <v>145</v>
      </c>
      <c r="J5" s="81">
        <f>'Av Glu MD'!H14</f>
        <v>4.1477199800155908</v>
      </c>
      <c r="K5" s="81">
        <f t="shared" ref="K5:K18" si="2">J5*4000/100</f>
        <v>165.9087992006236</v>
      </c>
      <c r="L5" s="81">
        <v>166</v>
      </c>
      <c r="N5" s="81" t="s">
        <v>146</v>
      </c>
      <c r="O5" s="81" t="s">
        <v>147</v>
      </c>
      <c r="P5" s="81">
        <f>'Av Glu 16-0 MD'!H8</f>
        <v>3.9070775455538191</v>
      </c>
      <c r="Q5" s="81">
        <f t="shared" ref="Q5:Q15" si="3">P5*4000/100</f>
        <v>156.28310182215276</v>
      </c>
      <c r="R5" s="81">
        <v>156</v>
      </c>
      <c r="T5" s="81"/>
      <c r="U5" s="81" t="s">
        <v>145</v>
      </c>
      <c r="V5" s="81">
        <f>'Av Glu 18-1 MD'!H14</f>
        <v>5.2445183504595763</v>
      </c>
      <c r="W5" s="81">
        <f t="shared" si="0"/>
        <v>209.78073401838304</v>
      </c>
      <c r="X5" s="81">
        <v>210</v>
      </c>
      <c r="AC5" s="82"/>
    </row>
    <row r="6" spans="1:29">
      <c r="B6" s="81"/>
      <c r="C6" s="81" t="s">
        <v>145</v>
      </c>
      <c r="D6" s="81">
        <f>'Av Gal MD'!H14</f>
        <v>3.9121347115824205</v>
      </c>
      <c r="E6" s="81">
        <f t="shared" si="1"/>
        <v>156.48538846329683</v>
      </c>
      <c r="F6" s="81">
        <v>156</v>
      </c>
      <c r="H6" s="81"/>
      <c r="I6" s="81" t="s">
        <v>147</v>
      </c>
      <c r="J6" s="81">
        <f>'Av Glu MD'!H6</f>
        <v>7.4798508716066188</v>
      </c>
      <c r="K6" s="81">
        <f t="shared" si="2"/>
        <v>299.19403486426478</v>
      </c>
      <c r="L6" s="81">
        <v>299</v>
      </c>
      <c r="N6" s="81" t="s">
        <v>148</v>
      </c>
      <c r="O6" s="81" t="s">
        <v>149</v>
      </c>
      <c r="P6" s="81">
        <f>'Av Glu 16-0 MD'!H28</f>
        <v>4.0052988000280383</v>
      </c>
      <c r="Q6" s="81">
        <f t="shared" si="3"/>
        <v>160.21195200112155</v>
      </c>
      <c r="R6" s="81">
        <v>160</v>
      </c>
      <c r="T6" s="81"/>
      <c r="U6" s="81" t="s">
        <v>147</v>
      </c>
      <c r="V6" s="81">
        <f>'Av Glu 18-1 MD'!H6</f>
        <v>10.683518574553094</v>
      </c>
      <c r="W6" s="81">
        <f>V6*4000/100</f>
        <v>427.3407429821238</v>
      </c>
      <c r="X6" s="81">
        <v>427</v>
      </c>
      <c r="Z6" t="s">
        <v>150</v>
      </c>
    </row>
    <row r="7" spans="1:29">
      <c r="B7" s="81"/>
      <c r="C7" s="81" t="s">
        <v>147</v>
      </c>
      <c r="D7" s="81">
        <f>'Av Gal MD'!H6</f>
        <v>4.2180589015111218</v>
      </c>
      <c r="E7" s="81">
        <f t="shared" si="1"/>
        <v>168.72235606044487</v>
      </c>
      <c r="F7" s="81">
        <v>169</v>
      </c>
      <c r="H7" s="81" t="s">
        <v>146</v>
      </c>
      <c r="I7" s="81" t="s">
        <v>147</v>
      </c>
      <c r="J7" s="81">
        <f>'Av Glu MD'!H8</f>
        <v>7.3592907323234558</v>
      </c>
      <c r="K7" s="81">
        <f t="shared" si="2"/>
        <v>294.37162929293822</v>
      </c>
      <c r="L7" s="81">
        <v>294</v>
      </c>
      <c r="N7" s="81"/>
      <c r="O7" s="81" t="s">
        <v>143</v>
      </c>
      <c r="P7" s="81">
        <f>'Av Glu 16-0 MD'!H10</f>
        <v>3.4479402556472607</v>
      </c>
      <c r="Q7" s="81">
        <f t="shared" si="3"/>
        <v>137.91761022589043</v>
      </c>
      <c r="R7" s="81">
        <v>138</v>
      </c>
      <c r="T7" s="81"/>
      <c r="U7" s="81" t="s">
        <v>151</v>
      </c>
      <c r="V7" s="81">
        <f>'Av Glu 18-1 MD'!H25</f>
        <v>4.0660818941040979</v>
      </c>
      <c r="W7" s="81">
        <f>V7*4000/100</f>
        <v>162.64327576416392</v>
      </c>
      <c r="X7" s="81">
        <v>163</v>
      </c>
      <c r="Z7" t="s">
        <v>152</v>
      </c>
    </row>
    <row r="8" spans="1:29">
      <c r="B8" s="81" t="s">
        <v>146</v>
      </c>
      <c r="C8" s="81" t="s">
        <v>147</v>
      </c>
      <c r="D8" s="81">
        <f>'Av Gal MD'!H8</f>
        <v>5.7081802023023505</v>
      </c>
      <c r="E8" s="81">
        <f t="shared" si="1"/>
        <v>228.327208092094</v>
      </c>
      <c r="F8" s="81">
        <v>228</v>
      </c>
      <c r="H8" s="81"/>
      <c r="I8" s="81" t="s">
        <v>153</v>
      </c>
      <c r="J8" s="81">
        <f>'Av Glu MD'!H16</f>
        <v>3.447652643668544</v>
      </c>
      <c r="K8" s="81">
        <f t="shared" si="2"/>
        <v>137.90610574674176</v>
      </c>
      <c r="L8" s="81">
        <v>138</v>
      </c>
      <c r="N8" s="81"/>
      <c r="O8" s="81" t="s">
        <v>144</v>
      </c>
      <c r="P8" s="81">
        <f>'Av Glu 16-0 MD'!H11</f>
        <v>13.844170212456623</v>
      </c>
      <c r="Q8" s="81">
        <f t="shared" si="3"/>
        <v>553.76680849826494</v>
      </c>
      <c r="R8" s="81">
        <v>554</v>
      </c>
      <c r="T8" s="81"/>
      <c r="U8" s="81" t="s">
        <v>154</v>
      </c>
      <c r="V8" s="81">
        <f>'Av Glu 18-1 MD'!H22</f>
        <v>7.353578132117188</v>
      </c>
      <c r="W8" s="81">
        <f t="shared" ref="W8:W21" si="4">V8*4000/100</f>
        <v>294.14312528468753</v>
      </c>
      <c r="X8" s="81">
        <v>294</v>
      </c>
      <c r="Z8" t="s">
        <v>155</v>
      </c>
    </row>
    <row r="9" spans="1:29">
      <c r="B9" s="81" t="s">
        <v>148</v>
      </c>
      <c r="C9" s="81" t="s">
        <v>143</v>
      </c>
      <c r="D9" s="81">
        <f>'Av Gal MD'!H10</f>
        <v>6.3354986322526861</v>
      </c>
      <c r="E9" s="81">
        <f t="shared" si="1"/>
        <v>253.41994529010742</v>
      </c>
      <c r="F9" s="81">
        <v>253</v>
      </c>
      <c r="H9" s="81" t="s">
        <v>148</v>
      </c>
      <c r="I9" s="81" t="s">
        <v>143</v>
      </c>
      <c r="J9" s="81">
        <f>'Av Glu MD'!H10</f>
        <v>5.1449505020189319</v>
      </c>
      <c r="K9" s="81">
        <f t="shared" si="2"/>
        <v>205.79802008075728</v>
      </c>
      <c r="L9" s="81">
        <v>206</v>
      </c>
      <c r="N9" s="81"/>
      <c r="O9" s="81" t="s">
        <v>145</v>
      </c>
      <c r="P9" s="81">
        <f>'Av Glu 16-0 MD'!H5</f>
        <v>10.385741988477726</v>
      </c>
      <c r="Q9" s="81">
        <f t="shared" si="3"/>
        <v>415.42967953910903</v>
      </c>
      <c r="R9" s="81">
        <v>415</v>
      </c>
      <c r="T9" s="81" t="s">
        <v>146</v>
      </c>
      <c r="U9" s="81" t="s">
        <v>147</v>
      </c>
      <c r="V9" s="81">
        <f>'Av Glu 18-1 MD'!H8</f>
        <v>6.6528072057669672</v>
      </c>
      <c r="W9" s="81">
        <f t="shared" si="4"/>
        <v>266.1122882306787</v>
      </c>
      <c r="X9" s="81">
        <v>266</v>
      </c>
      <c r="Z9" t="s">
        <v>150</v>
      </c>
    </row>
    <row r="10" spans="1:29">
      <c r="B10" s="81"/>
      <c r="C10" s="81" t="s">
        <v>144</v>
      </c>
      <c r="D10" s="81">
        <f>'Av Gal MD'!H11</f>
        <v>4.1687637748500741</v>
      </c>
      <c r="E10" s="81">
        <f t="shared" si="1"/>
        <v>166.75055099400296</v>
      </c>
      <c r="F10" s="81">
        <v>167</v>
      </c>
      <c r="H10" s="81"/>
      <c r="I10" s="81" t="s">
        <v>144</v>
      </c>
      <c r="J10" s="81">
        <f>'Av Glu MD'!H11</f>
        <v>4.5734682158739659</v>
      </c>
      <c r="K10" s="81">
        <f t="shared" si="2"/>
        <v>182.93872863495864</v>
      </c>
      <c r="L10" s="81">
        <v>183</v>
      </c>
      <c r="N10" s="81"/>
      <c r="O10" s="81" t="s">
        <v>147</v>
      </c>
      <c r="P10" s="81">
        <f>'Av Glu 16-0 MD'!H2</f>
        <v>6.1465842386272165</v>
      </c>
      <c r="Q10" s="81">
        <f t="shared" si="3"/>
        <v>245.86336954508863</v>
      </c>
      <c r="R10" s="81">
        <v>246</v>
      </c>
      <c r="T10" s="81"/>
      <c r="U10" s="81" t="s">
        <v>151</v>
      </c>
      <c r="V10" s="81">
        <f>'Av Glu 18-1 MD'!H31</f>
        <v>3.9297851269512956</v>
      </c>
      <c r="W10" s="81">
        <f t="shared" si="4"/>
        <v>157.19140507805184</v>
      </c>
      <c r="X10" s="81">
        <v>157</v>
      </c>
      <c r="Z10" s="83" t="s">
        <v>156</v>
      </c>
    </row>
    <row r="11" spans="1:29">
      <c r="B11" s="81"/>
      <c r="C11" s="81" t="s">
        <v>145</v>
      </c>
      <c r="D11" s="81">
        <f>'Av Gal MD'!H5</f>
        <v>8.0027015486691884</v>
      </c>
      <c r="E11" s="81">
        <f t="shared" si="1"/>
        <v>320.10806194676752</v>
      </c>
      <c r="F11" s="81">
        <v>320</v>
      </c>
      <c r="H11" s="81"/>
      <c r="I11" s="81" t="s">
        <v>145</v>
      </c>
      <c r="J11" s="81">
        <f>'Av Glu MD'!H5</f>
        <v>11.137923172776567</v>
      </c>
      <c r="K11" s="81">
        <f t="shared" si="2"/>
        <v>445.51692691106268</v>
      </c>
      <c r="L11" s="81">
        <v>446</v>
      </c>
      <c r="N11" s="81" t="s">
        <v>157</v>
      </c>
      <c r="O11" s="81" t="s">
        <v>149</v>
      </c>
      <c r="P11" s="81">
        <f>'Av Glu 16-0 MD'!H20</f>
        <v>5.8510019852496242</v>
      </c>
      <c r="Q11" s="81">
        <f t="shared" si="3"/>
        <v>234.04007940998497</v>
      </c>
      <c r="R11" s="81">
        <v>234</v>
      </c>
      <c r="T11" s="81"/>
      <c r="U11" s="81" t="s">
        <v>153</v>
      </c>
      <c r="V11" s="81">
        <f>AA11*'Av Glu 18-1 MD'!H16</f>
        <v>1.97364664594385</v>
      </c>
      <c r="W11" s="81">
        <f t="shared" si="4"/>
        <v>78.945865837753999</v>
      </c>
      <c r="X11" s="81">
        <v>79</v>
      </c>
      <c r="Z11" t="s">
        <v>158</v>
      </c>
      <c r="AA11">
        <f>K8/(K8+'Av Glu 18-1 MD'!I16)</f>
        <v>0.42753900989174126</v>
      </c>
    </row>
    <row r="12" spans="1:29">
      <c r="B12" s="81"/>
      <c r="C12" s="81" t="s">
        <v>147</v>
      </c>
      <c r="D12" s="81">
        <f>'Av Gal MD'!H2</f>
        <v>9.2830123763886832</v>
      </c>
      <c r="E12" s="81">
        <f t="shared" si="1"/>
        <v>371.32049505554738</v>
      </c>
      <c r="F12" s="81">
        <v>371</v>
      </c>
      <c r="H12" s="81"/>
      <c r="I12" s="81" t="s">
        <v>147</v>
      </c>
      <c r="J12" s="81">
        <f>'Av Glu MD'!H2</f>
        <v>15.150868731052435</v>
      </c>
      <c r="K12" s="81">
        <f t="shared" si="2"/>
        <v>606.0347492420974</v>
      </c>
      <c r="L12" s="81">
        <v>606</v>
      </c>
      <c r="N12" s="81"/>
      <c r="O12" s="81" t="s">
        <v>159</v>
      </c>
      <c r="P12" s="81">
        <f>'Av Glu 16-0 MD'!H9</f>
        <v>8.9026668853788085</v>
      </c>
      <c r="Q12" s="81">
        <f t="shared" si="3"/>
        <v>356.10667541515232</v>
      </c>
      <c r="R12" s="81">
        <v>356</v>
      </c>
      <c r="T12" s="81"/>
      <c r="U12" s="81" t="s">
        <v>154</v>
      </c>
      <c r="V12" s="81">
        <f>AA12*'Av Glu 18-1 MD'!H16</f>
        <v>2.6426494119143658</v>
      </c>
      <c r="W12" s="81">
        <f t="shared" si="4"/>
        <v>105.70597647657463</v>
      </c>
      <c r="X12" s="81">
        <v>106</v>
      </c>
      <c r="Z12" t="s">
        <v>160</v>
      </c>
      <c r="AA12">
        <f>1-AA11</f>
        <v>0.57246099010825868</v>
      </c>
    </row>
    <row r="13" spans="1:29">
      <c r="B13" s="81" t="s">
        <v>157</v>
      </c>
      <c r="C13" s="81" t="s">
        <v>149</v>
      </c>
      <c r="D13" s="81">
        <f>'Av Gal MD'!H20</f>
        <v>4.1711168189170227</v>
      </c>
      <c r="E13" s="81">
        <f t="shared" si="1"/>
        <v>166.84467275668092</v>
      </c>
      <c r="F13" s="81">
        <v>167</v>
      </c>
      <c r="H13" s="81" t="s">
        <v>157</v>
      </c>
      <c r="I13" s="81" t="s">
        <v>143</v>
      </c>
      <c r="J13" s="81">
        <f>'Av Glu MD'!H13</f>
        <v>3.5535276659369019</v>
      </c>
      <c r="K13" s="81">
        <f t="shared" si="2"/>
        <v>142.14110663747607</v>
      </c>
      <c r="L13" s="81">
        <v>142</v>
      </c>
      <c r="N13" s="81"/>
      <c r="O13" s="81" t="s">
        <v>144</v>
      </c>
      <c r="P13" s="81">
        <f>'Av Glu 16-0 MD'!H12</f>
        <v>9.8341430659926754</v>
      </c>
      <c r="Q13" s="81">
        <f t="shared" si="3"/>
        <v>393.36572263970703</v>
      </c>
      <c r="R13" s="81">
        <v>393</v>
      </c>
      <c r="T13" s="81" t="s">
        <v>148</v>
      </c>
      <c r="U13" s="81" t="s">
        <v>143</v>
      </c>
      <c r="V13" s="81">
        <f>'Av Glu 18-1 MD'!H10</f>
        <v>3.8865169777016981</v>
      </c>
      <c r="W13" s="81">
        <f t="shared" si="4"/>
        <v>155.46067910806792</v>
      </c>
      <c r="X13" s="81">
        <v>155</v>
      </c>
    </row>
    <row r="14" spans="1:29">
      <c r="B14" s="81"/>
      <c r="C14" s="81" t="s">
        <v>143</v>
      </c>
      <c r="D14" s="81">
        <f>'Av Gal MD'!H13</f>
        <v>7.4118812041442794</v>
      </c>
      <c r="E14" s="81">
        <f t="shared" si="1"/>
        <v>296.47524816577118</v>
      </c>
      <c r="F14" s="81">
        <v>296</v>
      </c>
      <c r="H14" s="81"/>
      <c r="I14" s="81" t="s">
        <v>161</v>
      </c>
      <c r="J14" s="81">
        <f>'Av Glu MD'!H9</f>
        <v>4.8040405112044482</v>
      </c>
      <c r="K14" s="81">
        <f t="shared" si="2"/>
        <v>192.16162044817793</v>
      </c>
      <c r="L14" s="81">
        <v>192</v>
      </c>
      <c r="N14" s="81"/>
      <c r="O14" s="81" t="s">
        <v>145</v>
      </c>
      <c r="P14" s="81">
        <f>'Av Glu 16-0 MD'!H3</f>
        <v>10.484722950214875</v>
      </c>
      <c r="Q14" s="81">
        <f t="shared" si="3"/>
        <v>419.388918008595</v>
      </c>
      <c r="R14" s="81">
        <v>419</v>
      </c>
      <c r="T14" s="81"/>
      <c r="U14" s="81" t="s">
        <v>144</v>
      </c>
      <c r="V14" s="81">
        <f>'Av Glu 18-1 MD'!H11</f>
        <v>4.3561697451396686</v>
      </c>
      <c r="W14" s="81">
        <f t="shared" si="4"/>
        <v>174.24678980558673</v>
      </c>
      <c r="X14" s="81">
        <v>174</v>
      </c>
    </row>
    <row r="15" spans="1:29">
      <c r="B15" s="81"/>
      <c r="C15" s="81" t="s">
        <v>161</v>
      </c>
      <c r="D15" s="81">
        <f>'Av Gal MD'!H9</f>
        <v>6.0270200685668343</v>
      </c>
      <c r="E15" s="81">
        <f t="shared" si="1"/>
        <v>241.08080274267337</v>
      </c>
      <c r="F15" s="81">
        <v>241</v>
      </c>
      <c r="H15" s="81"/>
      <c r="I15" s="81" t="s">
        <v>144</v>
      </c>
      <c r="J15" s="81">
        <f>'Av Glu MD'!H12</f>
        <v>3.4792518604644935</v>
      </c>
      <c r="K15" s="81">
        <f t="shared" si="2"/>
        <v>139.17007441857973</v>
      </c>
      <c r="L15" s="81">
        <v>139</v>
      </c>
      <c r="N15" s="81"/>
      <c r="O15" s="81" t="s">
        <v>147</v>
      </c>
      <c r="P15" s="81">
        <f>'Av Glu 16-0 MD'!H4</f>
        <v>5.294075441794015</v>
      </c>
      <c r="Q15" s="81">
        <f t="shared" si="3"/>
        <v>211.76301767176062</v>
      </c>
      <c r="R15" s="81">
        <v>212</v>
      </c>
      <c r="T15" s="81"/>
      <c r="U15" s="81" t="s">
        <v>145</v>
      </c>
      <c r="V15" s="81">
        <f>'Av Glu 18-1 MD'!H5</f>
        <v>8.3074587045118058</v>
      </c>
      <c r="W15" s="81">
        <f t="shared" si="4"/>
        <v>332.29834818047226</v>
      </c>
      <c r="X15" s="81">
        <v>332</v>
      </c>
    </row>
    <row r="16" spans="1:29">
      <c r="B16" s="81"/>
      <c r="C16" s="81" t="s">
        <v>144</v>
      </c>
      <c r="D16" s="81">
        <f>'Av Gal MD'!H12</f>
        <v>5.520389421302462</v>
      </c>
      <c r="E16" s="81">
        <f t="shared" si="1"/>
        <v>220.8155768520985</v>
      </c>
      <c r="F16" s="81">
        <v>221</v>
      </c>
      <c r="H16" s="81"/>
      <c r="I16" s="81" t="s">
        <v>145</v>
      </c>
      <c r="J16" s="81">
        <f>'Av Glu MD'!H3</f>
        <v>10.66648880879085</v>
      </c>
      <c r="K16" s="81">
        <f t="shared" si="2"/>
        <v>426.65955235163403</v>
      </c>
      <c r="L16" s="81">
        <v>427</v>
      </c>
      <c r="N16" s="80" t="s">
        <v>162</v>
      </c>
      <c r="O16" s="80"/>
      <c r="P16" s="80">
        <f>SUM(P4:P15)</f>
        <v>100.20418760855253</v>
      </c>
      <c r="Q16" s="80">
        <f>SUM(Q4:Q15)</f>
        <v>4008.167504342101</v>
      </c>
      <c r="R16" s="80">
        <f>SUM(R4:R15)</f>
        <v>4007</v>
      </c>
      <c r="T16" s="81"/>
      <c r="U16" s="81" t="s">
        <v>147</v>
      </c>
      <c r="V16" s="81">
        <f>'Av Glu 18-1 MD'!H2</f>
        <v>12.165608070662284</v>
      </c>
      <c r="W16" s="81">
        <f t="shared" si="4"/>
        <v>486.62432282649132</v>
      </c>
      <c r="X16" s="81">
        <v>487</v>
      </c>
      <c r="Z16" t="s">
        <v>150</v>
      </c>
    </row>
    <row r="17" spans="1:27">
      <c r="B17" s="81"/>
      <c r="C17" s="81" t="s">
        <v>145</v>
      </c>
      <c r="D17" s="81">
        <f>'Av Gal MD'!H3</f>
        <v>13.573692072873579</v>
      </c>
      <c r="E17" s="81">
        <f t="shared" si="1"/>
        <v>542.94768291494313</v>
      </c>
      <c r="F17" s="81">
        <v>543</v>
      </c>
      <c r="H17" s="81"/>
      <c r="I17" s="81" t="s">
        <v>163</v>
      </c>
      <c r="J17" s="81">
        <f>'Av Glu MD'!H7</f>
        <v>5.942199238081713</v>
      </c>
      <c r="K17" s="81">
        <f t="shared" si="2"/>
        <v>237.68796952326852</v>
      </c>
      <c r="L17" s="81">
        <v>238</v>
      </c>
      <c r="T17" s="81"/>
      <c r="U17" s="81" t="s">
        <v>164</v>
      </c>
      <c r="V17" s="81">
        <f>'Av Glu 18-1 MD'!H17</f>
        <v>3.2382268031745496</v>
      </c>
      <c r="W17" s="81">
        <f t="shared" si="4"/>
        <v>129.52907212698199</v>
      </c>
      <c r="X17" s="81">
        <v>130</v>
      </c>
      <c r="Z17" t="s">
        <v>165</v>
      </c>
    </row>
    <row r="18" spans="1:27">
      <c r="B18" s="81"/>
      <c r="C18" s="81" t="s">
        <v>163</v>
      </c>
      <c r="D18" s="81">
        <f>'Av Gal MD'!H7</f>
        <v>3.8805334836164795</v>
      </c>
      <c r="E18" s="81">
        <f t="shared" si="1"/>
        <v>155.22133934465919</v>
      </c>
      <c r="F18" s="81">
        <v>155</v>
      </c>
      <c r="H18" s="81"/>
      <c r="I18" s="81" t="s">
        <v>147</v>
      </c>
      <c r="J18" s="81">
        <f>'Av Glu MD'!H4</f>
        <v>9.1345674061731117</v>
      </c>
      <c r="K18" s="81">
        <f t="shared" si="2"/>
        <v>365.38269624692447</v>
      </c>
      <c r="L18" s="81">
        <v>365</v>
      </c>
      <c r="T18" s="81" t="s">
        <v>157</v>
      </c>
      <c r="U18" s="81" t="s">
        <v>161</v>
      </c>
      <c r="V18" s="81">
        <f>'Av Glu 18-1 MD'!H9</f>
        <v>3.4149353697233544</v>
      </c>
      <c r="W18" s="81">
        <f t="shared" si="4"/>
        <v>136.59741478893417</v>
      </c>
      <c r="X18" s="81">
        <v>137</v>
      </c>
    </row>
    <row r="19" spans="1:27">
      <c r="B19" s="81"/>
      <c r="C19" s="81" t="s">
        <v>147</v>
      </c>
      <c r="D19" s="81">
        <f>'Av Gal MD'!H4</f>
        <v>9.9806643569782558</v>
      </c>
      <c r="E19" s="81">
        <f t="shared" si="1"/>
        <v>399.2265742791302</v>
      </c>
      <c r="F19" s="81">
        <v>399</v>
      </c>
      <c r="H19" s="80" t="s">
        <v>162</v>
      </c>
      <c r="I19" s="80"/>
      <c r="J19" s="80">
        <f>SUM(J4:J18)</f>
        <v>99.768275899793792</v>
      </c>
      <c r="K19" s="80">
        <f>SUM(K4:K18)</f>
        <v>3990.7310359917524</v>
      </c>
      <c r="L19" s="80">
        <f>SUM(L4:L18)</f>
        <v>3991</v>
      </c>
      <c r="T19" s="81"/>
      <c r="U19" s="81" t="s">
        <v>145</v>
      </c>
      <c r="V19" s="81">
        <f>'Av Glu 18-1 MD'!H3</f>
        <v>5.5791806372756687</v>
      </c>
      <c r="W19" s="81">
        <f t="shared" si="4"/>
        <v>223.16722549102676</v>
      </c>
      <c r="X19" s="81">
        <v>223</v>
      </c>
    </row>
    <row r="20" spans="1:27">
      <c r="B20" s="80" t="s">
        <v>162</v>
      </c>
      <c r="C20" s="80"/>
      <c r="D20" s="80">
        <f>SUM(D4:D19)</f>
        <v>100.16087257667584</v>
      </c>
      <c r="E20" s="80">
        <f>SUM(E4:E19)</f>
        <v>4006.4349030670328</v>
      </c>
      <c r="F20" s="80">
        <f>SUM(F4:F19)</f>
        <v>4004</v>
      </c>
      <c r="T20" s="81"/>
      <c r="U20" s="81" t="s">
        <v>147</v>
      </c>
      <c r="V20" s="81">
        <f>AA20*'Av Glu 18-1 MD'!H4</f>
        <v>5.0567702366037874</v>
      </c>
      <c r="W20" s="81">
        <f t="shared" si="4"/>
        <v>202.27080946415151</v>
      </c>
      <c r="X20" s="81">
        <v>202</v>
      </c>
      <c r="Z20" t="s">
        <v>166</v>
      </c>
      <c r="AA20">
        <f>K18/(K18+'Av Glu 18-1 MD'!I4)</f>
        <v>0.44641382434964155</v>
      </c>
    </row>
    <row r="21" spans="1:27">
      <c r="T21" s="81"/>
      <c r="U21" s="81" t="s">
        <v>167</v>
      </c>
      <c r="V21" s="81">
        <f>AA21*'Av Glu 18-1 MD'!H4</f>
        <v>6.2707692811760394</v>
      </c>
      <c r="W21" s="81">
        <f t="shared" si="4"/>
        <v>250.83077124704155</v>
      </c>
      <c r="X21" s="81">
        <v>251</v>
      </c>
      <c r="Z21" t="s">
        <v>168</v>
      </c>
      <c r="AA21">
        <f>1-AA20</f>
        <v>0.55358617565035839</v>
      </c>
    </row>
    <row r="22" spans="1:27">
      <c r="T22" s="80" t="s">
        <v>162</v>
      </c>
      <c r="U22" s="80"/>
      <c r="V22" s="80">
        <f>SUM(V4:V21)</f>
        <v>99.851610139414916</v>
      </c>
      <c r="W22" s="80">
        <f>SUM(W4:W21)</f>
        <v>3994.064405576597</v>
      </c>
      <c r="X22" s="80">
        <f>SUM(X4:X21)</f>
        <v>3994</v>
      </c>
    </row>
    <row r="23" spans="1:27">
      <c r="E23" s="79" t="s">
        <v>169</v>
      </c>
      <c r="F23" s="79" t="s">
        <v>170</v>
      </c>
      <c r="G23" s="79" t="s">
        <v>171</v>
      </c>
      <c r="H23" s="79" t="s">
        <v>172</v>
      </c>
      <c r="I23" s="79" t="s">
        <v>173</v>
      </c>
      <c r="J23" s="79" t="s">
        <v>174</v>
      </c>
      <c r="K23" s="79" t="s">
        <v>175</v>
      </c>
      <c r="L23" s="79" t="s">
        <v>176</v>
      </c>
    </row>
    <row r="24" spans="1:27">
      <c r="F24" t="s">
        <v>177</v>
      </c>
      <c r="G24" t="s">
        <v>178</v>
      </c>
      <c r="H24" t="s">
        <v>179</v>
      </c>
      <c r="I24" t="s">
        <v>180</v>
      </c>
      <c r="J24" t="s">
        <v>181</v>
      </c>
      <c r="K24" t="s">
        <v>182</v>
      </c>
      <c r="L24" t="s">
        <v>183</v>
      </c>
      <c r="M24" t="s">
        <v>184</v>
      </c>
    </row>
    <row r="25" spans="1:27">
      <c r="F25" t="s">
        <v>185</v>
      </c>
      <c r="G25" t="s">
        <v>186</v>
      </c>
      <c r="H25" t="s">
        <v>187</v>
      </c>
      <c r="I25" t="s">
        <v>188</v>
      </c>
      <c r="J25" t="s">
        <v>189</v>
      </c>
      <c r="K25" t="s">
        <v>190</v>
      </c>
      <c r="L25" t="s">
        <v>191</v>
      </c>
    </row>
    <row r="26" spans="1:27">
      <c r="F26" t="s">
        <v>149</v>
      </c>
      <c r="G26" t="s">
        <v>144</v>
      </c>
      <c r="H26" t="s">
        <v>192</v>
      </c>
      <c r="I26" t="s">
        <v>145</v>
      </c>
      <c r="J26" t="s">
        <v>147</v>
      </c>
      <c r="K26" t="s">
        <v>163</v>
      </c>
      <c r="L26" t="s">
        <v>153</v>
      </c>
    </row>
    <row r="27" spans="1:27">
      <c r="F27" t="s">
        <v>143</v>
      </c>
      <c r="G27" t="s">
        <v>193</v>
      </c>
      <c r="H27" t="s">
        <v>161</v>
      </c>
      <c r="I27" t="s">
        <v>167</v>
      </c>
      <c r="J27" t="s">
        <v>164</v>
      </c>
      <c r="K27" t="s">
        <v>151</v>
      </c>
    </row>
    <row r="28" spans="1:27" ht="24">
      <c r="A28" s="108" t="s">
        <v>194</v>
      </c>
      <c r="C28" t="s">
        <v>195</v>
      </c>
      <c r="K28" t="s">
        <v>154</v>
      </c>
    </row>
    <row r="29" spans="1:27">
      <c r="C29" t="s">
        <v>196</v>
      </c>
    </row>
    <row r="33" spans="2:24">
      <c r="B33" s="88" t="s">
        <v>130</v>
      </c>
      <c r="C33" s="88" t="s">
        <v>131</v>
      </c>
      <c r="D33" s="66"/>
      <c r="E33" s="66"/>
      <c r="F33" s="66"/>
      <c r="H33" s="66"/>
      <c r="I33" s="88" t="s">
        <v>132</v>
      </c>
      <c r="J33" s="66"/>
      <c r="K33" s="66"/>
      <c r="L33" s="66"/>
      <c r="N33" s="89"/>
      <c r="O33" s="90" t="s">
        <v>133</v>
      </c>
      <c r="P33" s="89"/>
      <c r="Q33" s="89"/>
      <c r="R33" s="89"/>
      <c r="T33" s="66"/>
      <c r="U33" s="88" t="s">
        <v>134</v>
      </c>
      <c r="V33" s="66"/>
      <c r="W33" s="66"/>
      <c r="X33" s="66"/>
    </row>
    <row r="34" spans="2:24">
      <c r="B34" s="88" t="s">
        <v>136</v>
      </c>
      <c r="C34" s="88" t="s">
        <v>137</v>
      </c>
      <c r="D34" s="88" t="s">
        <v>140</v>
      </c>
      <c r="E34" s="88" t="s">
        <v>197</v>
      </c>
      <c r="F34" s="88"/>
      <c r="H34" s="88" t="s">
        <v>136</v>
      </c>
      <c r="I34" s="88" t="s">
        <v>141</v>
      </c>
      <c r="J34" s="88" t="s">
        <v>140</v>
      </c>
      <c r="K34" s="88" t="s">
        <v>197</v>
      </c>
      <c r="L34" s="88"/>
      <c r="N34" s="90" t="s">
        <v>136</v>
      </c>
      <c r="O34" s="90" t="s">
        <v>141</v>
      </c>
      <c r="P34" s="90" t="s">
        <v>140</v>
      </c>
      <c r="Q34" s="90" t="s">
        <v>197</v>
      </c>
      <c r="R34" s="90"/>
      <c r="T34" s="88" t="s">
        <v>136</v>
      </c>
      <c r="U34" s="88" t="s">
        <v>141</v>
      </c>
      <c r="V34" s="88" t="s">
        <v>140</v>
      </c>
      <c r="W34" s="88" t="s">
        <v>197</v>
      </c>
      <c r="X34" s="88"/>
    </row>
    <row r="35" spans="2:24">
      <c r="B35" s="91" t="s">
        <v>142</v>
      </c>
      <c r="C35" s="91" t="s">
        <v>143</v>
      </c>
      <c r="D35" s="91">
        <v>164</v>
      </c>
      <c r="E35" s="91" t="s">
        <v>170</v>
      </c>
      <c r="F35" s="91">
        <f>D35</f>
        <v>164</v>
      </c>
      <c r="H35" s="91" t="s">
        <v>142</v>
      </c>
      <c r="I35" s="91" t="s">
        <v>144</v>
      </c>
      <c r="J35" s="91">
        <v>150</v>
      </c>
      <c r="K35" s="91" t="s">
        <v>171</v>
      </c>
      <c r="L35" s="91">
        <f>J35</f>
        <v>150</v>
      </c>
      <c r="N35" s="91" t="s">
        <v>142</v>
      </c>
      <c r="O35" s="91" t="s">
        <v>144</v>
      </c>
      <c r="P35" s="91">
        <v>724</v>
      </c>
      <c r="Q35" s="91" t="s">
        <v>171</v>
      </c>
      <c r="R35" s="91">
        <f>P35</f>
        <v>724</v>
      </c>
      <c r="T35" s="91" t="s">
        <v>142</v>
      </c>
      <c r="U35" s="91" t="s">
        <v>144</v>
      </c>
      <c r="V35" s="91">
        <v>201</v>
      </c>
      <c r="W35" s="91" t="s">
        <v>171</v>
      </c>
      <c r="X35" s="91">
        <f>V35</f>
        <v>201</v>
      </c>
    </row>
    <row r="36" spans="2:24">
      <c r="B36" s="91"/>
      <c r="C36" s="91" t="s">
        <v>144</v>
      </c>
      <c r="D36" s="91">
        <v>154</v>
      </c>
      <c r="E36" s="91" t="s">
        <v>171</v>
      </c>
      <c r="F36" s="91">
        <f t="shared" ref="F36:F43" si="5">D36</f>
        <v>154</v>
      </c>
      <c r="H36" s="91"/>
      <c r="I36" s="91" t="s">
        <v>145</v>
      </c>
      <c r="J36" s="91">
        <v>166</v>
      </c>
      <c r="K36" s="91" t="s">
        <v>173</v>
      </c>
      <c r="L36" s="91">
        <f t="shared" ref="L36:L49" si="6">J36</f>
        <v>166</v>
      </c>
      <c r="N36" s="91" t="s">
        <v>146</v>
      </c>
      <c r="O36" s="91" t="s">
        <v>147</v>
      </c>
      <c r="P36" s="91">
        <v>156</v>
      </c>
      <c r="Q36" s="91" t="s">
        <v>174</v>
      </c>
      <c r="R36" s="91">
        <f>P36</f>
        <v>156</v>
      </c>
      <c r="T36" s="91"/>
      <c r="U36" s="91" t="s">
        <v>145</v>
      </c>
      <c r="V36" s="91">
        <v>210</v>
      </c>
      <c r="W36" s="91" t="s">
        <v>173</v>
      </c>
      <c r="X36" s="91">
        <f t="shared" ref="X36:X37" si="7">V36</f>
        <v>210</v>
      </c>
    </row>
    <row r="37" spans="2:24">
      <c r="B37" s="91"/>
      <c r="C37" s="91" t="s">
        <v>145</v>
      </c>
      <c r="D37" s="91">
        <v>156</v>
      </c>
      <c r="E37" s="91" t="s">
        <v>173</v>
      </c>
      <c r="F37" s="91">
        <f t="shared" si="5"/>
        <v>156</v>
      </c>
      <c r="H37" s="91"/>
      <c r="I37" s="91" t="s">
        <v>147</v>
      </c>
      <c r="J37" s="91">
        <v>299</v>
      </c>
      <c r="K37" s="91" t="s">
        <v>174</v>
      </c>
      <c r="L37" s="91">
        <f t="shared" si="6"/>
        <v>299</v>
      </c>
      <c r="N37" s="91" t="s">
        <v>148</v>
      </c>
      <c r="O37" s="94" t="s">
        <v>149</v>
      </c>
      <c r="P37" s="94">
        <v>160</v>
      </c>
      <c r="Q37" s="94" t="s">
        <v>170</v>
      </c>
      <c r="R37" s="94">
        <f>P37+P38</f>
        <v>298</v>
      </c>
      <c r="T37" s="91"/>
      <c r="U37" s="91" t="s">
        <v>147</v>
      </c>
      <c r="V37" s="91">
        <v>427</v>
      </c>
      <c r="W37" s="91" t="s">
        <v>174</v>
      </c>
      <c r="X37" s="91">
        <f t="shared" si="7"/>
        <v>427</v>
      </c>
    </row>
    <row r="38" spans="2:24">
      <c r="B38" s="91"/>
      <c r="C38" s="91" t="s">
        <v>147</v>
      </c>
      <c r="D38" s="91">
        <v>169</v>
      </c>
      <c r="E38" s="91" t="s">
        <v>174</v>
      </c>
      <c r="F38" s="91">
        <f t="shared" si="5"/>
        <v>169</v>
      </c>
      <c r="H38" s="91" t="s">
        <v>146</v>
      </c>
      <c r="I38" s="91" t="s">
        <v>147</v>
      </c>
      <c r="J38" s="91">
        <v>294</v>
      </c>
      <c r="K38" s="91" t="s">
        <v>174</v>
      </c>
      <c r="L38" s="91">
        <f t="shared" si="6"/>
        <v>294</v>
      </c>
      <c r="N38" s="91"/>
      <c r="O38" s="94" t="s">
        <v>143</v>
      </c>
      <c r="P38" s="94">
        <v>138</v>
      </c>
      <c r="Q38" s="94" t="s">
        <v>198</v>
      </c>
      <c r="R38" s="94"/>
      <c r="T38" s="91"/>
      <c r="U38" s="94" t="s">
        <v>151</v>
      </c>
      <c r="V38" s="94">
        <v>163</v>
      </c>
      <c r="W38" s="94" t="s">
        <v>175</v>
      </c>
      <c r="X38" s="94">
        <f>V38+V39</f>
        <v>457</v>
      </c>
    </row>
    <row r="39" spans="2:24">
      <c r="B39" s="91" t="s">
        <v>146</v>
      </c>
      <c r="C39" s="91" t="s">
        <v>147</v>
      </c>
      <c r="D39" s="91">
        <v>228</v>
      </c>
      <c r="E39" s="91" t="s">
        <v>174</v>
      </c>
      <c r="F39" s="91">
        <f t="shared" si="5"/>
        <v>228</v>
      </c>
      <c r="H39" s="91"/>
      <c r="I39" s="91" t="s">
        <v>153</v>
      </c>
      <c r="J39" s="91">
        <v>138</v>
      </c>
      <c r="K39" s="91" t="s">
        <v>176</v>
      </c>
      <c r="L39" s="91">
        <f t="shared" si="6"/>
        <v>138</v>
      </c>
      <c r="N39" s="91"/>
      <c r="O39" s="91" t="s">
        <v>144</v>
      </c>
      <c r="P39" s="91">
        <v>554</v>
      </c>
      <c r="Q39" s="91" t="s">
        <v>171</v>
      </c>
      <c r="R39" s="91">
        <f>P39</f>
        <v>554</v>
      </c>
      <c r="T39" s="91"/>
      <c r="U39" s="94" t="s">
        <v>154</v>
      </c>
      <c r="V39" s="94">
        <v>294</v>
      </c>
      <c r="W39" s="94" t="s">
        <v>199</v>
      </c>
      <c r="X39" s="94"/>
    </row>
    <row r="40" spans="2:24">
      <c r="B40" s="91" t="s">
        <v>148</v>
      </c>
      <c r="C40" s="91" t="s">
        <v>143</v>
      </c>
      <c r="D40" s="91">
        <v>253</v>
      </c>
      <c r="E40" s="91" t="s">
        <v>170</v>
      </c>
      <c r="F40" s="91">
        <f t="shared" si="5"/>
        <v>253</v>
      </c>
      <c r="H40" s="91" t="s">
        <v>148</v>
      </c>
      <c r="I40" s="91" t="s">
        <v>143</v>
      </c>
      <c r="J40" s="91">
        <v>206</v>
      </c>
      <c r="K40" s="91" t="s">
        <v>170</v>
      </c>
      <c r="L40" s="91">
        <f t="shared" si="6"/>
        <v>206</v>
      </c>
      <c r="N40" s="91"/>
      <c r="O40" s="91" t="s">
        <v>145</v>
      </c>
      <c r="P40" s="91">
        <v>415</v>
      </c>
      <c r="Q40" s="91" t="s">
        <v>173</v>
      </c>
      <c r="R40" s="91">
        <f t="shared" ref="R40:R46" si="8">P40</f>
        <v>415</v>
      </c>
      <c r="T40" s="91" t="s">
        <v>146</v>
      </c>
      <c r="U40" s="91" t="s">
        <v>147</v>
      </c>
      <c r="V40" s="91">
        <v>266</v>
      </c>
      <c r="W40" s="91" t="s">
        <v>174</v>
      </c>
      <c r="X40" s="91">
        <f>V40</f>
        <v>266</v>
      </c>
    </row>
    <row r="41" spans="2:24">
      <c r="B41" s="91"/>
      <c r="C41" s="91" t="s">
        <v>144</v>
      </c>
      <c r="D41" s="91">
        <v>167</v>
      </c>
      <c r="E41" s="91" t="s">
        <v>171</v>
      </c>
      <c r="F41" s="91">
        <f t="shared" si="5"/>
        <v>167</v>
      </c>
      <c r="H41" s="91"/>
      <c r="I41" s="91" t="s">
        <v>144</v>
      </c>
      <c r="J41" s="91">
        <v>183</v>
      </c>
      <c r="K41" s="91" t="s">
        <v>171</v>
      </c>
      <c r="L41" s="91">
        <f t="shared" si="6"/>
        <v>183</v>
      </c>
      <c r="N41" s="91"/>
      <c r="O41" s="91" t="s">
        <v>147</v>
      </c>
      <c r="P41" s="91">
        <v>246</v>
      </c>
      <c r="Q41" s="91" t="s">
        <v>174</v>
      </c>
      <c r="R41" s="91">
        <f t="shared" si="8"/>
        <v>246</v>
      </c>
      <c r="T41" s="91"/>
      <c r="U41" s="94" t="s">
        <v>151</v>
      </c>
      <c r="V41" s="94">
        <v>157</v>
      </c>
      <c r="W41" s="94" t="s">
        <v>175</v>
      </c>
      <c r="X41" s="94">
        <f>V41+V43</f>
        <v>263</v>
      </c>
    </row>
    <row r="42" spans="2:24">
      <c r="B42" s="91"/>
      <c r="C42" s="91" t="s">
        <v>145</v>
      </c>
      <c r="D42" s="91">
        <v>320</v>
      </c>
      <c r="E42" s="91" t="s">
        <v>173</v>
      </c>
      <c r="F42" s="91">
        <f t="shared" si="5"/>
        <v>320</v>
      </c>
      <c r="H42" s="91"/>
      <c r="I42" s="91" t="s">
        <v>145</v>
      </c>
      <c r="J42" s="91">
        <v>446</v>
      </c>
      <c r="K42" s="91" t="s">
        <v>172</v>
      </c>
      <c r="L42" s="91">
        <f t="shared" si="6"/>
        <v>446</v>
      </c>
      <c r="N42" s="91" t="s">
        <v>157</v>
      </c>
      <c r="O42" s="91" t="s">
        <v>149</v>
      </c>
      <c r="P42" s="91">
        <v>234</v>
      </c>
      <c r="Q42" s="91" t="s">
        <v>170</v>
      </c>
      <c r="R42" s="91">
        <f t="shared" si="8"/>
        <v>234</v>
      </c>
      <c r="T42" s="91"/>
      <c r="U42" s="91" t="s">
        <v>153</v>
      </c>
      <c r="V42" s="91">
        <v>79</v>
      </c>
      <c r="W42" s="91" t="s">
        <v>176</v>
      </c>
      <c r="X42" s="91">
        <f>V42</f>
        <v>79</v>
      </c>
    </row>
    <row r="43" spans="2:24">
      <c r="B43" s="91"/>
      <c r="C43" s="91" t="s">
        <v>147</v>
      </c>
      <c r="D43" s="91">
        <v>371</v>
      </c>
      <c r="E43" s="91" t="s">
        <v>174</v>
      </c>
      <c r="F43" s="91">
        <f t="shared" si="5"/>
        <v>371</v>
      </c>
      <c r="H43" s="91"/>
      <c r="I43" s="91" t="s">
        <v>147</v>
      </c>
      <c r="J43" s="91">
        <v>606</v>
      </c>
      <c r="K43" s="91" t="s">
        <v>174</v>
      </c>
      <c r="L43" s="91">
        <f t="shared" si="6"/>
        <v>606</v>
      </c>
      <c r="N43" s="91"/>
      <c r="O43" s="91" t="s">
        <v>161</v>
      </c>
      <c r="P43" s="91">
        <v>356</v>
      </c>
      <c r="Q43" s="91" t="s">
        <v>172</v>
      </c>
      <c r="R43" s="91">
        <f t="shared" si="8"/>
        <v>356</v>
      </c>
      <c r="T43" s="91"/>
      <c r="U43" s="94" t="s">
        <v>154</v>
      </c>
      <c r="V43" s="94">
        <v>106</v>
      </c>
      <c r="W43" s="94" t="s">
        <v>199</v>
      </c>
      <c r="X43" s="94"/>
    </row>
    <row r="44" spans="2:24">
      <c r="B44" s="91" t="s">
        <v>157</v>
      </c>
      <c r="C44" s="94" t="s">
        <v>149</v>
      </c>
      <c r="D44" s="94">
        <v>167</v>
      </c>
      <c r="E44" s="93" t="s">
        <v>170</v>
      </c>
      <c r="F44" s="94">
        <f>D44+D45</f>
        <v>463</v>
      </c>
      <c r="H44" s="91" t="s">
        <v>157</v>
      </c>
      <c r="I44" s="91" t="s">
        <v>143</v>
      </c>
      <c r="J44" s="91">
        <v>142</v>
      </c>
      <c r="K44" s="91" t="s">
        <v>170</v>
      </c>
      <c r="L44" s="91">
        <f t="shared" si="6"/>
        <v>142</v>
      </c>
      <c r="N44" s="91"/>
      <c r="O44" s="91" t="s">
        <v>144</v>
      </c>
      <c r="P44" s="91">
        <v>393</v>
      </c>
      <c r="Q44" s="91" t="s">
        <v>171</v>
      </c>
      <c r="R44" s="91">
        <f t="shared" si="8"/>
        <v>393</v>
      </c>
      <c r="T44" s="91" t="s">
        <v>148</v>
      </c>
      <c r="U44" s="91" t="s">
        <v>143</v>
      </c>
      <c r="V44" s="91">
        <v>155</v>
      </c>
      <c r="W44" s="91" t="s">
        <v>170</v>
      </c>
      <c r="X44" s="91">
        <f>V44</f>
        <v>155</v>
      </c>
    </row>
    <row r="45" spans="2:24">
      <c r="B45" s="91"/>
      <c r="C45" s="94" t="s">
        <v>143</v>
      </c>
      <c r="D45" s="94">
        <v>296</v>
      </c>
      <c r="E45" s="93" t="s">
        <v>200</v>
      </c>
      <c r="F45" s="94"/>
      <c r="H45" s="91"/>
      <c r="I45" s="91" t="s">
        <v>161</v>
      </c>
      <c r="J45" s="91">
        <v>192</v>
      </c>
      <c r="K45" s="91" t="s">
        <v>172</v>
      </c>
      <c r="L45" s="91">
        <f t="shared" si="6"/>
        <v>192</v>
      </c>
      <c r="N45" s="91"/>
      <c r="O45" s="91" t="s">
        <v>145</v>
      </c>
      <c r="P45" s="91">
        <v>419</v>
      </c>
      <c r="Q45" s="91" t="s">
        <v>173</v>
      </c>
      <c r="R45" s="91">
        <f t="shared" si="8"/>
        <v>419</v>
      </c>
      <c r="T45" s="91"/>
      <c r="U45" s="91" t="s">
        <v>144</v>
      </c>
      <c r="V45" s="91">
        <v>174</v>
      </c>
      <c r="W45" s="91" t="s">
        <v>171</v>
      </c>
      <c r="X45" s="91">
        <f t="shared" ref="X45:X46" si="9">V45</f>
        <v>174</v>
      </c>
    </row>
    <row r="46" spans="2:24">
      <c r="B46" s="91"/>
      <c r="C46" s="91" t="s">
        <v>161</v>
      </c>
      <c r="D46" s="91">
        <v>241</v>
      </c>
      <c r="E46" s="91" t="s">
        <v>172</v>
      </c>
      <c r="F46" s="91">
        <f>D46</f>
        <v>241</v>
      </c>
      <c r="H46" s="91"/>
      <c r="I46" s="91" t="s">
        <v>144</v>
      </c>
      <c r="J46" s="91">
        <v>139</v>
      </c>
      <c r="K46" s="91" t="s">
        <v>171</v>
      </c>
      <c r="L46" s="91">
        <f t="shared" si="6"/>
        <v>139</v>
      </c>
      <c r="N46" s="91"/>
      <c r="O46" s="91" t="s">
        <v>147</v>
      </c>
      <c r="P46" s="91">
        <v>212</v>
      </c>
      <c r="Q46" s="91" t="s">
        <v>174</v>
      </c>
      <c r="R46" s="91">
        <f t="shared" si="8"/>
        <v>212</v>
      </c>
      <c r="T46" s="91"/>
      <c r="U46" s="91" t="s">
        <v>145</v>
      </c>
      <c r="V46" s="91">
        <v>332</v>
      </c>
      <c r="W46" s="91" t="s">
        <v>173</v>
      </c>
      <c r="X46" s="91">
        <f t="shared" si="9"/>
        <v>332</v>
      </c>
    </row>
    <row r="47" spans="2:24">
      <c r="B47" s="91"/>
      <c r="C47" s="91" t="s">
        <v>144</v>
      </c>
      <c r="D47" s="91">
        <v>221</v>
      </c>
      <c r="E47" s="91" t="s">
        <v>171</v>
      </c>
      <c r="F47" s="91">
        <f t="shared" ref="F47:F50" si="10">D47</f>
        <v>221</v>
      </c>
      <c r="H47" s="91"/>
      <c r="I47" s="91" t="s">
        <v>145</v>
      </c>
      <c r="J47" s="91">
        <v>427</v>
      </c>
      <c r="K47" s="91" t="s">
        <v>173</v>
      </c>
      <c r="L47" s="91">
        <f t="shared" si="6"/>
        <v>427</v>
      </c>
      <c r="N47" s="92" t="s">
        <v>162</v>
      </c>
      <c r="O47" s="92"/>
      <c r="P47" s="92">
        <f>SUM(P35:P46)</f>
        <v>4007</v>
      </c>
      <c r="Q47" s="92"/>
      <c r="R47" s="92">
        <f>SUM(R35:R46)</f>
        <v>4007</v>
      </c>
      <c r="T47" s="91"/>
      <c r="U47" s="94" t="s">
        <v>147</v>
      </c>
      <c r="V47" s="94">
        <v>487</v>
      </c>
      <c r="W47" s="94" t="s">
        <v>174</v>
      </c>
      <c r="X47" s="94">
        <f>V47+V48</f>
        <v>617</v>
      </c>
    </row>
    <row r="48" spans="2:24">
      <c r="B48" s="91"/>
      <c r="C48" s="91" t="s">
        <v>145</v>
      </c>
      <c r="D48" s="91">
        <v>543</v>
      </c>
      <c r="E48" s="91" t="s">
        <v>173</v>
      </c>
      <c r="F48" s="91">
        <f t="shared" si="10"/>
        <v>543</v>
      </c>
      <c r="H48" s="91"/>
      <c r="I48" s="91" t="s">
        <v>163</v>
      </c>
      <c r="J48" s="91">
        <v>238</v>
      </c>
      <c r="K48" s="91" t="s">
        <v>175</v>
      </c>
      <c r="L48" s="91">
        <f t="shared" si="6"/>
        <v>238</v>
      </c>
      <c r="T48" s="91"/>
      <c r="U48" s="94" t="s">
        <v>164</v>
      </c>
      <c r="V48" s="94">
        <v>130</v>
      </c>
      <c r="W48" s="94" t="s">
        <v>201</v>
      </c>
      <c r="X48" s="94"/>
    </row>
    <row r="49" spans="1:25">
      <c r="B49" s="91"/>
      <c r="C49" s="91" t="s">
        <v>163</v>
      </c>
      <c r="D49" s="91">
        <v>155</v>
      </c>
      <c r="E49" s="91" t="s">
        <v>175</v>
      </c>
      <c r="F49" s="91">
        <f t="shared" si="10"/>
        <v>155</v>
      </c>
      <c r="H49" s="91"/>
      <c r="I49" s="91" t="s">
        <v>147</v>
      </c>
      <c r="J49" s="91">
        <v>365</v>
      </c>
      <c r="K49" s="91" t="s">
        <v>174</v>
      </c>
      <c r="L49" s="91">
        <f t="shared" si="6"/>
        <v>365</v>
      </c>
      <c r="T49" s="91" t="s">
        <v>157</v>
      </c>
      <c r="U49" s="91" t="s">
        <v>161</v>
      </c>
      <c r="V49" s="91">
        <v>137</v>
      </c>
      <c r="W49" s="91" t="s">
        <v>172</v>
      </c>
      <c r="X49" s="91">
        <f>V49</f>
        <v>137</v>
      </c>
    </row>
    <row r="50" spans="1:25">
      <c r="B50" s="91"/>
      <c r="C50" s="91" t="s">
        <v>147</v>
      </c>
      <c r="D50" s="91">
        <v>399</v>
      </c>
      <c r="E50" s="91" t="s">
        <v>174</v>
      </c>
      <c r="F50" s="91">
        <f t="shared" si="10"/>
        <v>399</v>
      </c>
      <c r="H50" s="92" t="s">
        <v>162</v>
      </c>
      <c r="I50" s="92"/>
      <c r="J50" s="92">
        <f>SUM(J35:J49)</f>
        <v>3991</v>
      </c>
      <c r="K50" s="92"/>
      <c r="L50" s="92">
        <f>SUM(L35:L49)</f>
        <v>3991</v>
      </c>
      <c r="T50" s="91"/>
      <c r="U50" s="94" t="s">
        <v>145</v>
      </c>
      <c r="V50" s="94">
        <v>223</v>
      </c>
      <c r="W50" s="94" t="s">
        <v>173</v>
      </c>
      <c r="X50" s="94">
        <f>SUM(V50,V52)</f>
        <v>474</v>
      </c>
    </row>
    <row r="51" spans="1:25">
      <c r="B51" s="92" t="s">
        <v>162</v>
      </c>
      <c r="C51" s="92"/>
      <c r="D51" s="92">
        <f>SUM(D35:D50)</f>
        <v>4004</v>
      </c>
      <c r="E51" s="92"/>
      <c r="F51" s="92">
        <f>SUM(F35:F50)</f>
        <v>4004</v>
      </c>
      <c r="T51" s="91"/>
      <c r="U51" s="91" t="s">
        <v>147</v>
      </c>
      <c r="V51" s="91">
        <v>202</v>
      </c>
      <c r="W51" s="91" t="s">
        <v>174</v>
      </c>
      <c r="X51" s="91">
        <f t="shared" ref="X51" si="11">V51</f>
        <v>202</v>
      </c>
    </row>
    <row r="52" spans="1:25">
      <c r="T52" s="91"/>
      <c r="U52" s="94" t="s">
        <v>167</v>
      </c>
      <c r="V52" s="94">
        <v>251</v>
      </c>
      <c r="W52" s="94" t="s">
        <v>202</v>
      </c>
      <c r="X52" s="94"/>
    </row>
    <row r="53" spans="1:25">
      <c r="T53" s="92" t="s">
        <v>162</v>
      </c>
      <c r="U53" s="92"/>
      <c r="V53" s="92">
        <f>SUM(V35:V52)</f>
        <v>3994</v>
      </c>
      <c r="W53" s="92"/>
      <c r="X53" s="92">
        <f>SUM(X35:X52)</f>
        <v>3994</v>
      </c>
    </row>
    <row r="57" spans="1:25" ht="24">
      <c r="A57" s="108" t="s">
        <v>203</v>
      </c>
    </row>
    <row r="60" spans="1:25">
      <c r="B60" s="95" t="s">
        <v>130</v>
      </c>
      <c r="C60" s="95" t="s">
        <v>131</v>
      </c>
      <c r="D60" s="96"/>
      <c r="E60" s="96"/>
      <c r="F60" s="96"/>
      <c r="H60" s="96"/>
      <c r="I60" s="95" t="s">
        <v>132</v>
      </c>
      <c r="J60" s="96"/>
      <c r="K60" s="96"/>
      <c r="L60" s="96"/>
      <c r="N60" s="101"/>
      <c r="O60" s="102" t="s">
        <v>133</v>
      </c>
      <c r="P60" s="101"/>
      <c r="Q60" s="101"/>
      <c r="R60" s="101"/>
      <c r="T60" s="96"/>
      <c r="U60" s="95" t="s">
        <v>134</v>
      </c>
      <c r="V60" s="96"/>
      <c r="W60" s="96"/>
      <c r="X60" s="96"/>
    </row>
    <row r="61" spans="1:25">
      <c r="B61" s="95" t="s">
        <v>136</v>
      </c>
      <c r="C61" s="95" t="s">
        <v>137</v>
      </c>
      <c r="D61" s="95" t="s">
        <v>140</v>
      </c>
      <c r="E61" s="95" t="s">
        <v>197</v>
      </c>
      <c r="F61" s="95" t="s">
        <v>138</v>
      </c>
      <c r="H61" s="95" t="s">
        <v>136</v>
      </c>
      <c r="I61" s="95" t="s">
        <v>141</v>
      </c>
      <c r="J61" s="95" t="s">
        <v>140</v>
      </c>
      <c r="K61" s="95" t="s">
        <v>197</v>
      </c>
      <c r="L61" s="95" t="s">
        <v>138</v>
      </c>
      <c r="N61" s="102" t="s">
        <v>136</v>
      </c>
      <c r="O61" s="102" t="s">
        <v>141</v>
      </c>
      <c r="P61" s="102" t="s">
        <v>140</v>
      </c>
      <c r="Q61" s="102" t="s">
        <v>197</v>
      </c>
      <c r="R61" s="102" t="s">
        <v>138</v>
      </c>
      <c r="T61" s="95" t="s">
        <v>136</v>
      </c>
      <c r="U61" s="95" t="s">
        <v>141</v>
      </c>
      <c r="V61" s="95" t="s">
        <v>140</v>
      </c>
      <c r="W61" s="95" t="s">
        <v>197</v>
      </c>
      <c r="X61" s="95" t="s">
        <v>138</v>
      </c>
    </row>
    <row r="62" spans="1:25">
      <c r="B62" s="97" t="s">
        <v>142</v>
      </c>
      <c r="C62" s="97" t="s">
        <v>143</v>
      </c>
      <c r="D62" s="97">
        <f>F35</f>
        <v>164</v>
      </c>
      <c r="E62" s="97" t="s">
        <v>204</v>
      </c>
      <c r="F62" s="97">
        <f>D62/4004*100</f>
        <v>4.0959040959040962</v>
      </c>
      <c r="G62">
        <v>4</v>
      </c>
      <c r="H62" s="97" t="s">
        <v>142</v>
      </c>
      <c r="I62" s="97" t="s">
        <v>144</v>
      </c>
      <c r="J62" s="97">
        <v>150</v>
      </c>
      <c r="K62" s="97" t="s">
        <v>205</v>
      </c>
      <c r="L62" s="97">
        <f>J62/3991*100</f>
        <v>3.7584565271861687</v>
      </c>
      <c r="M62">
        <v>4</v>
      </c>
      <c r="N62" s="97" t="s">
        <v>142</v>
      </c>
      <c r="O62" s="97" t="s">
        <v>144</v>
      </c>
      <c r="P62" s="97">
        <f>R35</f>
        <v>724</v>
      </c>
      <c r="Q62" s="97" t="s">
        <v>205</v>
      </c>
      <c r="R62" s="97">
        <f t="shared" ref="R62:R72" si="12">P62/4007*100</f>
        <v>18.068380334414773</v>
      </c>
      <c r="S62">
        <v>18</v>
      </c>
      <c r="T62" s="97" t="s">
        <v>142</v>
      </c>
      <c r="U62" s="97" t="s">
        <v>144</v>
      </c>
      <c r="V62" s="97">
        <f>X35</f>
        <v>201</v>
      </c>
      <c r="W62" s="97" t="s">
        <v>205</v>
      </c>
      <c r="X62" s="97">
        <f>V62/3994*100</f>
        <v>5.0325488232348521</v>
      </c>
      <c r="Y62">
        <v>5</v>
      </c>
    </row>
    <row r="63" spans="1:25">
      <c r="B63" s="97">
        <f>SUM(G62:G65)</f>
        <v>16</v>
      </c>
      <c r="C63" s="97" t="s">
        <v>144</v>
      </c>
      <c r="D63" s="97">
        <f t="shared" ref="D63:D70" si="13">F36</f>
        <v>154</v>
      </c>
      <c r="E63" s="97" t="s">
        <v>205</v>
      </c>
      <c r="F63" s="97">
        <f t="shared" ref="F63:F76" si="14">D63/4004*100</f>
        <v>3.8461538461538463</v>
      </c>
      <c r="G63">
        <v>4</v>
      </c>
      <c r="H63" s="97">
        <f>SUM(M62:M64)</f>
        <v>16</v>
      </c>
      <c r="I63" s="97" t="s">
        <v>145</v>
      </c>
      <c r="J63" s="97">
        <v>166</v>
      </c>
      <c r="K63" s="97" t="s">
        <v>206</v>
      </c>
      <c r="L63" s="97">
        <f t="shared" ref="L63:L76" si="15">J63/3991*100</f>
        <v>4.1593585567526938</v>
      </c>
      <c r="M63">
        <v>4</v>
      </c>
      <c r="N63" s="97" t="s">
        <v>146</v>
      </c>
      <c r="O63" s="97" t="s">
        <v>147</v>
      </c>
      <c r="P63" s="97">
        <f>R36</f>
        <v>156</v>
      </c>
      <c r="Q63" s="97" t="s">
        <v>207</v>
      </c>
      <c r="R63" s="97">
        <f t="shared" si="12"/>
        <v>3.8931869228849516</v>
      </c>
      <c r="S63">
        <v>4</v>
      </c>
      <c r="T63" s="97">
        <f>SUM(Y62:Y65)</f>
        <v>32</v>
      </c>
      <c r="U63" s="97" t="s">
        <v>145</v>
      </c>
      <c r="V63" s="97">
        <f t="shared" ref="V63:V65" si="16">X36</f>
        <v>210</v>
      </c>
      <c r="W63" s="97" t="s">
        <v>206</v>
      </c>
      <c r="X63" s="97">
        <f t="shared" ref="X63:X75" si="17">V63/3994*100</f>
        <v>5.2578868302453685</v>
      </c>
      <c r="Y63">
        <v>5</v>
      </c>
    </row>
    <row r="64" spans="1:25">
      <c r="B64" s="97"/>
      <c r="C64" s="97" t="s">
        <v>145</v>
      </c>
      <c r="D64" s="97">
        <f t="shared" si="13"/>
        <v>156</v>
      </c>
      <c r="E64" s="97" t="s">
        <v>206</v>
      </c>
      <c r="F64" s="97">
        <f t="shared" si="14"/>
        <v>3.8961038961038961</v>
      </c>
      <c r="G64">
        <v>4</v>
      </c>
      <c r="H64" s="97"/>
      <c r="I64" s="97" t="s">
        <v>147</v>
      </c>
      <c r="J64" s="97">
        <v>299</v>
      </c>
      <c r="K64" s="97" t="s">
        <v>208</v>
      </c>
      <c r="L64" s="97">
        <f t="shared" si="15"/>
        <v>7.4918566775244306</v>
      </c>
      <c r="M64">
        <v>8</v>
      </c>
      <c r="N64" s="97" t="s">
        <v>148</v>
      </c>
      <c r="O64" s="97" t="s">
        <v>143</v>
      </c>
      <c r="P64" s="97">
        <f>R37</f>
        <v>298</v>
      </c>
      <c r="Q64" s="97" t="s">
        <v>209</v>
      </c>
      <c r="R64" s="97">
        <f t="shared" si="12"/>
        <v>7.436985275767408</v>
      </c>
      <c r="S64">
        <v>7</v>
      </c>
      <c r="T64" s="97"/>
      <c r="U64" s="97" t="s">
        <v>147</v>
      </c>
      <c r="V64" s="97">
        <f t="shared" si="16"/>
        <v>427</v>
      </c>
      <c r="W64" s="97" t="s">
        <v>208</v>
      </c>
      <c r="X64" s="97">
        <f t="shared" si="17"/>
        <v>10.691036554832248</v>
      </c>
      <c r="Y64">
        <v>11</v>
      </c>
    </row>
    <row r="65" spans="2:25">
      <c r="B65" s="97"/>
      <c r="C65" s="97" t="s">
        <v>147</v>
      </c>
      <c r="D65" s="97">
        <f t="shared" si="13"/>
        <v>169</v>
      </c>
      <c r="E65" s="97" t="s">
        <v>208</v>
      </c>
      <c r="F65" s="97">
        <f t="shared" si="14"/>
        <v>4.220779220779221</v>
      </c>
      <c r="G65">
        <v>4</v>
      </c>
      <c r="H65" s="97" t="s">
        <v>146</v>
      </c>
      <c r="I65" s="97" t="s">
        <v>147</v>
      </c>
      <c r="J65" s="97">
        <v>294</v>
      </c>
      <c r="K65" s="97" t="s">
        <v>207</v>
      </c>
      <c r="L65" s="97">
        <f t="shared" si="15"/>
        <v>7.3665747932848911</v>
      </c>
      <c r="M65">
        <v>7</v>
      </c>
      <c r="N65" s="97">
        <f>SUM(S64:S67)</f>
        <v>37</v>
      </c>
      <c r="O65" s="97" t="s">
        <v>144</v>
      </c>
      <c r="P65" s="97">
        <f>R39</f>
        <v>554</v>
      </c>
      <c r="Q65" s="97" t="s">
        <v>210</v>
      </c>
      <c r="R65" s="97">
        <f t="shared" si="12"/>
        <v>13.825804841527328</v>
      </c>
      <c r="S65">
        <v>14</v>
      </c>
      <c r="T65" s="97"/>
      <c r="U65" s="97" t="s">
        <v>151</v>
      </c>
      <c r="V65" s="97">
        <f t="shared" si="16"/>
        <v>457</v>
      </c>
      <c r="W65" s="97" t="s">
        <v>211</v>
      </c>
      <c r="X65" s="97">
        <f t="shared" si="17"/>
        <v>11.442163244867301</v>
      </c>
      <c r="Y65">
        <v>11</v>
      </c>
    </row>
    <row r="66" spans="2:25">
      <c r="B66" s="97" t="s">
        <v>146</v>
      </c>
      <c r="C66" s="97" t="s">
        <v>147</v>
      </c>
      <c r="D66" s="97">
        <f t="shared" si="13"/>
        <v>228</v>
      </c>
      <c r="E66" s="97" t="s">
        <v>207</v>
      </c>
      <c r="F66" s="97">
        <f t="shared" si="14"/>
        <v>5.6943056943056947</v>
      </c>
      <c r="G66">
        <v>6</v>
      </c>
      <c r="H66" s="97">
        <f>SUM(M65:M66)</f>
        <v>10</v>
      </c>
      <c r="I66" s="97" t="s">
        <v>153</v>
      </c>
      <c r="J66" s="97">
        <v>138</v>
      </c>
      <c r="K66" s="97" t="s">
        <v>212</v>
      </c>
      <c r="L66" s="97">
        <f t="shared" si="15"/>
        <v>3.4577800050112755</v>
      </c>
      <c r="M66">
        <v>3</v>
      </c>
      <c r="N66" s="97"/>
      <c r="O66" s="97" t="s">
        <v>145</v>
      </c>
      <c r="P66" s="97">
        <f t="shared" ref="P66:P72" si="18">R40</f>
        <v>415</v>
      </c>
      <c r="Q66" s="97" t="s">
        <v>213</v>
      </c>
      <c r="R66" s="97">
        <f t="shared" si="12"/>
        <v>10.35687546793112</v>
      </c>
      <c r="S66">
        <v>10</v>
      </c>
      <c r="T66" s="97" t="s">
        <v>146</v>
      </c>
      <c r="U66" s="97" t="s">
        <v>147</v>
      </c>
      <c r="V66" s="97">
        <f>X40</f>
        <v>266</v>
      </c>
      <c r="W66" s="97" t="s">
        <v>207</v>
      </c>
      <c r="X66" s="97">
        <f t="shared" si="17"/>
        <v>6.6599899849774662</v>
      </c>
      <c r="Y66">
        <v>7</v>
      </c>
    </row>
    <row r="67" spans="2:25">
      <c r="B67" s="97" t="s">
        <v>148</v>
      </c>
      <c r="C67" s="97" t="s">
        <v>143</v>
      </c>
      <c r="D67" s="97">
        <f t="shared" si="13"/>
        <v>253</v>
      </c>
      <c r="E67" s="97" t="s">
        <v>214</v>
      </c>
      <c r="F67" s="97">
        <f t="shared" si="14"/>
        <v>6.3186813186813184</v>
      </c>
      <c r="G67">
        <v>6</v>
      </c>
      <c r="H67" s="97" t="s">
        <v>148</v>
      </c>
      <c r="I67" s="97" t="s">
        <v>143</v>
      </c>
      <c r="J67" s="97">
        <v>206</v>
      </c>
      <c r="K67" s="97" t="s">
        <v>209</v>
      </c>
      <c r="L67" s="97">
        <f t="shared" si="15"/>
        <v>5.1616136306690059</v>
      </c>
      <c r="M67">
        <v>5</v>
      </c>
      <c r="N67" s="97"/>
      <c r="O67" s="97" t="s">
        <v>147</v>
      </c>
      <c r="P67" s="97">
        <f t="shared" si="18"/>
        <v>246</v>
      </c>
      <c r="Q67" s="97" t="s">
        <v>215</v>
      </c>
      <c r="R67" s="97">
        <f t="shared" si="12"/>
        <v>6.1392563014724235</v>
      </c>
      <c r="S67">
        <v>6</v>
      </c>
      <c r="T67" s="97">
        <f>SUM(Y66:Y68)</f>
        <v>16</v>
      </c>
      <c r="U67" s="97" t="s">
        <v>151</v>
      </c>
      <c r="V67" s="97">
        <f t="shared" ref="V67:V68" si="19">X41</f>
        <v>263</v>
      </c>
      <c r="W67" s="97" t="s">
        <v>216</v>
      </c>
      <c r="X67" s="97">
        <f t="shared" si="17"/>
        <v>6.5848773159739613</v>
      </c>
      <c r="Y67">
        <v>7</v>
      </c>
    </row>
    <row r="68" spans="2:25">
      <c r="B68" s="97">
        <f>SUM(G67:G70)</f>
        <v>27</v>
      </c>
      <c r="C68" s="97" t="s">
        <v>144</v>
      </c>
      <c r="D68" s="97">
        <f t="shared" si="13"/>
        <v>167</v>
      </c>
      <c r="E68" s="97" t="s">
        <v>210</v>
      </c>
      <c r="F68" s="97">
        <f t="shared" si="14"/>
        <v>4.1708291708291707</v>
      </c>
      <c r="G68">
        <v>4</v>
      </c>
      <c r="H68" s="97">
        <f>SUM(M67:M70)</f>
        <v>36</v>
      </c>
      <c r="I68" s="97" t="s">
        <v>144</v>
      </c>
      <c r="J68" s="97">
        <v>183</v>
      </c>
      <c r="K68" s="97" t="s">
        <v>210</v>
      </c>
      <c r="L68" s="97">
        <f t="shared" si="15"/>
        <v>4.5853169631671262</v>
      </c>
      <c r="M68">
        <v>5</v>
      </c>
      <c r="N68" s="97" t="s">
        <v>157</v>
      </c>
      <c r="O68" s="97" t="s">
        <v>149</v>
      </c>
      <c r="P68" s="97">
        <f t="shared" si="18"/>
        <v>234</v>
      </c>
      <c r="Q68" s="97" t="s">
        <v>217</v>
      </c>
      <c r="R68" s="97">
        <f t="shared" si="12"/>
        <v>5.839780384327427</v>
      </c>
      <c r="S68">
        <v>6</v>
      </c>
      <c r="T68" s="97"/>
      <c r="U68" s="97" t="s">
        <v>153</v>
      </c>
      <c r="V68" s="97">
        <f t="shared" si="19"/>
        <v>79</v>
      </c>
      <c r="W68" s="97" t="s">
        <v>212</v>
      </c>
      <c r="X68" s="97">
        <f t="shared" si="17"/>
        <v>1.9779669504256383</v>
      </c>
      <c r="Y68">
        <v>2</v>
      </c>
    </row>
    <row r="69" spans="2:25">
      <c r="B69" s="97"/>
      <c r="C69" s="97" t="s">
        <v>145</v>
      </c>
      <c r="D69" s="97">
        <f t="shared" si="13"/>
        <v>320</v>
      </c>
      <c r="E69" s="97" t="s">
        <v>213</v>
      </c>
      <c r="F69" s="97">
        <f t="shared" si="14"/>
        <v>7.9920079920079923</v>
      </c>
      <c r="G69">
        <v>8</v>
      </c>
      <c r="H69" s="97"/>
      <c r="I69" s="97" t="s">
        <v>145</v>
      </c>
      <c r="J69" s="97">
        <v>446</v>
      </c>
      <c r="K69" s="97" t="s">
        <v>218</v>
      </c>
      <c r="L69" s="97">
        <f t="shared" si="15"/>
        <v>11.175144074166877</v>
      </c>
      <c r="M69">
        <v>11</v>
      </c>
      <c r="N69" s="97">
        <f>SUM(S68:S72)</f>
        <v>41</v>
      </c>
      <c r="O69" s="97" t="s">
        <v>161</v>
      </c>
      <c r="P69" s="97">
        <f t="shared" si="18"/>
        <v>356</v>
      </c>
      <c r="Q69" s="97" t="s">
        <v>219</v>
      </c>
      <c r="R69" s="97">
        <f t="shared" si="12"/>
        <v>8.8844522086348903</v>
      </c>
      <c r="S69">
        <v>9</v>
      </c>
      <c r="T69" s="97" t="s">
        <v>148</v>
      </c>
      <c r="U69" s="97" t="s">
        <v>143</v>
      </c>
      <c r="V69" s="97">
        <f>X44</f>
        <v>155</v>
      </c>
      <c r="W69" s="97" t="s">
        <v>209</v>
      </c>
      <c r="X69" s="97">
        <f t="shared" si="17"/>
        <v>3.8808212318477717</v>
      </c>
      <c r="Y69">
        <v>4</v>
      </c>
    </row>
    <row r="70" spans="2:25">
      <c r="B70" s="97"/>
      <c r="C70" s="97" t="s">
        <v>147</v>
      </c>
      <c r="D70" s="97">
        <f t="shared" si="13"/>
        <v>371</v>
      </c>
      <c r="E70" s="97" t="s">
        <v>215</v>
      </c>
      <c r="F70" s="97">
        <f t="shared" si="14"/>
        <v>9.265734265734265</v>
      </c>
      <c r="G70">
        <v>9</v>
      </c>
      <c r="H70" s="97"/>
      <c r="I70" s="97" t="s">
        <v>147</v>
      </c>
      <c r="J70" s="97">
        <v>606</v>
      </c>
      <c r="K70" s="97" t="s">
        <v>215</v>
      </c>
      <c r="L70" s="97">
        <f t="shared" si="15"/>
        <v>15.184164369832123</v>
      </c>
      <c r="M70">
        <v>15</v>
      </c>
      <c r="N70" s="97"/>
      <c r="O70" s="97" t="s">
        <v>144</v>
      </c>
      <c r="P70" s="97">
        <f t="shared" si="18"/>
        <v>393</v>
      </c>
      <c r="Q70" s="97" t="s">
        <v>220</v>
      </c>
      <c r="R70" s="97">
        <f t="shared" si="12"/>
        <v>9.8078362864986275</v>
      </c>
      <c r="S70">
        <v>10</v>
      </c>
      <c r="T70" s="97">
        <f>SUM(Y69:Y72)</f>
        <v>32</v>
      </c>
      <c r="U70" s="97" t="s">
        <v>144</v>
      </c>
      <c r="V70" s="97">
        <f t="shared" ref="V70:V72" si="20">X45</f>
        <v>174</v>
      </c>
      <c r="W70" s="97" t="s">
        <v>210</v>
      </c>
      <c r="X70" s="97">
        <f t="shared" si="17"/>
        <v>4.3565348022033055</v>
      </c>
      <c r="Y70">
        <v>4</v>
      </c>
    </row>
    <row r="71" spans="2:25">
      <c r="B71" s="97" t="s">
        <v>157</v>
      </c>
      <c r="C71" s="97" t="s">
        <v>143</v>
      </c>
      <c r="D71" s="97">
        <f>F44</f>
        <v>463</v>
      </c>
      <c r="E71" s="98" t="s">
        <v>217</v>
      </c>
      <c r="F71" s="97">
        <f t="shared" si="14"/>
        <v>11.563436563436563</v>
      </c>
      <c r="G71">
        <v>12</v>
      </c>
      <c r="H71" s="97" t="s">
        <v>157</v>
      </c>
      <c r="I71" s="97" t="s">
        <v>143</v>
      </c>
      <c r="J71" s="97">
        <v>142</v>
      </c>
      <c r="K71" s="97" t="s">
        <v>217</v>
      </c>
      <c r="L71" s="97">
        <f t="shared" si="15"/>
        <v>3.5580055124029064</v>
      </c>
      <c r="M71">
        <v>4</v>
      </c>
      <c r="N71" s="97"/>
      <c r="O71" s="97" t="s">
        <v>145</v>
      </c>
      <c r="P71" s="97">
        <f t="shared" si="18"/>
        <v>419</v>
      </c>
      <c r="Q71" s="97" t="s">
        <v>221</v>
      </c>
      <c r="R71" s="97">
        <f t="shared" si="12"/>
        <v>10.456700773646119</v>
      </c>
      <c r="S71">
        <v>11</v>
      </c>
      <c r="T71" s="97"/>
      <c r="U71" s="97" t="s">
        <v>145</v>
      </c>
      <c r="V71" s="97">
        <f t="shared" si="20"/>
        <v>332</v>
      </c>
      <c r="W71" s="97" t="s">
        <v>213</v>
      </c>
      <c r="X71" s="97">
        <f t="shared" si="17"/>
        <v>8.3124687030545825</v>
      </c>
      <c r="Y71">
        <v>8</v>
      </c>
    </row>
    <row r="72" spans="2:25">
      <c r="B72" s="97">
        <f>SUM(G71:G76)</f>
        <v>51</v>
      </c>
      <c r="C72" s="97" t="s">
        <v>161</v>
      </c>
      <c r="D72" s="97">
        <f>F46</f>
        <v>241</v>
      </c>
      <c r="E72" s="97" t="s">
        <v>219</v>
      </c>
      <c r="F72" s="97">
        <f t="shared" si="14"/>
        <v>6.0189810189810196</v>
      </c>
      <c r="G72">
        <v>6</v>
      </c>
      <c r="H72" s="97">
        <f>SUM(M71:M76)</f>
        <v>38</v>
      </c>
      <c r="I72" s="97" t="s">
        <v>161</v>
      </c>
      <c r="J72" s="97">
        <v>192</v>
      </c>
      <c r="K72" s="97" t="s">
        <v>219</v>
      </c>
      <c r="L72" s="97">
        <f t="shared" si="15"/>
        <v>4.8108243547982958</v>
      </c>
      <c r="M72">
        <v>5</v>
      </c>
      <c r="N72" s="97"/>
      <c r="O72" s="97" t="s">
        <v>147</v>
      </c>
      <c r="P72" s="97">
        <f t="shared" si="18"/>
        <v>212</v>
      </c>
      <c r="Q72" s="97" t="s">
        <v>222</v>
      </c>
      <c r="R72" s="97">
        <f t="shared" si="12"/>
        <v>5.2907412028949334</v>
      </c>
      <c r="S72">
        <v>5</v>
      </c>
      <c r="T72" s="97"/>
      <c r="U72" s="97" t="s">
        <v>147</v>
      </c>
      <c r="V72" s="97">
        <f t="shared" si="20"/>
        <v>617</v>
      </c>
      <c r="W72" s="97" t="s">
        <v>215</v>
      </c>
      <c r="X72" s="97">
        <f t="shared" si="17"/>
        <v>15.448172258387583</v>
      </c>
      <c r="Y72">
        <v>16</v>
      </c>
    </row>
    <row r="73" spans="2:25">
      <c r="B73" s="97"/>
      <c r="C73" s="97" t="s">
        <v>144</v>
      </c>
      <c r="D73" s="97">
        <f t="shared" ref="D73:D76" si="21">F47</f>
        <v>221</v>
      </c>
      <c r="E73" s="97" t="s">
        <v>220</v>
      </c>
      <c r="F73" s="97">
        <f t="shared" si="14"/>
        <v>5.5194805194805197</v>
      </c>
      <c r="G73">
        <v>6</v>
      </c>
      <c r="H73" s="97"/>
      <c r="I73" s="97" t="s">
        <v>144</v>
      </c>
      <c r="J73" s="97">
        <v>139</v>
      </c>
      <c r="K73" s="97" t="s">
        <v>220</v>
      </c>
      <c r="L73" s="97">
        <f t="shared" si="15"/>
        <v>3.4828363818591832</v>
      </c>
      <c r="M73">
        <v>3</v>
      </c>
      <c r="N73" s="99" t="s">
        <v>162</v>
      </c>
      <c r="O73" s="99"/>
      <c r="P73" s="99">
        <f>SUM(P62:P72)</f>
        <v>4007</v>
      </c>
      <c r="Q73" s="99"/>
      <c r="R73" s="99">
        <f>SUM(R62:R72)</f>
        <v>100.00000000000001</v>
      </c>
      <c r="S73">
        <f>SUM(S62:S72)</f>
        <v>100</v>
      </c>
      <c r="T73" s="97" t="s">
        <v>157</v>
      </c>
      <c r="U73" s="97" t="s">
        <v>161</v>
      </c>
      <c r="V73" s="97">
        <f>X49</f>
        <v>137</v>
      </c>
      <c r="W73" s="97" t="s">
        <v>219</v>
      </c>
      <c r="X73" s="97">
        <f t="shared" si="17"/>
        <v>3.4301452178267402</v>
      </c>
      <c r="Y73">
        <v>3</v>
      </c>
    </row>
    <row r="74" spans="2:25">
      <c r="B74" s="97"/>
      <c r="C74" s="97" t="s">
        <v>145</v>
      </c>
      <c r="D74" s="97">
        <f t="shared" si="21"/>
        <v>543</v>
      </c>
      <c r="E74" s="97" t="s">
        <v>221</v>
      </c>
      <c r="F74" s="97">
        <f t="shared" si="14"/>
        <v>13.56143856143856</v>
      </c>
      <c r="G74">
        <v>13</v>
      </c>
      <c r="H74" s="97"/>
      <c r="I74" s="97" t="s">
        <v>145</v>
      </c>
      <c r="J74" s="97">
        <v>427</v>
      </c>
      <c r="K74" s="97" t="s">
        <v>221</v>
      </c>
      <c r="L74" s="97">
        <f t="shared" si="15"/>
        <v>10.699072914056627</v>
      </c>
      <c r="M74">
        <v>11</v>
      </c>
      <c r="N74" t="s">
        <v>223</v>
      </c>
      <c r="T74" s="97">
        <f>SUM(Y73:Y75)</f>
        <v>20</v>
      </c>
      <c r="U74" s="97" t="s">
        <v>145</v>
      </c>
      <c r="V74" s="97">
        <f t="shared" ref="V74:V75" si="22">X50</f>
        <v>474</v>
      </c>
      <c r="W74" s="97" t="s">
        <v>221</v>
      </c>
      <c r="X74" s="97">
        <f t="shared" si="17"/>
        <v>11.86780170255383</v>
      </c>
      <c r="Y74">
        <v>12</v>
      </c>
    </row>
    <row r="75" spans="2:25">
      <c r="B75" s="97"/>
      <c r="C75" s="97" t="s">
        <v>163</v>
      </c>
      <c r="D75" s="97">
        <f t="shared" si="21"/>
        <v>155</v>
      </c>
      <c r="E75" s="97" t="s">
        <v>224</v>
      </c>
      <c r="F75" s="97">
        <f t="shared" si="14"/>
        <v>3.8711288711288714</v>
      </c>
      <c r="G75">
        <v>4</v>
      </c>
      <c r="H75" s="97"/>
      <c r="I75" s="97" t="s">
        <v>163</v>
      </c>
      <c r="J75" s="97">
        <v>238</v>
      </c>
      <c r="K75" s="97" t="s">
        <v>224</v>
      </c>
      <c r="L75" s="97">
        <f t="shared" si="15"/>
        <v>5.9634176898020543</v>
      </c>
      <c r="M75">
        <v>6</v>
      </c>
      <c r="T75" s="97"/>
      <c r="U75" s="97" t="s">
        <v>147</v>
      </c>
      <c r="V75" s="97">
        <f t="shared" si="22"/>
        <v>202</v>
      </c>
      <c r="W75" s="97" t="s">
        <v>222</v>
      </c>
      <c r="X75" s="97">
        <f t="shared" si="17"/>
        <v>5.0575863795693534</v>
      </c>
      <c r="Y75">
        <v>5</v>
      </c>
    </row>
    <row r="76" spans="2:25">
      <c r="B76" s="97"/>
      <c r="C76" s="97" t="s">
        <v>147</v>
      </c>
      <c r="D76" s="97">
        <f t="shared" si="21"/>
        <v>399</v>
      </c>
      <c r="E76" s="97" t="s">
        <v>222</v>
      </c>
      <c r="F76" s="97">
        <f t="shared" si="14"/>
        <v>9.965034965034965</v>
      </c>
      <c r="G76">
        <v>10</v>
      </c>
      <c r="H76" s="97"/>
      <c r="I76" s="97" t="s">
        <v>147</v>
      </c>
      <c r="J76" s="97">
        <v>365</v>
      </c>
      <c r="K76" s="97" t="s">
        <v>222</v>
      </c>
      <c r="L76" s="97">
        <f t="shared" si="15"/>
        <v>9.1455775494863438</v>
      </c>
      <c r="M76">
        <v>9</v>
      </c>
      <c r="T76" s="99" t="s">
        <v>162</v>
      </c>
      <c r="U76" s="99"/>
      <c r="V76" s="99">
        <f>SUM(V62:V75)</f>
        <v>3994</v>
      </c>
      <c r="W76" s="99"/>
      <c r="X76" s="99">
        <f>SUM(X62:X75)</f>
        <v>100</v>
      </c>
      <c r="Y76">
        <f>SUM(Y62:Y75)</f>
        <v>100</v>
      </c>
    </row>
    <row r="77" spans="2:25">
      <c r="B77" s="99" t="s">
        <v>162</v>
      </c>
      <c r="C77" s="99"/>
      <c r="D77" s="99">
        <f>SUM(D62:D76)</f>
        <v>4004</v>
      </c>
      <c r="E77" s="99"/>
      <c r="F77" s="100">
        <f>SUM(F62:F76)</f>
        <v>100</v>
      </c>
      <c r="G77">
        <f>SUM(G62:G76)</f>
        <v>100</v>
      </c>
      <c r="H77" s="99" t="s">
        <v>162</v>
      </c>
      <c r="I77" s="99"/>
      <c r="J77" s="99">
        <f>SUM(J62:J76)</f>
        <v>3991</v>
      </c>
      <c r="K77" s="99"/>
      <c r="L77" s="99">
        <f>SUM(L62:L76)</f>
        <v>100.00000000000001</v>
      </c>
      <c r="M77">
        <f>SUM(M62:M76)</f>
        <v>100</v>
      </c>
      <c r="T77" s="83" t="s">
        <v>225</v>
      </c>
    </row>
    <row r="78" spans="2:25">
      <c r="B78" t="s">
        <v>226</v>
      </c>
      <c r="T78" s="83" t="s">
        <v>227</v>
      </c>
    </row>
    <row r="79" spans="2:25">
      <c r="T79" s="83" t="s">
        <v>228</v>
      </c>
    </row>
    <row r="80" spans="2:25">
      <c r="T80" s="83" t="s">
        <v>229</v>
      </c>
    </row>
    <row r="83" spans="2:24">
      <c r="B83" s="103" t="s">
        <v>230</v>
      </c>
      <c r="C83" s="103" t="s">
        <v>138</v>
      </c>
      <c r="E83" s="103" t="s">
        <v>231</v>
      </c>
      <c r="F83" s="103" t="s">
        <v>138</v>
      </c>
      <c r="H83" s="103" t="s">
        <v>230</v>
      </c>
      <c r="I83" s="103" t="s">
        <v>138</v>
      </c>
      <c r="K83" s="103" t="s">
        <v>231</v>
      </c>
      <c r="L83" s="103" t="s">
        <v>138</v>
      </c>
      <c r="N83" s="103" t="s">
        <v>230</v>
      </c>
      <c r="O83" s="103" t="s">
        <v>138</v>
      </c>
      <c r="Q83" s="103" t="s">
        <v>231</v>
      </c>
      <c r="R83" s="103" t="s">
        <v>138</v>
      </c>
      <c r="T83" s="103" t="s">
        <v>230</v>
      </c>
      <c r="U83" s="103" t="s">
        <v>138</v>
      </c>
      <c r="W83" s="103" t="s">
        <v>231</v>
      </c>
      <c r="X83" s="103" t="s">
        <v>138</v>
      </c>
    </row>
    <row r="84" spans="2:24">
      <c r="B84" s="104" t="s">
        <v>142</v>
      </c>
      <c r="C84" s="104">
        <f>(SUM(D62:D65))/4004*100</f>
        <v>16.058941058941059</v>
      </c>
      <c r="E84" s="105" t="s">
        <v>232</v>
      </c>
      <c r="F84" s="104">
        <f>((F62+F67+F71+F72)/2)</f>
        <v>13.998501498501499</v>
      </c>
      <c r="H84" s="104" t="s">
        <v>142</v>
      </c>
      <c r="I84" s="104">
        <f>(SUM(J62:J64))/3991*100</f>
        <v>15.409671761463292</v>
      </c>
      <c r="K84" s="105" t="s">
        <v>232</v>
      </c>
      <c r="L84" s="104">
        <f>(SUM(L67,L71,L72)/2)</f>
        <v>6.7652217489351045</v>
      </c>
      <c r="N84" s="104" t="s">
        <v>142</v>
      </c>
      <c r="O84" s="104">
        <f>P62/4007*100</f>
        <v>18.068380334414773</v>
      </c>
      <c r="Q84" s="105" t="s">
        <v>233</v>
      </c>
      <c r="R84" s="104">
        <f>(SUM(R64,R69)/2)+(R68/2)</f>
        <v>11.080608934364863</v>
      </c>
      <c r="T84" s="104" t="s">
        <v>142</v>
      </c>
      <c r="U84" s="104">
        <f>(SUM(V62:V65))/3994*100</f>
        <v>32.42363545317977</v>
      </c>
      <c r="W84" s="105" t="s">
        <v>232</v>
      </c>
      <c r="X84" s="104">
        <f>SUM(X69,X73)/2</f>
        <v>3.6554832248372557</v>
      </c>
    </row>
    <row r="85" spans="2:24">
      <c r="B85" s="104" t="s">
        <v>146</v>
      </c>
      <c r="C85" s="104">
        <f>D66/4004*100</f>
        <v>5.6943056943056947</v>
      </c>
      <c r="E85" s="106" t="s">
        <v>234</v>
      </c>
      <c r="F85" s="104">
        <f>(F63+F68+F73)+((F62+F64+F65+F66+F67+F69+F70+F71+F74+F76)/2)</f>
        <v>51.823176823176816</v>
      </c>
      <c r="H85" s="104" t="s">
        <v>146</v>
      </c>
      <c r="I85" s="104">
        <f>(SUM(J65:J66))/3991*100</f>
        <v>10.824354798296167</v>
      </c>
      <c r="K85" s="106" t="s">
        <v>234</v>
      </c>
      <c r="L85" s="104">
        <f>(SUM(L62,L68,L73))+(SUM(L63:L65,L67,L69:L70,L71,L74,L76)/2)</f>
        <v>48.797293911300429</v>
      </c>
      <c r="N85" s="104" t="s">
        <v>146</v>
      </c>
      <c r="O85" s="104">
        <f>P63/4007*100</f>
        <v>3.8931869228849516</v>
      </c>
      <c r="Q85" s="106" t="s">
        <v>234</v>
      </c>
      <c r="R85" s="104">
        <f>(SUM(R70,R65,R62))+(SUM(R63:R64,R66:R68,R71:R72)/2)</f>
        <v>66.408784626902914</v>
      </c>
      <c r="T85" s="104" t="s">
        <v>146</v>
      </c>
      <c r="U85" s="104">
        <f>(SUM(V66:V68))/3994*100</f>
        <v>15.222834251377066</v>
      </c>
      <c r="W85" s="106" t="s">
        <v>234</v>
      </c>
      <c r="X85" s="104">
        <f>(SUM(X62,X70))+(SUM(X63:X64,X66,X69,X71:X72,X74:X75)/2)</f>
        <v>42.976965448172265</v>
      </c>
    </row>
    <row r="86" spans="2:24">
      <c r="B86" s="104" t="s">
        <v>148</v>
      </c>
      <c r="C86" s="104">
        <f>(SUM(D67:D70))/4004*100</f>
        <v>27.747252747252748</v>
      </c>
      <c r="E86" s="106" t="s">
        <v>235</v>
      </c>
      <c r="F86" s="104">
        <f>F75+(SUM(F74,F72,F69,F64)/2)</f>
        <v>19.605394605394604</v>
      </c>
      <c r="H86" s="104" t="s">
        <v>148</v>
      </c>
      <c r="I86" s="104">
        <f>(SUM(J67:J70))/3991*100</f>
        <v>36.106239037835131</v>
      </c>
      <c r="K86" s="106" t="s">
        <v>235</v>
      </c>
      <c r="L86" s="104">
        <f>L75+(SUM(L63,L69,L72,L74)/2)</f>
        <v>21.385617639689301</v>
      </c>
      <c r="N86" s="104" t="s">
        <v>148</v>
      </c>
      <c r="O86" s="104">
        <f>(SUM(P64:P67))/4007*100</f>
        <v>37.758921886698275</v>
      </c>
      <c r="Q86" s="106" t="s">
        <v>235</v>
      </c>
      <c r="R86" s="104">
        <f>(SUM(R66,R69,R71)/2)</f>
        <v>14.849014225106064</v>
      </c>
      <c r="T86" s="104" t="s">
        <v>148</v>
      </c>
      <c r="U86" s="104">
        <f>(SUM(V69:V72))/3994*100</f>
        <v>31.997996995493239</v>
      </c>
      <c r="W86" s="106" t="s">
        <v>236</v>
      </c>
      <c r="X86" s="104">
        <f>(SUM(X65,X67))+(SUM(X63,X71,X73:X74)/2)</f>
        <v>32.461191787681521</v>
      </c>
    </row>
    <row r="87" spans="2:24">
      <c r="B87" s="104" t="s">
        <v>157</v>
      </c>
      <c r="C87" s="104">
        <f>(SUM(D71:D76))/4004*100</f>
        <v>50.499500499500506</v>
      </c>
      <c r="E87" s="106" t="s">
        <v>237</v>
      </c>
      <c r="F87" s="104">
        <f>(SUM(F70,F66,F65,F76)/2)</f>
        <v>14.572927072927072</v>
      </c>
      <c r="H87" s="104" t="s">
        <v>157</v>
      </c>
      <c r="I87" s="104">
        <f>(SUM(J71:J76))/3991*100</f>
        <v>37.659734402405412</v>
      </c>
      <c r="K87" s="106" t="s">
        <v>237</v>
      </c>
      <c r="L87" s="104">
        <f>L66+(SUM(L64:L65,L70,L76)/2)</f>
        <v>23.05186670007517</v>
      </c>
      <c r="N87" s="104" t="s">
        <v>157</v>
      </c>
      <c r="O87" s="104">
        <f>(SUM(P68:P72))/4007*100</f>
        <v>40.279510856001998</v>
      </c>
      <c r="Q87" s="106" t="s">
        <v>237</v>
      </c>
      <c r="R87" s="104">
        <f>SUM(R63,R67,R72)/2</f>
        <v>7.6615922136261547</v>
      </c>
      <c r="T87" s="104" t="s">
        <v>157</v>
      </c>
      <c r="U87" s="104">
        <f>(SUM(V73:V75))/3994*100</f>
        <v>20.355533299949926</v>
      </c>
      <c r="W87" s="106" t="s">
        <v>237</v>
      </c>
      <c r="X87" s="104">
        <f>X68+(SUM(X64,X66,X72,X75)/2)</f>
        <v>20.906359539308962</v>
      </c>
    </row>
    <row r="88" spans="2:24">
      <c r="B88" s="104" t="s">
        <v>162</v>
      </c>
      <c r="C88" s="104">
        <f>SUM(C84:C87)</f>
        <v>100</v>
      </c>
      <c r="E88" s="104" t="s">
        <v>162</v>
      </c>
      <c r="F88" s="104">
        <f>SUM(F84:F87)</f>
        <v>100</v>
      </c>
      <c r="H88" s="104" t="s">
        <v>162</v>
      </c>
      <c r="I88" s="104">
        <f>SUM(I84:I87)</f>
        <v>100</v>
      </c>
      <c r="K88" s="104" t="s">
        <v>162</v>
      </c>
      <c r="L88" s="104">
        <f>SUM(L84:L87)</f>
        <v>100</v>
      </c>
      <c r="N88" s="104" t="s">
        <v>162</v>
      </c>
      <c r="O88" s="104">
        <f>SUM(O84:O87)</f>
        <v>100</v>
      </c>
      <c r="Q88" s="104" t="s">
        <v>162</v>
      </c>
      <c r="R88" s="104">
        <f>SUM(R84:R87)</f>
        <v>99.999999999999986</v>
      </c>
      <c r="T88" s="104" t="s">
        <v>162</v>
      </c>
      <c r="U88" s="104">
        <f>SUM(U84:U87)</f>
        <v>100</v>
      </c>
      <c r="W88" s="104" t="s">
        <v>162</v>
      </c>
      <c r="X88" s="104">
        <f>SUM(X84:X87)</f>
        <v>100</v>
      </c>
    </row>
    <row r="89" spans="2:24">
      <c r="E89" s="107" t="s">
        <v>238</v>
      </c>
      <c r="F89" s="104">
        <f>SUM(F84:F85)</f>
        <v>65.82167832167832</v>
      </c>
      <c r="K89" s="107" t="s">
        <v>238</v>
      </c>
      <c r="L89" s="104">
        <f>SUM(L84:L85)</f>
        <v>55.562515660235533</v>
      </c>
      <c r="Q89" s="107" t="s">
        <v>238</v>
      </c>
      <c r="R89" s="104">
        <f>SUM(R84:R85)</f>
        <v>77.489393561267775</v>
      </c>
      <c r="W89" s="107" t="s">
        <v>238</v>
      </c>
      <c r="X89" s="104">
        <f>SUM(X84:X85)</f>
        <v>46.63244867300952</v>
      </c>
    </row>
    <row r="90" spans="2:24">
      <c r="E90" s="109" t="s">
        <v>239</v>
      </c>
      <c r="F90" s="104">
        <f>SUM(F86:F87)</f>
        <v>34.17832167832168</v>
      </c>
      <c r="K90" s="107" t="s">
        <v>239</v>
      </c>
      <c r="L90" s="104">
        <f>SUM(L86:L87)</f>
        <v>44.437484339764467</v>
      </c>
      <c r="Q90" s="107" t="s">
        <v>239</v>
      </c>
      <c r="R90" s="104">
        <f>SUM(R86:R87)</f>
        <v>22.510606438732218</v>
      </c>
      <c r="W90" s="107" t="s">
        <v>239</v>
      </c>
      <c r="X90" s="104">
        <f>SUM(X86:X87)</f>
        <v>53.36755132699048</v>
      </c>
    </row>
    <row r="91" spans="2:24">
      <c r="B91" s="79"/>
    </row>
    <row r="99" spans="15:15">
      <c r="O99" s="79"/>
    </row>
    <row r="100" spans="15:15">
      <c r="O100" s="79"/>
    </row>
    <row r="107" spans="15:15">
      <c r="O107" s="79"/>
    </row>
    <row r="116" spans="3:3">
      <c r="C11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Yu</dc:creator>
  <cp:keywords/>
  <dc:description/>
  <cp:lastModifiedBy>Patrick Sutton</cp:lastModifiedBy>
  <cp:revision/>
  <dcterms:created xsi:type="dcterms:W3CDTF">2024-10-01T03:15:18Z</dcterms:created>
  <dcterms:modified xsi:type="dcterms:W3CDTF">2025-09-17T01:33:41Z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2024-10-04T05:17:38Z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4b41046d-a40b-4a44-9bcc-c628f09dd054</vt:lpwstr>
  </property>
  <property fmtid="{D5CDD505-2E9C-101B-9397-08002B2CF9AE}" pid="8" name="MSIP_Label_0f488380-630a-4f55-a077-a19445e3f360_ContentBits">
    <vt:lpwstr>0</vt:lpwstr>
  </property>
</Properties>
</file>