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lasd\Fab Inc Dropbox\Fab Inc Projects\ONE campaign\Data\Final Share\Model\"/>
    </mc:Choice>
  </mc:AlternateContent>
  <xr:revisionPtr revIDLastSave="0" documentId="8_{49E0DB2F-6774-4790-8B1C-2BB819F20853}" xr6:coauthVersionLast="47" xr6:coauthVersionMax="47" xr10:uidLastSave="{00000000-0000-0000-0000-000000000000}"/>
  <bookViews>
    <workbookView xWindow="-108" yWindow="-108" windowWidth="23256" windowHeight="12576" xr2:uid="{22FE9F55-D8F3-4364-A1F3-9FDE7C1BCD01}"/>
  </bookViews>
  <sheets>
    <sheet name="Summary" sheetId="3" r:id="rId1"/>
    <sheet name="Tables and Outputs" sheetId="1" r:id="rId2"/>
    <sheet name="GDP NPV Calcul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3" l="1"/>
  <c r="F4" i="3"/>
  <c r="G4" i="3"/>
  <c r="D4" i="3"/>
  <c r="E91" i="1"/>
  <c r="F91" i="1"/>
  <c r="G91" i="1"/>
  <c r="D91" i="1"/>
  <c r="G90" i="1"/>
  <c r="F90" i="1"/>
  <c r="E90" i="1"/>
  <c r="D90" i="1"/>
  <c r="E109" i="1"/>
  <c r="E111" i="1" s="1"/>
  <c r="F109" i="1"/>
  <c r="F111" i="1" s="1"/>
  <c r="G109" i="1"/>
  <c r="G111" i="1" s="1"/>
  <c r="D109" i="1"/>
  <c r="D111" i="1" s="1"/>
  <c r="E98" i="1"/>
  <c r="F98" i="1"/>
  <c r="G98" i="1"/>
  <c r="D98" i="1"/>
  <c r="D6" i="3"/>
  <c r="D101" i="1" s="1"/>
  <c r="D106" i="1" s="1"/>
  <c r="D7" i="3" s="1"/>
  <c r="E6" i="3"/>
  <c r="F6" i="3"/>
  <c r="G6" i="3"/>
  <c r="E105" i="1"/>
  <c r="F105" i="1"/>
  <c r="G105" i="1"/>
  <c r="D105" i="1"/>
  <c r="G104" i="1"/>
  <c r="E104" i="1"/>
  <c r="F104" i="1"/>
  <c r="D104" i="1"/>
  <c r="E89" i="1"/>
  <c r="F89" i="1"/>
  <c r="G89" i="1"/>
  <c r="D89" i="1"/>
  <c r="D112" i="1" l="1"/>
  <c r="D8" i="3" s="1"/>
  <c r="G81" i="1"/>
  <c r="F81" i="1"/>
  <c r="E81" i="1"/>
  <c r="D81" i="1"/>
  <c r="G83" i="1" l="1"/>
  <c r="G87" i="1" s="1"/>
  <c r="G3" i="3" s="1"/>
  <c r="U84" i="1"/>
  <c r="U85" i="1"/>
  <c r="D83" i="1"/>
  <c r="D87" i="1" s="1"/>
  <c r="R84" i="1"/>
  <c r="R85" i="1"/>
  <c r="E83" i="1"/>
  <c r="E87" i="1" s="1"/>
  <c r="S85" i="1"/>
  <c r="S84" i="1"/>
  <c r="F83" i="1"/>
  <c r="F87" i="1" s="1"/>
  <c r="F3" i="3" s="1"/>
  <c r="T85" i="1"/>
  <c r="T84" i="1"/>
  <c r="F92" i="1" l="1"/>
  <c r="F5" i="3" s="1"/>
  <c r="D3" i="3"/>
  <c r="D92" i="1"/>
  <c r="D5" i="3" s="1"/>
  <c r="E3" i="3"/>
  <c r="E92" i="1"/>
  <c r="E5" i="3" s="1"/>
  <c r="G92" i="1"/>
  <c r="G5" i="3" s="1"/>
  <c r="D130" i="1" l="1"/>
  <c r="D9" i="3" s="1"/>
  <c r="G169" i="1"/>
  <c r="F169" i="1"/>
  <c r="E169" i="1"/>
  <c r="D169" i="1"/>
  <c r="D167" i="1"/>
  <c r="D134" i="1" l="1"/>
  <c r="D144" i="1"/>
  <c r="G167" i="1"/>
  <c r="F167" i="1"/>
  <c r="E167" i="1"/>
  <c r="E139" i="1" l="1"/>
  <c r="F139" i="1"/>
  <c r="G139" i="1"/>
  <c r="D139" i="1"/>
  <c r="E101" i="1" l="1"/>
  <c r="F101" i="1"/>
  <c r="G101" i="1"/>
  <c r="C15" i="2"/>
  <c r="C16" i="2" s="1"/>
  <c r="C23" i="2"/>
  <c r="D23" i="2" s="1"/>
  <c r="E23" i="2" s="1"/>
  <c r="F23" i="2" s="1"/>
  <c r="G23" i="2" s="1"/>
  <c r="H23" i="2" s="1"/>
  <c r="I23" i="2" s="1"/>
  <c r="J23" i="2" s="1"/>
  <c r="D45" i="2"/>
  <c r="D33" i="2"/>
  <c r="D21" i="2"/>
  <c r="C48" i="2"/>
  <c r="D48" i="2" s="1"/>
  <c r="E48" i="2" s="1"/>
  <c r="F48" i="2" s="1"/>
  <c r="G48" i="2" s="1"/>
  <c r="H48" i="2" s="1"/>
  <c r="I48" i="2" s="1"/>
  <c r="J48" i="2" s="1"/>
  <c r="C47" i="2"/>
  <c r="D47" i="2" s="1"/>
  <c r="E47" i="2" s="1"/>
  <c r="F47" i="2" s="1"/>
  <c r="G47" i="2" s="1"/>
  <c r="H47" i="2" s="1"/>
  <c r="I47" i="2" s="1"/>
  <c r="J47" i="2" s="1"/>
  <c r="C36" i="2"/>
  <c r="D36" i="2" s="1"/>
  <c r="E36" i="2" s="1"/>
  <c r="F36" i="2" s="1"/>
  <c r="G36" i="2" s="1"/>
  <c r="H36" i="2" s="1"/>
  <c r="I36" i="2" s="1"/>
  <c r="J36" i="2" s="1"/>
  <c r="C35" i="2"/>
  <c r="D35" i="2" s="1"/>
  <c r="E35" i="2" s="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AJ35" i="2" s="1"/>
  <c r="AK35" i="2" s="1"/>
  <c r="AL35" i="2" s="1"/>
  <c r="AM35" i="2" s="1"/>
  <c r="AN35" i="2" s="1"/>
  <c r="AO35" i="2" s="1"/>
  <c r="AP35" i="2" s="1"/>
  <c r="AQ35" i="2" s="1"/>
  <c r="AR35" i="2" s="1"/>
  <c r="AS35" i="2" s="1"/>
  <c r="AT35" i="2" s="1"/>
  <c r="AU35" i="2" s="1"/>
  <c r="AV35" i="2" s="1"/>
  <c r="AW35" i="2" s="1"/>
  <c r="AX35" i="2" s="1"/>
  <c r="AY35" i="2" s="1"/>
  <c r="AZ35" i="2" s="1"/>
  <c r="BA35" i="2" s="1"/>
  <c r="BB35" i="2" s="1"/>
  <c r="BC35" i="2" s="1"/>
  <c r="BD35" i="2" s="1"/>
  <c r="BE35" i="2" s="1"/>
  <c r="C24" i="2"/>
  <c r="D24" i="2" s="1"/>
  <c r="E24" i="2" s="1"/>
  <c r="F24" i="2" s="1"/>
  <c r="G24" i="2" s="1"/>
  <c r="H24" i="2" s="1"/>
  <c r="I24" i="2" s="1"/>
  <c r="J24" i="2" s="1"/>
  <c r="D9" i="2"/>
  <c r="C12" i="2"/>
  <c r="D12" i="2" s="1"/>
  <c r="E12" i="2" s="1"/>
  <c r="F12" i="2" s="1"/>
  <c r="G12" i="2" s="1"/>
  <c r="H12" i="2" s="1"/>
  <c r="I12" i="2" s="1"/>
  <c r="J12" i="2" s="1"/>
  <c r="C11" i="2"/>
  <c r="D11" i="2" s="1"/>
  <c r="E11" i="2" s="1"/>
  <c r="F11" i="2" s="1"/>
  <c r="G11" i="2" s="1"/>
  <c r="H11" i="2" s="1"/>
  <c r="I11" i="2" s="1"/>
  <c r="J11" i="2" s="1"/>
  <c r="G106" i="1" l="1"/>
  <c r="G7" i="3" s="1"/>
  <c r="G112" i="1"/>
  <c r="G8" i="3" s="1"/>
  <c r="F106" i="1"/>
  <c r="F7" i="3" s="1"/>
  <c r="F112" i="1"/>
  <c r="F8" i="3" s="1"/>
  <c r="E106" i="1"/>
  <c r="E7" i="3" s="1"/>
  <c r="E112" i="1"/>
  <c r="E8" i="3" s="1"/>
  <c r="C27" i="2"/>
  <c r="C28" i="2" s="1"/>
  <c r="E130" i="1"/>
  <c r="C51" i="2"/>
  <c r="C52" i="2" s="1"/>
  <c r="G130" i="1"/>
  <c r="C39" i="2"/>
  <c r="C40" i="2" s="1"/>
  <c r="F130" i="1"/>
  <c r="K23" i="2"/>
  <c r="L23" i="2" s="1"/>
  <c r="M23" i="2" s="1"/>
  <c r="N23" i="2" s="1"/>
  <c r="O23" i="2" s="1"/>
  <c r="P23" i="2" s="1"/>
  <c r="Q23" i="2" s="1"/>
  <c r="R23" i="2" s="1"/>
  <c r="S23" i="2" s="1"/>
  <c r="T23" i="2" s="1"/>
  <c r="U23" i="2" s="1"/>
  <c r="V23" i="2" s="1"/>
  <c r="W23" i="2" s="1"/>
  <c r="X23" i="2" s="1"/>
  <c r="Y23" i="2" s="1"/>
  <c r="Z23" i="2" s="1"/>
  <c r="AA23" i="2" s="1"/>
  <c r="AB23" i="2" s="1"/>
  <c r="AC23" i="2" s="1"/>
  <c r="AD23" i="2" s="1"/>
  <c r="AE23"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BC23" i="2" s="1"/>
  <c r="BD23" i="2" s="1"/>
  <c r="BE23" i="2" s="1"/>
  <c r="K11" i="2"/>
  <c r="L11" i="2" s="1"/>
  <c r="M11" i="2" s="1"/>
  <c r="N11" i="2" s="1"/>
  <c r="O11" i="2" s="1"/>
  <c r="P11" i="2" s="1"/>
  <c r="Q11" i="2" s="1"/>
  <c r="R11" i="2" s="1"/>
  <c r="S11" i="2" s="1"/>
  <c r="T11" i="2" s="1"/>
  <c r="U11" i="2" s="1"/>
  <c r="V11" i="2" s="1"/>
  <c r="W11" i="2" s="1"/>
  <c r="X11" i="2" s="1"/>
  <c r="Y11" i="2" s="1"/>
  <c r="Z11" i="2" s="1"/>
  <c r="AA11" i="2" s="1"/>
  <c r="AB11" i="2" s="1"/>
  <c r="AC11" i="2" s="1"/>
  <c r="AD11" i="2" s="1"/>
  <c r="AE11" i="2" s="1"/>
  <c r="AF11" i="2" s="1"/>
  <c r="AG11" i="2" s="1"/>
  <c r="AH11" i="2" s="1"/>
  <c r="AI11" i="2" s="1"/>
  <c r="AJ11" i="2" s="1"/>
  <c r="AK11" i="2" s="1"/>
  <c r="AL11" i="2" s="1"/>
  <c r="AM11" i="2" s="1"/>
  <c r="AN11" i="2" s="1"/>
  <c r="AO11" i="2" s="1"/>
  <c r="AP11" i="2" s="1"/>
  <c r="AQ11" i="2" s="1"/>
  <c r="AR11" i="2" s="1"/>
  <c r="AS11" i="2" s="1"/>
  <c r="AT11" i="2" s="1"/>
  <c r="AU11" i="2" s="1"/>
  <c r="AV11" i="2" s="1"/>
  <c r="AW11" i="2" s="1"/>
  <c r="AX11" i="2" s="1"/>
  <c r="AY11" i="2" s="1"/>
  <c r="AZ11" i="2" s="1"/>
  <c r="BA11" i="2" s="1"/>
  <c r="BB11" i="2" s="1"/>
  <c r="BC11" i="2" s="1"/>
  <c r="BD11" i="2" s="1"/>
  <c r="BE11" i="2" s="1"/>
  <c r="K47" i="2"/>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J47" i="2" s="1"/>
  <c r="AK47" i="2" s="1"/>
  <c r="AL47" i="2" s="1"/>
  <c r="AM47" i="2" s="1"/>
  <c r="AN47" i="2" s="1"/>
  <c r="AO47" i="2" s="1"/>
  <c r="AP47" i="2" s="1"/>
  <c r="AQ47" i="2" s="1"/>
  <c r="AR47" i="2" s="1"/>
  <c r="AS47" i="2" s="1"/>
  <c r="AT47" i="2" s="1"/>
  <c r="AU47" i="2" s="1"/>
  <c r="AV47" i="2" s="1"/>
  <c r="AW47" i="2" s="1"/>
  <c r="AX47" i="2" s="1"/>
  <c r="AY47" i="2" s="1"/>
  <c r="AZ47" i="2" s="1"/>
  <c r="BA47" i="2" s="1"/>
  <c r="BB47" i="2" s="1"/>
  <c r="BC47" i="2" s="1"/>
  <c r="BD47" i="2" s="1"/>
  <c r="BE47" i="2" s="1"/>
  <c r="D115" i="1"/>
  <c r="D119" i="1" s="1"/>
  <c r="D121" i="1" s="1"/>
  <c r="D122" i="1" s="1"/>
  <c r="D10" i="2" s="1"/>
  <c r="K12" i="2" s="1"/>
  <c r="L12" i="2" s="1"/>
  <c r="M12" i="2" s="1"/>
  <c r="N12" i="2" s="1"/>
  <c r="O12" i="2" s="1"/>
  <c r="P12" i="2" s="1"/>
  <c r="Q12" i="2" s="1"/>
  <c r="R12" i="2" s="1"/>
  <c r="S12" i="2" s="1"/>
  <c r="T12" i="2" s="1"/>
  <c r="U12" i="2" s="1"/>
  <c r="V12" i="2" s="1"/>
  <c r="W12" i="2" s="1"/>
  <c r="X12" i="2" s="1"/>
  <c r="Y12" i="2" s="1"/>
  <c r="Z12" i="2" s="1"/>
  <c r="AA12" i="2" s="1"/>
  <c r="AB12" i="2" s="1"/>
  <c r="AC12" i="2" s="1"/>
  <c r="AD12" i="2" s="1"/>
  <c r="AE12" i="2" s="1"/>
  <c r="AF12" i="2" s="1"/>
  <c r="AG12" i="2" s="1"/>
  <c r="AH12" i="2" s="1"/>
  <c r="AI12" i="2" s="1"/>
  <c r="AJ12" i="2" s="1"/>
  <c r="AK12" i="2" s="1"/>
  <c r="AL12" i="2" s="1"/>
  <c r="AM12" i="2" s="1"/>
  <c r="AN12" i="2" s="1"/>
  <c r="AO12" i="2" s="1"/>
  <c r="AP12" i="2" s="1"/>
  <c r="AQ12" i="2" s="1"/>
  <c r="AR12" i="2" s="1"/>
  <c r="AS12" i="2" s="1"/>
  <c r="AT12" i="2" s="1"/>
  <c r="AU12" i="2" s="1"/>
  <c r="AV12" i="2" s="1"/>
  <c r="AW12" i="2" s="1"/>
  <c r="AX12" i="2" s="1"/>
  <c r="AY12" i="2" s="1"/>
  <c r="AZ12" i="2" s="1"/>
  <c r="BA12" i="2" s="1"/>
  <c r="BB12" i="2" s="1"/>
  <c r="BC12" i="2" s="1"/>
  <c r="BD12" i="2" s="1"/>
  <c r="BE12" i="2" s="1"/>
  <c r="F115" i="1"/>
  <c r="F119" i="1" s="1"/>
  <c r="F121" i="1" s="1"/>
  <c r="F122" i="1" s="1"/>
  <c r="D34"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AJ36" i="2" s="1"/>
  <c r="AK36" i="2" s="1"/>
  <c r="AL36" i="2" s="1"/>
  <c r="AM36" i="2" s="1"/>
  <c r="AN36" i="2" s="1"/>
  <c r="AO36" i="2" s="1"/>
  <c r="AP36" i="2" s="1"/>
  <c r="AQ36" i="2" s="1"/>
  <c r="AR36" i="2" s="1"/>
  <c r="AS36" i="2" s="1"/>
  <c r="AT36" i="2" s="1"/>
  <c r="AU36" i="2" s="1"/>
  <c r="AV36" i="2" s="1"/>
  <c r="AW36" i="2" s="1"/>
  <c r="AX36" i="2" s="1"/>
  <c r="AY36" i="2" s="1"/>
  <c r="AZ36" i="2" s="1"/>
  <c r="BA36" i="2" s="1"/>
  <c r="BB36" i="2" s="1"/>
  <c r="BC36" i="2" s="1"/>
  <c r="BD36" i="2" s="1"/>
  <c r="BE36" i="2" s="1"/>
  <c r="E115" i="1"/>
  <c r="E119" i="1" s="1"/>
  <c r="E121" i="1" s="1"/>
  <c r="E122" i="1" s="1"/>
  <c r="D22" i="2" s="1"/>
  <c r="K24" i="2" s="1"/>
  <c r="L24" i="2" s="1"/>
  <c r="M24" i="2" s="1"/>
  <c r="N24" i="2" s="1"/>
  <c r="O24" i="2" s="1"/>
  <c r="P24" i="2" s="1"/>
  <c r="Q24" i="2" s="1"/>
  <c r="R24" i="2" s="1"/>
  <c r="S24" i="2" s="1"/>
  <c r="T24" i="2" s="1"/>
  <c r="U24" i="2" s="1"/>
  <c r="V24" i="2" s="1"/>
  <c r="W24" i="2" s="1"/>
  <c r="X24" i="2" s="1"/>
  <c r="Y24" i="2" s="1"/>
  <c r="Z24" i="2" s="1"/>
  <c r="AA24" i="2" s="1"/>
  <c r="AB24" i="2" s="1"/>
  <c r="AC24" i="2" s="1"/>
  <c r="AD24" i="2" s="1"/>
  <c r="AE24" i="2" s="1"/>
  <c r="AF24" i="2" s="1"/>
  <c r="AG24" i="2" s="1"/>
  <c r="AH24" i="2" s="1"/>
  <c r="AI24" i="2" s="1"/>
  <c r="AJ24" i="2" s="1"/>
  <c r="AK24" i="2" s="1"/>
  <c r="AL24" i="2" s="1"/>
  <c r="AM24" i="2" s="1"/>
  <c r="AN24" i="2" s="1"/>
  <c r="AO24" i="2" s="1"/>
  <c r="AP24" i="2" s="1"/>
  <c r="AQ24" i="2" s="1"/>
  <c r="AR24" i="2" s="1"/>
  <c r="AS24" i="2" s="1"/>
  <c r="AT24" i="2" s="1"/>
  <c r="AU24" i="2" s="1"/>
  <c r="AV24" i="2" s="1"/>
  <c r="AW24" i="2" s="1"/>
  <c r="AX24" i="2" s="1"/>
  <c r="AY24" i="2" s="1"/>
  <c r="AZ24" i="2" s="1"/>
  <c r="BA24" i="2" s="1"/>
  <c r="BB24" i="2" s="1"/>
  <c r="BC24" i="2" s="1"/>
  <c r="BD24" i="2" s="1"/>
  <c r="BE24" i="2" s="1"/>
  <c r="G115" i="1"/>
  <c r="G119" i="1" s="1"/>
  <c r="G121" i="1" s="1"/>
  <c r="G122" i="1" s="1"/>
  <c r="D46"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J48" i="2" s="1"/>
  <c r="AK48" i="2" s="1"/>
  <c r="AL48" i="2" s="1"/>
  <c r="AM48" i="2" s="1"/>
  <c r="AN48" i="2" s="1"/>
  <c r="AO48" i="2" s="1"/>
  <c r="AP48" i="2" s="1"/>
  <c r="AQ48" i="2" s="1"/>
  <c r="AR48" i="2" s="1"/>
  <c r="AS48" i="2" s="1"/>
  <c r="AT48" i="2" s="1"/>
  <c r="AU48" i="2" s="1"/>
  <c r="AV48" i="2" s="1"/>
  <c r="AW48" i="2" s="1"/>
  <c r="AX48" i="2" s="1"/>
  <c r="AY48" i="2" s="1"/>
  <c r="AZ48" i="2" s="1"/>
  <c r="BA48" i="2" s="1"/>
  <c r="BB48" i="2" s="1"/>
  <c r="BC48" i="2" s="1"/>
  <c r="BD48" i="2" s="1"/>
  <c r="BE48" i="2" s="1"/>
  <c r="D51" i="2"/>
  <c r="D52" i="2" s="1"/>
  <c r="D39" i="2"/>
  <c r="D40" i="2" s="1"/>
  <c r="D27" i="2"/>
  <c r="D28" i="2" s="1"/>
  <c r="D15" i="2"/>
  <c r="D16" i="2" s="1"/>
  <c r="F134" i="1" l="1"/>
  <c r="F9" i="3"/>
  <c r="F144" i="1"/>
  <c r="G134" i="1"/>
  <c r="G9" i="3"/>
  <c r="G144" i="1"/>
  <c r="E9" i="3"/>
  <c r="E144" i="1"/>
  <c r="E134" i="1"/>
  <c r="G150" i="1"/>
  <c r="G157" i="1"/>
  <c r="G158" i="1" s="1"/>
  <c r="E157" i="1"/>
  <c r="E158" i="1" s="1"/>
  <c r="D157" i="1"/>
  <c r="D158" i="1" s="1"/>
  <c r="E170" i="1"/>
  <c r="E171" i="1" s="1"/>
  <c r="F157" i="1"/>
  <c r="F158" i="1" s="1"/>
  <c r="F170" i="1"/>
  <c r="F171" i="1" s="1"/>
  <c r="D150" i="1"/>
  <c r="D170" i="1"/>
  <c r="D171" i="1" s="1"/>
  <c r="E150" i="1"/>
  <c r="F150" i="1"/>
  <c r="G170" i="1"/>
  <c r="G171" i="1" s="1"/>
  <c r="E51" i="2"/>
  <c r="E52" i="2" s="1"/>
  <c r="E39" i="2"/>
  <c r="E40" i="2" s="1"/>
  <c r="F51" i="2"/>
  <c r="F52" i="2" s="1"/>
  <c r="F39" i="2"/>
  <c r="F40" i="2" s="1"/>
  <c r="E27" i="2"/>
  <c r="E28" i="2" s="1"/>
  <c r="E15" i="2"/>
  <c r="E16" i="2" s="1"/>
  <c r="D173" i="1" l="1"/>
  <c r="D14" i="3" s="1"/>
  <c r="G173" i="1"/>
  <c r="G14" i="3" s="1"/>
  <c r="F173" i="1"/>
  <c r="F14" i="3" s="1"/>
  <c r="E173" i="1"/>
  <c r="E14" i="3" s="1"/>
  <c r="G161" i="1"/>
  <c r="G13" i="3" s="1"/>
  <c r="F161" i="1"/>
  <c r="F13" i="3" s="1"/>
  <c r="E161" i="1"/>
  <c r="E13" i="3" s="1"/>
  <c r="D161" i="1"/>
  <c r="D13" i="3" s="1"/>
  <c r="E152" i="1"/>
  <c r="E153" i="1" s="1"/>
  <c r="E12" i="3" s="1"/>
  <c r="F152" i="1"/>
  <c r="F153" i="1" s="1"/>
  <c r="F12" i="3" s="1"/>
  <c r="G152" i="1"/>
  <c r="G153" i="1" s="1"/>
  <c r="G12" i="3" s="1"/>
  <c r="D152" i="1"/>
  <c r="D153" i="1" s="1"/>
  <c r="D12" i="3" s="1"/>
  <c r="G51" i="2"/>
  <c r="G52" i="2" s="1"/>
  <c r="G39" i="2"/>
  <c r="G40" i="2" s="1"/>
  <c r="F27" i="2"/>
  <c r="F28" i="2" s="1"/>
  <c r="F15" i="2"/>
  <c r="F16" i="2" s="1"/>
  <c r="H51" i="2" l="1"/>
  <c r="H52" i="2" s="1"/>
  <c r="H39" i="2"/>
  <c r="H40" i="2" s="1"/>
  <c r="G27" i="2"/>
  <c r="G28" i="2" s="1"/>
  <c r="G15" i="2"/>
  <c r="G16" i="2" s="1"/>
  <c r="I51" i="2" l="1"/>
  <c r="I52" i="2" s="1"/>
  <c r="I39" i="2"/>
  <c r="I40" i="2" s="1"/>
  <c r="H27" i="2"/>
  <c r="H28" i="2" s="1"/>
  <c r="H15" i="2"/>
  <c r="H16" i="2" s="1"/>
  <c r="J51" i="2" l="1"/>
  <c r="J52" i="2" s="1"/>
  <c r="J39" i="2"/>
  <c r="J40" i="2" s="1"/>
  <c r="I27" i="2"/>
  <c r="I28" i="2" s="1"/>
  <c r="I15" i="2"/>
  <c r="I16" i="2" s="1"/>
  <c r="K51" i="2" l="1"/>
  <c r="K52" i="2" s="1"/>
  <c r="K39" i="2"/>
  <c r="K40" i="2" s="1"/>
  <c r="J27" i="2"/>
  <c r="J28" i="2" s="1"/>
  <c r="J15" i="2"/>
  <c r="J16" i="2" s="1"/>
  <c r="L51" i="2" l="1"/>
  <c r="L52" i="2" s="1"/>
  <c r="L39" i="2"/>
  <c r="L40" i="2" s="1"/>
  <c r="K27" i="2"/>
  <c r="K28" i="2" s="1"/>
  <c r="K15" i="2"/>
  <c r="K16" i="2" s="1"/>
  <c r="M51" i="2" l="1"/>
  <c r="M52" i="2" s="1"/>
  <c r="M39" i="2"/>
  <c r="M40" i="2" s="1"/>
  <c r="L27" i="2"/>
  <c r="L28" i="2" s="1"/>
  <c r="L15" i="2"/>
  <c r="L16" i="2" s="1"/>
  <c r="N51" i="2" l="1"/>
  <c r="N52" i="2" s="1"/>
  <c r="N39" i="2"/>
  <c r="N40" i="2" s="1"/>
  <c r="M27" i="2"/>
  <c r="M28" i="2" s="1"/>
  <c r="M15" i="2"/>
  <c r="M16" i="2" s="1"/>
  <c r="O51" i="2" l="1"/>
  <c r="O52" i="2" s="1"/>
  <c r="O39" i="2"/>
  <c r="O40" i="2" s="1"/>
  <c r="N27" i="2"/>
  <c r="N28" i="2" s="1"/>
  <c r="N15" i="2"/>
  <c r="N16" i="2" s="1"/>
  <c r="P51" i="2" l="1"/>
  <c r="P52" i="2" s="1"/>
  <c r="P39" i="2"/>
  <c r="P40" i="2" s="1"/>
  <c r="O27" i="2"/>
  <c r="O28" i="2" s="1"/>
  <c r="O15" i="2"/>
  <c r="O16" i="2" s="1"/>
  <c r="Q51" i="2" l="1"/>
  <c r="Q52" i="2" s="1"/>
  <c r="Q39" i="2"/>
  <c r="Q40" i="2" s="1"/>
  <c r="P27" i="2"/>
  <c r="P28" i="2" s="1"/>
  <c r="P15" i="2"/>
  <c r="P16" i="2" s="1"/>
  <c r="R51" i="2" l="1"/>
  <c r="R52" i="2" s="1"/>
  <c r="R39" i="2"/>
  <c r="R40" i="2" s="1"/>
  <c r="Q27" i="2"/>
  <c r="Q28" i="2" s="1"/>
  <c r="Q15" i="2"/>
  <c r="Q16" i="2" s="1"/>
  <c r="S51" i="2" l="1"/>
  <c r="S52" i="2" s="1"/>
  <c r="S39" i="2"/>
  <c r="S40" i="2" s="1"/>
  <c r="R27" i="2"/>
  <c r="R28" i="2" s="1"/>
  <c r="R15" i="2"/>
  <c r="R16" i="2" s="1"/>
  <c r="T51" i="2" l="1"/>
  <c r="T52" i="2" s="1"/>
  <c r="T39" i="2"/>
  <c r="T40" i="2" s="1"/>
  <c r="S27" i="2"/>
  <c r="S28" i="2" s="1"/>
  <c r="S15" i="2"/>
  <c r="S16" i="2" s="1"/>
  <c r="U51" i="2" l="1"/>
  <c r="U52" i="2" s="1"/>
  <c r="U39" i="2"/>
  <c r="U40" i="2" s="1"/>
  <c r="T27" i="2"/>
  <c r="T28" i="2" s="1"/>
  <c r="T15" i="2"/>
  <c r="T16" i="2" s="1"/>
  <c r="V51" i="2" l="1"/>
  <c r="V52" i="2" s="1"/>
  <c r="V39" i="2"/>
  <c r="V40" i="2" s="1"/>
  <c r="U27" i="2"/>
  <c r="U28" i="2" s="1"/>
  <c r="U15" i="2"/>
  <c r="U16" i="2" s="1"/>
  <c r="W51" i="2" l="1"/>
  <c r="W52" i="2" s="1"/>
  <c r="W39" i="2"/>
  <c r="W40" i="2" s="1"/>
  <c r="V27" i="2"/>
  <c r="V28" i="2" s="1"/>
  <c r="V15" i="2"/>
  <c r="V16" i="2" s="1"/>
  <c r="X51" i="2" l="1"/>
  <c r="X52" i="2" s="1"/>
  <c r="X39" i="2"/>
  <c r="X40" i="2" s="1"/>
  <c r="W27" i="2"/>
  <c r="W28" i="2" s="1"/>
  <c r="W15" i="2"/>
  <c r="W16" i="2" s="1"/>
  <c r="Y51" i="2" l="1"/>
  <c r="Y52" i="2" s="1"/>
  <c r="Y39" i="2"/>
  <c r="Y40" i="2" s="1"/>
  <c r="X27" i="2"/>
  <c r="X28" i="2" s="1"/>
  <c r="X15" i="2"/>
  <c r="X16" i="2" s="1"/>
  <c r="Z51" i="2" l="1"/>
  <c r="Z52" i="2" s="1"/>
  <c r="Z39" i="2"/>
  <c r="Z40" i="2" s="1"/>
  <c r="Y27" i="2"/>
  <c r="Y28" i="2" s="1"/>
  <c r="Y15" i="2"/>
  <c r="Y16" i="2" s="1"/>
  <c r="AA51" i="2" l="1"/>
  <c r="AA52" i="2" s="1"/>
  <c r="AA39" i="2"/>
  <c r="AA40" i="2" s="1"/>
  <c r="Z27" i="2"/>
  <c r="Z28" i="2" s="1"/>
  <c r="Z15" i="2"/>
  <c r="Z16" i="2" s="1"/>
  <c r="AB51" i="2" l="1"/>
  <c r="AB52" i="2" s="1"/>
  <c r="AB39" i="2"/>
  <c r="AB40" i="2" s="1"/>
  <c r="AA27" i="2"/>
  <c r="AA28" i="2" s="1"/>
  <c r="AA15" i="2"/>
  <c r="AA16" i="2" s="1"/>
  <c r="AC51" i="2" l="1"/>
  <c r="AC52" i="2" s="1"/>
  <c r="AC39" i="2"/>
  <c r="AC40" i="2" s="1"/>
  <c r="AB27" i="2"/>
  <c r="AB28" i="2" s="1"/>
  <c r="AB15" i="2"/>
  <c r="AB16" i="2" s="1"/>
  <c r="AD51" i="2" l="1"/>
  <c r="AD52" i="2" s="1"/>
  <c r="AD39" i="2"/>
  <c r="AD40" i="2" s="1"/>
  <c r="AC27" i="2"/>
  <c r="AC28" i="2" s="1"/>
  <c r="AC15" i="2"/>
  <c r="AC16" i="2" s="1"/>
  <c r="AE51" i="2" l="1"/>
  <c r="AE52" i="2" s="1"/>
  <c r="AE39" i="2"/>
  <c r="AE40" i="2" s="1"/>
  <c r="AD27" i="2"/>
  <c r="AD28" i="2" s="1"/>
  <c r="AD15" i="2"/>
  <c r="AD16" i="2" s="1"/>
  <c r="AF51" i="2" l="1"/>
  <c r="AF52" i="2" s="1"/>
  <c r="AF39" i="2"/>
  <c r="AF40" i="2" s="1"/>
  <c r="AE27" i="2"/>
  <c r="AE28" i="2" s="1"/>
  <c r="AE15" i="2"/>
  <c r="AE16" i="2" s="1"/>
  <c r="AG51" i="2" l="1"/>
  <c r="AG52" i="2" s="1"/>
  <c r="AG39" i="2"/>
  <c r="AG40" i="2" s="1"/>
  <c r="AF27" i="2"/>
  <c r="AF28" i="2" s="1"/>
  <c r="AF15" i="2"/>
  <c r="AF16" i="2" s="1"/>
  <c r="AH51" i="2" l="1"/>
  <c r="AH52" i="2" s="1"/>
  <c r="AH39" i="2"/>
  <c r="AH40" i="2" s="1"/>
  <c r="AG27" i="2"/>
  <c r="AG28" i="2" s="1"/>
  <c r="AG15" i="2"/>
  <c r="AG16" i="2" s="1"/>
  <c r="AI51" i="2" l="1"/>
  <c r="AI52" i="2" s="1"/>
  <c r="AI39" i="2"/>
  <c r="AI40" i="2" s="1"/>
  <c r="AH27" i="2"/>
  <c r="AH28" i="2" s="1"/>
  <c r="AH15" i="2"/>
  <c r="AH16" i="2" s="1"/>
  <c r="AJ51" i="2" l="1"/>
  <c r="AJ52" i="2" s="1"/>
  <c r="AJ39" i="2"/>
  <c r="AJ40" i="2" s="1"/>
  <c r="AI27" i="2"/>
  <c r="AI28" i="2" s="1"/>
  <c r="AI15" i="2"/>
  <c r="AI16" i="2" s="1"/>
  <c r="AK51" i="2" l="1"/>
  <c r="AK52" i="2" s="1"/>
  <c r="AK39" i="2"/>
  <c r="AK40" i="2" s="1"/>
  <c r="AJ27" i="2"/>
  <c r="AJ28" i="2" s="1"/>
  <c r="AJ15" i="2"/>
  <c r="AJ16" i="2" s="1"/>
  <c r="AL51" i="2" l="1"/>
  <c r="AL52" i="2" s="1"/>
  <c r="AL39" i="2"/>
  <c r="AL40" i="2" s="1"/>
  <c r="AK27" i="2"/>
  <c r="AK28" i="2" s="1"/>
  <c r="AK15" i="2"/>
  <c r="AK16" i="2" s="1"/>
  <c r="AM51" i="2" l="1"/>
  <c r="AM52" i="2" s="1"/>
  <c r="AM39" i="2"/>
  <c r="AM40" i="2" s="1"/>
  <c r="AL27" i="2"/>
  <c r="AL28" i="2" s="1"/>
  <c r="AL15" i="2"/>
  <c r="AL16" i="2" s="1"/>
  <c r="AN51" i="2" l="1"/>
  <c r="AN52" i="2" s="1"/>
  <c r="AN39" i="2"/>
  <c r="AN40" i="2" s="1"/>
  <c r="AM27" i="2"/>
  <c r="AM28" i="2" s="1"/>
  <c r="AM15" i="2"/>
  <c r="AM16" i="2" s="1"/>
  <c r="AO51" i="2" l="1"/>
  <c r="AO52" i="2" s="1"/>
  <c r="AO39" i="2"/>
  <c r="AO40" i="2" s="1"/>
  <c r="AN27" i="2"/>
  <c r="AN28" i="2" s="1"/>
  <c r="AN15" i="2"/>
  <c r="AN16" i="2" s="1"/>
  <c r="AP51" i="2" l="1"/>
  <c r="AP52" i="2" s="1"/>
  <c r="AP39" i="2"/>
  <c r="AP40" i="2" s="1"/>
  <c r="AO27" i="2"/>
  <c r="AO28" i="2" s="1"/>
  <c r="AO15" i="2"/>
  <c r="AO16" i="2" s="1"/>
  <c r="AQ51" i="2" l="1"/>
  <c r="AQ52" i="2" s="1"/>
  <c r="AQ39" i="2"/>
  <c r="AQ40" i="2" s="1"/>
  <c r="AP27" i="2"/>
  <c r="AP28" i="2" s="1"/>
  <c r="AP15" i="2"/>
  <c r="AP16" i="2" s="1"/>
  <c r="AR51" i="2" l="1"/>
  <c r="AR52" i="2" s="1"/>
  <c r="AR39" i="2"/>
  <c r="AR40" i="2" s="1"/>
  <c r="AQ27" i="2"/>
  <c r="AQ28" i="2" s="1"/>
  <c r="AQ15" i="2"/>
  <c r="AQ16" i="2" s="1"/>
  <c r="AS51" i="2" l="1"/>
  <c r="AS52" i="2" s="1"/>
  <c r="AS39" i="2"/>
  <c r="AS40" i="2" s="1"/>
  <c r="AR27" i="2"/>
  <c r="AR28" i="2" s="1"/>
  <c r="AR15" i="2"/>
  <c r="AR16" i="2" s="1"/>
  <c r="AT51" i="2" l="1"/>
  <c r="AT52" i="2" s="1"/>
  <c r="AT39" i="2"/>
  <c r="AT40" i="2" s="1"/>
  <c r="AS27" i="2"/>
  <c r="AS28" i="2" s="1"/>
  <c r="AS15" i="2"/>
  <c r="AS16" i="2" s="1"/>
  <c r="AU51" i="2" l="1"/>
  <c r="AU52" i="2" s="1"/>
  <c r="AU39" i="2"/>
  <c r="AU40" i="2" s="1"/>
  <c r="AT27" i="2"/>
  <c r="AT28" i="2" s="1"/>
  <c r="AT15" i="2"/>
  <c r="AT16" i="2" s="1"/>
  <c r="AV51" i="2" l="1"/>
  <c r="AV52" i="2" s="1"/>
  <c r="AV39" i="2"/>
  <c r="AV40" i="2" s="1"/>
  <c r="AU27" i="2"/>
  <c r="AU28" i="2" s="1"/>
  <c r="AU15" i="2"/>
  <c r="AU16" i="2" s="1"/>
  <c r="AW51" i="2" l="1"/>
  <c r="AW52" i="2" s="1"/>
  <c r="AW39" i="2"/>
  <c r="AW40" i="2" s="1"/>
  <c r="AV27" i="2"/>
  <c r="AV28" i="2" s="1"/>
  <c r="AV15" i="2"/>
  <c r="AV16" i="2" s="1"/>
  <c r="AX51" i="2" l="1"/>
  <c r="AX52" i="2" s="1"/>
  <c r="AX39" i="2"/>
  <c r="AX40" i="2" s="1"/>
  <c r="AW27" i="2"/>
  <c r="AW28" i="2" s="1"/>
  <c r="AW15" i="2"/>
  <c r="AW16" i="2" s="1"/>
  <c r="AY51" i="2" l="1"/>
  <c r="AY52" i="2" s="1"/>
  <c r="AY39" i="2"/>
  <c r="AY40" i="2" s="1"/>
  <c r="AX27" i="2"/>
  <c r="AX28" i="2" s="1"/>
  <c r="AX15" i="2"/>
  <c r="AX16" i="2" s="1"/>
  <c r="AZ51" i="2" l="1"/>
  <c r="AZ52" i="2" s="1"/>
  <c r="AZ39" i="2"/>
  <c r="AZ40" i="2" s="1"/>
  <c r="AY27" i="2"/>
  <c r="AY28" i="2" s="1"/>
  <c r="AY15" i="2"/>
  <c r="AY16" i="2" s="1"/>
  <c r="BA51" i="2" l="1"/>
  <c r="BA52" i="2" s="1"/>
  <c r="BA39" i="2"/>
  <c r="BA40" i="2" s="1"/>
  <c r="AZ27" i="2"/>
  <c r="AZ28" i="2" s="1"/>
  <c r="AZ15" i="2"/>
  <c r="AZ16" i="2" s="1"/>
  <c r="BB51" i="2" l="1"/>
  <c r="BB52" i="2" s="1"/>
  <c r="BB39" i="2"/>
  <c r="BB40" i="2" s="1"/>
  <c r="BA27" i="2"/>
  <c r="BA28" i="2" s="1"/>
  <c r="BA15" i="2"/>
  <c r="BA16" i="2" s="1"/>
  <c r="BC51" i="2" l="1"/>
  <c r="BC52" i="2" s="1"/>
  <c r="BC39" i="2"/>
  <c r="BC40" i="2" s="1"/>
  <c r="BB27" i="2"/>
  <c r="BB28" i="2" s="1"/>
  <c r="BB15" i="2"/>
  <c r="BB16" i="2" s="1"/>
  <c r="BE51" i="2" l="1"/>
  <c r="BD51" i="2"/>
  <c r="BD52" i="2" s="1"/>
  <c r="BE39" i="2"/>
  <c r="BD39" i="2"/>
  <c r="BD40" i="2" s="1"/>
  <c r="BC27" i="2"/>
  <c r="BC28" i="2" s="1"/>
  <c r="BC15" i="2"/>
  <c r="BC16" i="2" s="1"/>
  <c r="BE40" i="2" l="1"/>
  <c r="D41" i="2" s="1"/>
  <c r="BE52" i="2"/>
  <c r="D53" i="2" s="1"/>
  <c r="BE27" i="2"/>
  <c r="BD27" i="2"/>
  <c r="BD28" i="2" s="1"/>
  <c r="BD15" i="2"/>
  <c r="BD16" i="2" s="1"/>
  <c r="BE15" i="2"/>
  <c r="D54" i="2" l="1"/>
  <c r="G125" i="1"/>
  <c r="D42" i="2"/>
  <c r="F125" i="1"/>
  <c r="BE28" i="2"/>
  <c r="BE16" i="2"/>
  <c r="D17" i="2" s="1"/>
  <c r="D43" i="2" l="1"/>
  <c r="F127" i="1" s="1"/>
  <c r="F126" i="1"/>
  <c r="D55" i="2"/>
  <c r="G127" i="1" s="1"/>
  <c r="G126" i="1"/>
  <c r="D29" i="2"/>
  <c r="D18" i="2"/>
  <c r="D125" i="1"/>
  <c r="G146" i="1" l="1"/>
  <c r="G11" i="3" s="1"/>
  <c r="G137" i="1"/>
  <c r="G140" i="1" s="1"/>
  <c r="D30" i="2"/>
  <c r="E125" i="1"/>
  <c r="F137" i="1"/>
  <c r="F140" i="1" s="1"/>
  <c r="F146" i="1"/>
  <c r="F11" i="3" s="1"/>
  <c r="D19" i="2"/>
  <c r="D127" i="1" s="1"/>
  <c r="D126" i="1"/>
  <c r="F10" i="3" l="1"/>
  <c r="G10" i="3"/>
  <c r="D31" i="2"/>
  <c r="E127" i="1" s="1"/>
  <c r="E126" i="1"/>
  <c r="D137" i="1"/>
  <c r="D140" i="1" s="1"/>
  <c r="D146" i="1"/>
  <c r="D11" i="3" s="1"/>
  <c r="D10" i="3" l="1"/>
  <c r="E146" i="1"/>
  <c r="E11" i="3" s="1"/>
  <c r="E137" i="1"/>
  <c r="E140" i="1" s="1"/>
  <c r="E10" i="3" l="1"/>
</calcChain>
</file>

<file path=xl/sharedStrings.xml><?xml version="1.0" encoding="utf-8"?>
<sst xmlns="http://schemas.openxmlformats.org/spreadsheetml/2006/main" count="401" uniqueCount="228">
  <si>
    <t>Formula</t>
  </si>
  <si>
    <t>Low Income Countries</t>
  </si>
  <si>
    <t>Lower Middle Income Countries</t>
  </si>
  <si>
    <t>Upper Middle Income Countries</t>
  </si>
  <si>
    <t>High income countries</t>
  </si>
  <si>
    <t>Cost of one additional year of quality education</t>
  </si>
  <si>
    <t>Calculation</t>
  </si>
  <si>
    <t>Adjusted proficiency</t>
  </si>
  <si>
    <t>(i) = from data</t>
  </si>
  <si>
    <t>Spend per child</t>
  </si>
  <si>
    <t>(ii) = from data</t>
  </si>
  <si>
    <t>Taking the first differential of the spend, and inputting the log of the spend</t>
  </si>
  <si>
    <t>The percentage increase needed to increase one percentage point of adjusted proficiency</t>
  </si>
  <si>
    <t>(iv) = 1/(i)</t>
  </si>
  <si>
    <t>Dividing the percentage increase by the output of the first differential</t>
  </si>
  <si>
    <t>(v) = (iv)/(iii)</t>
  </si>
  <si>
    <t>Additional cost per child needed to adjust proficiency by one percentage point</t>
  </si>
  <si>
    <t>(vi) = (v)*(ii)</t>
  </si>
  <si>
    <t>Total Children turning ten each year</t>
  </si>
  <si>
    <t>(vii) = from data</t>
  </si>
  <si>
    <t>Additional total spending if that cost was spent for every child</t>
  </si>
  <si>
    <r>
      <t>(viii) = ((ii)+(vi))*(vii))-((ii)*(vii)) =</t>
    </r>
    <r>
      <rPr>
        <sz val="11"/>
        <color rgb="FFFF0000"/>
        <rFont val="Calibri"/>
        <family val="2"/>
        <scheme val="minor"/>
      </rPr>
      <t xml:space="preserve"> </t>
    </r>
    <r>
      <rPr>
        <sz val="11"/>
        <color theme="1"/>
        <rFont val="Calibri"/>
        <family val="2"/>
        <scheme val="minor"/>
      </rPr>
      <t>(vi)*(vii)</t>
    </r>
  </si>
  <si>
    <t>Additional number of children with adjusted proficiency if that spending was added</t>
  </si>
  <si>
    <t>(ix) = ((i)+1)*(vii))-((i)*(vii)) = (vii)*1%</t>
  </si>
  <si>
    <t>Additional cost per child with adjusted proficiency</t>
  </si>
  <si>
    <t>(x) = (viii)/(ix)</t>
  </si>
  <si>
    <t>Variable</t>
  </si>
  <si>
    <t>Obs</t>
  </si>
  <si>
    <t>Mean</t>
  </si>
  <si>
    <t>St Dev.</t>
  </si>
  <si>
    <t>Min</t>
  </si>
  <si>
    <t>Max</t>
  </si>
  <si>
    <t>Input Variable</t>
  </si>
  <si>
    <t>Total public expenditure on primary per primary school aged child</t>
  </si>
  <si>
    <t>Output Variable</t>
  </si>
  <si>
    <t>Adjusted Proficiency</t>
  </si>
  <si>
    <t>Additional Variables</t>
  </si>
  <si>
    <t>ODA Share</t>
  </si>
  <si>
    <t>Primary Completion Rate</t>
  </si>
  <si>
    <t>Student to Trained Teacher Ratio</t>
  </si>
  <si>
    <t>Same Language</t>
  </si>
  <si>
    <t>Unemployment Rate (Total)</t>
  </si>
  <si>
    <t>Unemployment Rate (Basic Education)</t>
  </si>
  <si>
    <t>Pre-Primary Gross Enrolment Rate</t>
  </si>
  <si>
    <t>The primary out of school rate</t>
  </si>
  <si>
    <t>The child labour rate</t>
  </si>
  <si>
    <t>Low Income</t>
  </si>
  <si>
    <t>Lower Middle Income</t>
  </si>
  <si>
    <t>Upper Middle Income</t>
  </si>
  <si>
    <t>High Income</t>
  </si>
  <si>
    <t>Model 1a</t>
  </si>
  <si>
    <t>3,545***</t>
  </si>
  <si>
    <t>4,529***</t>
  </si>
  <si>
    <t>Model 1b</t>
  </si>
  <si>
    <t>Model 2a</t>
  </si>
  <si>
    <t>4,522***</t>
  </si>
  <si>
    <t>6,084***</t>
  </si>
  <si>
    <t>16,220***</t>
  </si>
  <si>
    <t>Model 2b</t>
  </si>
  <si>
    <t>4,606**</t>
  </si>
  <si>
    <t>6,649***</t>
  </si>
  <si>
    <t>20,038**</t>
  </si>
  <si>
    <t>Table 8:  Change in LAYS based on example financing</t>
  </si>
  <si>
    <t>Additional children reaching 1 additional LAYS</t>
  </si>
  <si>
    <t>User Inputted</t>
  </si>
  <si>
    <t>Additional Financing</t>
  </si>
  <si>
    <t>Table 9:  External benefits to GDP increases (USD)</t>
  </si>
  <si>
    <t>(b) = From Table 8</t>
  </si>
  <si>
    <t xml:space="preserve">Population (2020) </t>
  </si>
  <si>
    <t>(c) = From data</t>
  </si>
  <si>
    <t>Increase in LAYS weighted over the population</t>
  </si>
  <si>
    <t>(d) = (b) / (c)</t>
  </si>
  <si>
    <t>Percentage point increase in GDP per capita growth rate due to the increase in LAYS</t>
  </si>
  <si>
    <t>(e) = 0.894 * (d)</t>
  </si>
  <si>
    <t>GDP per capita 2020 current USD</t>
  </si>
  <si>
    <t>(f) = From data</t>
  </si>
  <si>
    <t>Net Present Value of increase in GDP per capita growth rate</t>
  </si>
  <si>
    <t>Benefit cost ratio</t>
  </si>
  <si>
    <t>Increase in GDP</t>
  </si>
  <si>
    <t>(j) = From table 9</t>
  </si>
  <si>
    <t xml:space="preserve">Households share of final consumption expenditure </t>
  </si>
  <si>
    <t>(k) = From Data</t>
  </si>
  <si>
    <t>Incidence of Poverty (extreme poverty line)</t>
  </si>
  <si>
    <t>(l) = From Data</t>
  </si>
  <si>
    <t>Poor households increase in consumption</t>
  </si>
  <si>
    <t>(m) = (j)*(k)*(l)</t>
  </si>
  <si>
    <t>Poverty Gap at 1.90 USD per day (extreme poverty line)</t>
  </si>
  <si>
    <t>(n) From data</t>
  </si>
  <si>
    <t>(j) From Table 9</t>
  </si>
  <si>
    <t>Revenue (excl. grants) as a share of GDP</t>
  </si>
  <si>
    <t>(p) From Data</t>
  </si>
  <si>
    <t>Public revenue generated</t>
  </si>
  <si>
    <t>(q) = (j)*(p)</t>
  </si>
  <si>
    <t>Total Population</t>
  </si>
  <si>
    <t>(r) = From Data</t>
  </si>
  <si>
    <t>Lives Saved</t>
  </si>
  <si>
    <t>(t) = (s) * (r)</t>
  </si>
  <si>
    <t>Addition girls reaching 1 additional LAYS</t>
  </si>
  <si>
    <t>(w) = (b)/2</t>
  </si>
  <si>
    <t>Girls prevented from early marriage</t>
  </si>
  <si>
    <t>Average LAYS</t>
  </si>
  <si>
    <t>(y) = From Data</t>
  </si>
  <si>
    <t>Total Fertility Rate per woman (assumed same per man)</t>
  </si>
  <si>
    <t>Reduced Stunting</t>
  </si>
  <si>
    <t>Starts after x years</t>
  </si>
  <si>
    <t>Discount rate</t>
  </si>
  <si>
    <t>Increase in GDP per capita due to the increase in the growth rate from increasing LAYS</t>
  </si>
  <si>
    <t>status quo growth rate</t>
  </si>
  <si>
    <t>new growth rate</t>
  </si>
  <si>
    <t>gdp per capita status quo</t>
  </si>
  <si>
    <t>gdp per capita new rate</t>
  </si>
  <si>
    <t>Increase in GDP per capita</t>
  </si>
  <si>
    <t>Discounted costs</t>
  </si>
  <si>
    <t>NPV</t>
  </si>
  <si>
    <t>Benefit Cost Ratio</t>
  </si>
  <si>
    <t>Lower Middle</t>
  </si>
  <si>
    <t>Upper Middle</t>
  </si>
  <si>
    <t>High</t>
  </si>
  <si>
    <t>(h) = Calculated as described above</t>
  </si>
  <si>
    <t>(i) = (h) divided by NPV of cost in year zero</t>
  </si>
  <si>
    <t>(j) = (h) * (c) = (i) * 1bn</t>
  </si>
  <si>
    <t>(g) = From data</t>
  </si>
  <si>
    <t>GDP per capita growth rate (10 year average)</t>
  </si>
  <si>
    <t xml:space="preserve">Effective gap </t>
  </si>
  <si>
    <t>(s) = 1.55% * (b) / (r)</t>
  </si>
  <si>
    <t>Note this is all available data, the averages change slightly when running the financing analysis as that is only the countries with applicable data</t>
  </si>
  <si>
    <t>(x) = From Data</t>
  </si>
  <si>
    <t xml:space="preserve">Progression to secondary school </t>
  </si>
  <si>
    <t>Persistence to last grade of primary</t>
  </si>
  <si>
    <t>(z) = 7.5% * (w) * (x) * (y)</t>
  </si>
  <si>
    <t>Impact of mothers education on stunting</t>
  </si>
  <si>
    <t>Impact of fathers education on stunting</t>
  </si>
  <si>
    <t xml:space="preserve">=-(0.048-0.024)/3 = </t>
  </si>
  <si>
    <t xml:space="preserve">=-(0.024-0.010)/3 = </t>
  </si>
  <si>
    <t xml:space="preserve">=-(0.019-0.007)/3 = </t>
  </si>
  <si>
    <t xml:space="preserve">=-(0.029-0.019)/3 = </t>
  </si>
  <si>
    <t>(aa) = From Data</t>
  </si>
  <si>
    <t>(ab) = From literature for  additional level of LAYS for ((aa)+1) minus previous level, divided by the years in that group</t>
  </si>
  <si>
    <t>(ac) = From literature for  additional level of LAYS for ((aa)+1) minus previous level, divided by the years in that group</t>
  </si>
  <si>
    <t>(ad) = From Data</t>
  </si>
  <si>
    <t xml:space="preserve"> =-(0.007-0)/3 =</t>
  </si>
  <si>
    <t xml:space="preserve"> =-(0.010-0)/3 =</t>
  </si>
  <si>
    <t>(ae) = ((ab)* (ad)* (w)) + ((ac)* (ad)* (w)</t>
  </si>
  <si>
    <t>Example for Low Income – Model 1a</t>
  </si>
  <si>
    <t>Example for Low Income – Model 2a</t>
  </si>
  <si>
    <r>
      <t>(iii) = β</t>
    </r>
    <r>
      <rPr>
        <vertAlign val="subscript"/>
        <sz val="11"/>
        <color theme="1"/>
        <rFont val="Calibri"/>
        <family val="2"/>
        <scheme val="minor"/>
      </rPr>
      <t>1</t>
    </r>
    <r>
      <rPr>
        <sz val="11"/>
        <color theme="1"/>
        <rFont val="Calibri"/>
        <family val="2"/>
        <scheme val="minor"/>
      </rPr>
      <t xml:space="preserve"> + (2 * β</t>
    </r>
    <r>
      <rPr>
        <vertAlign val="subscript"/>
        <sz val="11"/>
        <color theme="1"/>
        <rFont val="Calibri"/>
        <family val="2"/>
        <scheme val="minor"/>
      </rPr>
      <t>2</t>
    </r>
    <r>
      <rPr>
        <sz val="11"/>
        <color theme="1"/>
        <rFont val="Calibri"/>
        <family val="2"/>
        <scheme val="minor"/>
      </rPr>
      <t xml:space="preserve"> * (Ln(ii)))</t>
    </r>
  </si>
  <si>
    <t>Unit cost with inefficiencies</t>
  </si>
  <si>
    <t>(xi) = Model 2a From Table 5</t>
  </si>
  <si>
    <t>Average efficiency score</t>
  </si>
  <si>
    <t>(xii) = Output from Model 2a</t>
  </si>
  <si>
    <t>Unit cost if spending at full efficiency</t>
  </si>
  <si>
    <t>(xiii) = (xi) * (xii)</t>
  </si>
  <si>
    <t>(xiii) = From Table 6</t>
  </si>
  <si>
    <t>Learning poverty gap (among the learning poor)</t>
  </si>
  <si>
    <t>(xiv) = From Azevedo (2020)</t>
  </si>
  <si>
    <r>
      <t>26.0%</t>
    </r>
    <r>
      <rPr>
        <sz val="8"/>
        <color theme="1"/>
        <rFont val="Calibri"/>
        <family val="2"/>
        <scheme val="minor"/>
      </rPr>
      <t>  </t>
    </r>
  </si>
  <si>
    <t>Unit cost if spending at full efficiency targeting the learning poor</t>
  </si>
  <si>
    <t>(xv) = (xiii) * (xiv)</t>
  </si>
  <si>
    <t>Learning Poverty rate for countries in financing sample</t>
  </si>
  <si>
    <t>(xvi) = From Data</t>
  </si>
  <si>
    <t>Learning Poverty rate for countries in financing sample of next income group</t>
  </si>
  <si>
    <t>(xvii) = From Data</t>
  </si>
  <si>
    <t>(xv) = From Table 7</t>
  </si>
  <si>
    <t>Total Children turning 10 (2020)</t>
  </si>
  <si>
    <t>(xviii) = From Data</t>
  </si>
  <si>
    <t>Annual change in financing to get to the next income groups Learning Poverty Rate</t>
  </si>
  <si>
    <t>(xix) = (((xvii) – (xvi)) * (xviii)) * (xv)</t>
  </si>
  <si>
    <t>(xx) = From Data</t>
  </si>
  <si>
    <t>Unit cost if targeting the learning poor (but not at full efficiency)</t>
  </si>
  <si>
    <t>(xxi) = From Data</t>
  </si>
  <si>
    <t>Annual financing to get to next income groups Learning Poverty Rate</t>
  </si>
  <si>
    <t>Estimated number lifted from extreme poverty</t>
  </si>
  <si>
    <t xml:space="preserve">Benefit cost ratio (at exactly 1 billion). </t>
  </si>
  <si>
    <t>(i) = (h) divided by NPV of cost in year zero (at exactly 1bn)</t>
  </si>
  <si>
    <t>(j) = (i) * Additional Financing</t>
  </si>
  <si>
    <t>Note: the net present value formula in Excel includes rounding, meaning that this is ever so slightly not linear. For example, the value for the increase in GDP for 1bn doubled is equivalent to 99.86% of the value for the increase in GDP for 2bn. To maintain a linear relationship, we take the benefit cost ratio from a 1bn increase and use this value. The original formulas are shown above, the output values we use are shown below. The values below are used for the poverty and revenue calculations.</t>
  </si>
  <si>
    <t>Max / min percent change</t>
  </si>
  <si>
    <t>Calculated in Tab 2</t>
  </si>
  <si>
    <t>Calculated in Tab 2&amp;3</t>
  </si>
  <si>
    <t>Table 1</t>
  </si>
  <si>
    <t>Table 2</t>
  </si>
  <si>
    <t>Mean of Total public expenditure on primary per primary school aged child (mean over 10 year period)</t>
  </si>
  <si>
    <t>Sum of primary school aged children (2019)</t>
  </si>
  <si>
    <t>Note: Primary school aged children data from: 'wbopendata, indicator(SP.PRM.TOTL.IN) year(1980:2020) clear'</t>
  </si>
  <si>
    <t>Estimate spend on primary</t>
  </si>
  <si>
    <t>(1) From Table 2</t>
  </si>
  <si>
    <t>(2) From WB Data</t>
  </si>
  <si>
    <t>(3) = (1) * (2)</t>
  </si>
  <si>
    <t>Rounded estimate spend on primary</t>
  </si>
  <si>
    <t>Rounded estimate of bound on additional spend</t>
  </si>
  <si>
    <t>Rounded estimate of bound on reduced spend</t>
  </si>
  <si>
    <t>if latest==1</t>
  </si>
  <si>
    <t>From Financing Database</t>
  </si>
  <si>
    <t>Max / Min Percentage Change in Spending Allowed</t>
  </si>
  <si>
    <t>Rounded Estimate Current Total Spend on Primary Education</t>
  </si>
  <si>
    <t>Increase in adult survival rate due to addition LAYS weighted by population</t>
  </si>
  <si>
    <t>Future Children With Reduced Stunting</t>
  </si>
  <si>
    <t>Number Lifted From Extreme Poverty</t>
  </si>
  <si>
    <t>Public Revenue Generated</t>
  </si>
  <si>
    <t>Girls Prevented From Early Marriage</t>
  </si>
  <si>
    <t>Change in Children with Opportunity Secured</t>
  </si>
  <si>
    <t>(4) = Rounded (3)</t>
  </si>
  <si>
    <t>(5) = Rounded (xix)</t>
  </si>
  <si>
    <t>(xxii) = (((xx) - (xvi)) * (xviii)) * (xxi)</t>
  </si>
  <si>
    <t>(6) = Rounded (xxii)</t>
  </si>
  <si>
    <t>Unit cost for increasing spend</t>
  </si>
  <si>
    <t>Unit cost for decreasing spend</t>
  </si>
  <si>
    <t xml:space="preserve">(xxi) = From Table 9 </t>
  </si>
  <si>
    <t>(b) = Financing / (a)</t>
  </si>
  <si>
    <r>
      <t xml:space="preserve">(9) = Financing / (xv) </t>
    </r>
    <r>
      <rPr>
        <i/>
        <sz val="11"/>
        <color theme="1"/>
        <rFont val="Calibri"/>
        <family val="2"/>
        <scheme val="minor"/>
      </rPr>
      <t>or</t>
    </r>
    <r>
      <rPr>
        <sz val="11"/>
        <color theme="1"/>
        <rFont val="Calibri"/>
        <family val="2"/>
        <scheme val="minor"/>
      </rPr>
      <t xml:space="preserve"> (xxi) as applicable</t>
    </r>
  </si>
  <si>
    <t>Average efficiency by income group</t>
  </si>
  <si>
    <t>Cost of one additional year of quality education at full efficiency</t>
  </si>
  <si>
    <t xml:space="preserve">(a1) = From source below </t>
  </si>
  <si>
    <t>(a2) = From source below</t>
  </si>
  <si>
    <t>(a)  = (a1) * (a2)</t>
  </si>
  <si>
    <t>Additional children reaching 1 additional LAYS at full efficiency</t>
  </si>
  <si>
    <t>Addition girls / boys reaching 1 additional LAYS at full efficiency</t>
  </si>
  <si>
    <t>(o) = (m) / ((n) * 1.90 * 365 * (47 + 8))</t>
  </si>
  <si>
    <t>Assumed years of primary</t>
  </si>
  <si>
    <t>(xxii) = Assumption</t>
  </si>
  <si>
    <t xml:space="preserve">(xxiii) = </t>
  </si>
  <si>
    <t>Change in Children on the Pathway to Opportunity Secured</t>
  </si>
  <si>
    <t>Annualised cost to get a child on the pathway to opportunity secured</t>
  </si>
  <si>
    <t>(7) = Min of (5) across income groups</t>
  </si>
  <si>
    <t>Minimum estimate of bound on additional spend across income groups</t>
  </si>
  <si>
    <t>(8) = (7) * 10</t>
  </si>
  <si>
    <t>(9) = (7) / (4)</t>
  </si>
  <si>
    <t>Consistent Spending Bound over 10 years of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</si>
</sst>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00000"/>
    <numFmt numFmtId="165" formatCode="_-* #,##0_-;\-* #,##0_-;_-* &quot;-&quot;??_-;_-@_-"/>
    <numFmt numFmtId="166" formatCode="0.0000%"/>
    <numFmt numFmtId="167" formatCode="_(* #,##0_);_(* \(#,##0\);_(* &quot;-&quot;??_);_(@_)"/>
    <numFmt numFmtId="168" formatCode="_-* #,##0.000_-;\-* #,##0.000_-;_-* &quot;-&quot;??_-;_-@_-"/>
    <numFmt numFmtId="169" formatCode="#,##0_ ;\-#,##0\ "/>
    <numFmt numFmtId="170" formatCode="0.000%"/>
    <numFmt numFmtId="171" formatCode="_(* #,##0.00_);_(* \(#,##0.00\);_(* &quot;-&quot;??_);_(@_)"/>
    <numFmt numFmtId="172" formatCode="_-* #,##0.0000_-;\-* #,##0.0000_-;_-* &quot;-&quot;??_-;_-@_-"/>
    <numFmt numFmtId="173" formatCode="_-* #,##0.000000_-;\-* #,##0.000000_-;_-* &quot;-&quot;??_-;_-@_-"/>
    <numFmt numFmtId="174" formatCode="0.0000"/>
    <numFmt numFmtId="175" formatCode="#,##0.00000000000"/>
    <numFmt numFmtId="176" formatCode="0.0%"/>
    <numFmt numFmtId="177" formatCode="0.00000%"/>
    <numFmt numFmtId="178" formatCode="0.000"/>
  </numFmts>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rgb="FF000000"/>
      <name val="Calibri"/>
      <family val="2"/>
      <scheme val="minor"/>
    </font>
    <font>
      <i/>
      <sz val="11"/>
      <color theme="1"/>
      <name val="Calibri"/>
      <family val="2"/>
      <scheme val="minor"/>
    </font>
    <font>
      <i/>
      <sz val="11"/>
      <name val="Calibri"/>
      <family val="2"/>
      <scheme val="minor"/>
    </font>
    <font>
      <vertAlign val="subscript"/>
      <sz val="11"/>
      <color theme="1"/>
      <name val="Calibri"/>
      <family val="2"/>
      <scheme val="minor"/>
    </font>
    <font>
      <sz val="10"/>
      <color theme="1"/>
      <name val="Calibri"/>
      <family val="2"/>
      <scheme val="minor"/>
    </font>
    <font>
      <sz val="8"/>
      <color theme="1"/>
      <name val="Calibri"/>
      <family val="2"/>
      <scheme val="minor"/>
    </font>
    <font>
      <i/>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9">
    <xf numFmtId="0" fontId="0" fillId="0" borderId="0" xfId="0"/>
    <xf numFmtId="0" fontId="0" fillId="0" borderId="1" xfId="0" applyBorder="1" applyAlignment="1">
      <alignment horizontal="justify" vertical="center" wrapText="1"/>
    </xf>
    <xf numFmtId="0" fontId="4" fillId="0" borderId="1" xfId="0" applyFont="1" applyBorder="1" applyAlignment="1">
      <alignment horizontal="justify" vertical="center" wrapText="1"/>
    </xf>
    <xf numFmtId="0" fontId="0" fillId="0" borderId="2" xfId="0" applyBorder="1" applyAlignment="1">
      <alignment horizontal="justify" vertical="center" wrapText="1"/>
    </xf>
    <xf numFmtId="0" fontId="4" fillId="0" borderId="2" xfId="0" applyFont="1" applyBorder="1" applyAlignment="1">
      <alignment horizontal="justify" vertical="center" wrapText="1"/>
    </xf>
    <xf numFmtId="0" fontId="0" fillId="0" borderId="3" xfId="0" applyBorder="1" applyAlignment="1">
      <alignment vertical="center" wrapText="1"/>
    </xf>
    <xf numFmtId="0" fontId="4" fillId="0" borderId="3" xfId="0" applyFont="1" applyBorder="1" applyAlignment="1">
      <alignment vertical="center" wrapText="1"/>
    </xf>
    <xf numFmtId="0" fontId="0" fillId="0" borderId="4" xfId="0" applyBorder="1" applyAlignment="1">
      <alignment vertical="center" wrapText="1"/>
    </xf>
    <xf numFmtId="0" fontId="4" fillId="0" borderId="4" xfId="0" applyFont="1" applyBorder="1" applyAlignment="1">
      <alignment horizontal="justify" vertical="center" wrapText="1"/>
    </xf>
    <xf numFmtId="3" fontId="0" fillId="0" borderId="4" xfId="0" applyNumberFormat="1" applyBorder="1" applyAlignment="1">
      <alignment horizontal="justify" vertical="center" wrapText="1"/>
    </xf>
    <xf numFmtId="3" fontId="4" fillId="0" borderId="4" xfId="0" applyNumberFormat="1" applyFont="1" applyBorder="1" applyAlignment="1">
      <alignment horizontal="justify" vertical="center" wrapText="1"/>
    </xf>
    <xf numFmtId="3" fontId="0" fillId="0" borderId="4" xfId="0" applyNumberFormat="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4" fillId="0" borderId="4" xfId="0" applyFont="1" applyBorder="1" applyAlignment="1">
      <alignment vertical="center" wrapText="1"/>
    </xf>
    <xf numFmtId="4" fontId="4" fillId="0" borderId="4" xfId="0" applyNumberFormat="1" applyFont="1" applyBorder="1" applyAlignment="1">
      <alignment vertical="center" wrapText="1"/>
    </xf>
    <xf numFmtId="0" fontId="0" fillId="0" borderId="3" xfId="0" applyBorder="1" applyAlignment="1">
      <alignment horizontal="justify" vertical="center" wrapText="1"/>
    </xf>
    <xf numFmtId="0" fontId="4" fillId="0" borderId="4" xfId="0" applyFont="1" applyBorder="1" applyAlignment="1">
      <alignment horizontal="center" vertical="center" wrapText="1"/>
    </xf>
    <xf numFmtId="3" fontId="0" fillId="0" borderId="4" xfId="0" applyNumberFormat="1" applyBorder="1" applyAlignment="1">
      <alignment horizontal="center" vertical="center" wrapText="1"/>
    </xf>
    <xf numFmtId="3" fontId="4" fillId="0" borderId="4" xfId="0" applyNumberFormat="1" applyFont="1" applyBorder="1" applyAlignment="1">
      <alignment horizontal="center" vertical="center" wrapText="1"/>
    </xf>
    <xf numFmtId="0" fontId="4" fillId="0" borderId="1" xfId="0" applyFont="1" applyBorder="1" applyAlignment="1">
      <alignment vertical="center" wrapText="1"/>
    </xf>
    <xf numFmtId="10" fontId="0" fillId="0" borderId="0" xfId="0" applyNumberFormat="1"/>
    <xf numFmtId="10" fontId="0" fillId="0" borderId="4" xfId="0" applyNumberFormat="1" applyBorder="1" applyAlignment="1">
      <alignment vertical="center" wrapText="1"/>
    </xf>
    <xf numFmtId="0" fontId="0" fillId="0" borderId="0" xfId="0" applyBorder="1"/>
    <xf numFmtId="0" fontId="0" fillId="0" borderId="0" xfId="0" applyBorder="1" applyAlignment="1">
      <alignment vertical="center" wrapText="1"/>
    </xf>
    <xf numFmtId="3" fontId="4" fillId="0" borderId="0" xfId="0" applyNumberFormat="1" applyFont="1" applyBorder="1" applyAlignment="1">
      <alignment horizontal="justify" vertical="center" wrapText="1"/>
    </xf>
    <xf numFmtId="3" fontId="6" fillId="0" borderId="4" xfId="0" applyNumberFormat="1" applyFont="1" applyBorder="1" applyAlignment="1">
      <alignment horizontal="justify" vertical="center" wrapText="1"/>
    </xf>
    <xf numFmtId="0" fontId="4" fillId="0" borderId="2" xfId="0" applyFont="1" applyBorder="1" applyAlignment="1">
      <alignment vertical="center" wrapText="1"/>
    </xf>
    <xf numFmtId="0" fontId="0" fillId="0" borderId="0" xfId="0" applyAlignment="1">
      <alignment vertical="center" wrapText="1"/>
    </xf>
    <xf numFmtId="0" fontId="0" fillId="0" borderId="7" xfId="0" applyBorder="1" applyAlignment="1">
      <alignment vertical="center" wrapText="1"/>
    </xf>
    <xf numFmtId="4" fontId="4" fillId="0" borderId="4" xfId="0" applyNumberFormat="1" applyFont="1" applyBorder="1" applyAlignment="1">
      <alignment horizontal="justify" vertical="center" wrapText="1"/>
    </xf>
    <xf numFmtId="164" fontId="4" fillId="0" borderId="4" xfId="0" applyNumberFormat="1" applyFont="1" applyBorder="1" applyAlignment="1">
      <alignment horizontal="justify" vertical="center" wrapText="1"/>
    </xf>
    <xf numFmtId="0" fontId="3" fillId="0" borderId="0" xfId="0" applyFont="1"/>
    <xf numFmtId="165" fontId="0" fillId="0" borderId="0" xfId="0" applyNumberFormat="1"/>
    <xf numFmtId="9" fontId="0" fillId="0" borderId="0" xfId="2" applyFont="1"/>
    <xf numFmtId="166" fontId="0" fillId="0" borderId="0" xfId="0" applyNumberFormat="1"/>
    <xf numFmtId="167" fontId="0" fillId="0" borderId="0" xfId="0" applyNumberFormat="1"/>
    <xf numFmtId="165" fontId="0" fillId="0" borderId="0" xfId="1" applyNumberFormat="1" applyFont="1"/>
    <xf numFmtId="168" fontId="0" fillId="0" borderId="0" xfId="1" applyNumberFormat="1" applyFont="1"/>
    <xf numFmtId="0" fontId="3" fillId="0" borderId="0" xfId="0" applyFont="1" applyAlignment="1">
      <alignment wrapText="1"/>
    </xf>
    <xf numFmtId="168" fontId="3" fillId="0" borderId="0" xfId="1" applyNumberFormat="1" applyFont="1" applyAlignment="1">
      <alignment horizontal="center"/>
    </xf>
    <xf numFmtId="169" fontId="3" fillId="0" borderId="0" xfId="1" applyNumberFormat="1" applyFont="1" applyAlignment="1">
      <alignment horizontal="center"/>
    </xf>
    <xf numFmtId="165" fontId="3" fillId="0" borderId="0" xfId="1" applyNumberFormat="1" applyFont="1" applyAlignment="1">
      <alignment horizontal="center"/>
    </xf>
    <xf numFmtId="165" fontId="1" fillId="0" borderId="0" xfId="1" applyNumberFormat="1" applyFont="1" applyAlignment="1">
      <alignment horizontal="center"/>
    </xf>
    <xf numFmtId="170" fontId="0" fillId="0" borderId="0" xfId="0" applyNumberFormat="1"/>
    <xf numFmtId="10" fontId="4" fillId="0" borderId="4" xfId="2" applyNumberFormat="1" applyFont="1" applyBorder="1" applyAlignment="1">
      <alignment horizontal="justify" vertical="center" wrapText="1"/>
    </xf>
    <xf numFmtId="171" fontId="0" fillId="0" borderId="0" xfId="0" applyNumberFormat="1"/>
    <xf numFmtId="171" fontId="0" fillId="0" borderId="0" xfId="1" applyNumberFormat="1" applyFont="1"/>
    <xf numFmtId="2" fontId="4" fillId="0" borderId="4" xfId="0" applyNumberFormat="1" applyFont="1" applyBorder="1" applyAlignment="1">
      <alignment horizontal="justify" vertical="center" wrapText="1"/>
    </xf>
    <xf numFmtId="172" fontId="0" fillId="0" borderId="0" xfId="1" applyNumberFormat="1" applyFont="1"/>
    <xf numFmtId="0" fontId="7" fillId="0" borderId="0" xfId="0" applyFont="1"/>
    <xf numFmtId="0" fontId="5" fillId="0" borderId="0" xfId="0" applyFont="1" applyBorder="1" applyAlignment="1">
      <alignment vertical="center" wrapText="1"/>
    </xf>
    <xf numFmtId="3" fontId="5" fillId="0" borderId="0" xfId="0" applyNumberFormat="1" applyFont="1" applyBorder="1" applyAlignment="1">
      <alignment horizontal="justify" vertical="center" wrapText="1"/>
    </xf>
    <xf numFmtId="173" fontId="0" fillId="0" borderId="8" xfId="1" applyNumberFormat="1" applyFont="1" applyBorder="1" applyAlignment="1">
      <alignment vertical="center" wrapText="1"/>
    </xf>
    <xf numFmtId="0" fontId="4" fillId="0" borderId="3" xfId="0" applyFont="1" applyBorder="1" applyAlignment="1">
      <alignment vertical="center" wrapText="1"/>
    </xf>
    <xf numFmtId="0" fontId="0" fillId="0" borderId="3" xfId="0" applyBorder="1" applyAlignment="1">
      <alignment vertical="center" wrapText="1"/>
    </xf>
    <xf numFmtId="0" fontId="8" fillId="0" borderId="0" xfId="0" applyFont="1"/>
    <xf numFmtId="0" fontId="0" fillId="0" borderId="0" xfId="0" applyFill="1" applyBorder="1" applyAlignment="1">
      <alignment vertical="center" wrapText="1"/>
    </xf>
    <xf numFmtId="0" fontId="0" fillId="0" borderId="8" xfId="0" applyBorder="1" applyAlignment="1">
      <alignment vertical="center" wrapText="1"/>
    </xf>
    <xf numFmtId="0" fontId="0" fillId="0" borderId="3" xfId="0" applyBorder="1" applyAlignment="1">
      <alignment vertical="center" wrapText="1"/>
    </xf>
    <xf numFmtId="174" fontId="4" fillId="0" borderId="4" xfId="0" applyNumberFormat="1" applyFont="1" applyBorder="1" applyAlignment="1">
      <alignment horizontal="justify" vertical="center" wrapText="1"/>
    </xf>
    <xf numFmtId="174" fontId="4" fillId="0" borderId="4" xfId="0" quotePrefix="1" applyNumberFormat="1" applyFont="1" applyBorder="1" applyAlignment="1">
      <alignment horizontal="justify" vertical="center" wrapText="1"/>
    </xf>
    <xf numFmtId="0" fontId="4" fillId="0" borderId="4" xfId="0" quotePrefix="1" applyFont="1" applyBorder="1" applyAlignment="1">
      <alignment horizontal="justify" vertical="center" wrapText="1"/>
    </xf>
    <xf numFmtId="3" fontId="4" fillId="0" borderId="4" xfId="0" applyNumberFormat="1" applyFont="1" applyBorder="1" applyAlignment="1">
      <alignment vertical="center" wrapText="1"/>
    </xf>
    <xf numFmtId="0" fontId="6" fillId="0" borderId="2" xfId="0" applyFont="1" applyBorder="1" applyAlignment="1">
      <alignment vertical="center" wrapText="1"/>
    </xf>
    <xf numFmtId="10" fontId="4" fillId="0" borderId="4" xfId="0" applyNumberFormat="1" applyFont="1" applyBorder="1" applyAlignment="1">
      <alignment vertical="center" wrapText="1"/>
    </xf>
    <xf numFmtId="0" fontId="6" fillId="0" borderId="3"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3" fontId="6" fillId="0" borderId="4" xfId="0" applyNumberFormat="1" applyFont="1" applyBorder="1" applyAlignment="1">
      <alignment vertical="center" wrapText="1"/>
    </xf>
    <xf numFmtId="177" fontId="0" fillId="0" borderId="0" xfId="2" applyNumberFormat="1" applyFont="1"/>
    <xf numFmtId="175" fontId="6" fillId="0" borderId="1" xfId="0" applyNumberFormat="1" applyFont="1" applyBorder="1" applyAlignment="1">
      <alignment horizontal="justify" vertical="center" wrapText="1"/>
    </xf>
    <xf numFmtId="3" fontId="6" fillId="0" borderId="1" xfId="0" applyNumberFormat="1" applyFont="1" applyBorder="1" applyAlignment="1">
      <alignment horizontal="justify" vertical="center" wrapText="1"/>
    </xf>
    <xf numFmtId="165" fontId="4" fillId="0" borderId="4" xfId="1" applyNumberFormat="1" applyFont="1" applyBorder="1" applyAlignment="1">
      <alignment vertical="center" wrapText="1"/>
    </xf>
    <xf numFmtId="43" fontId="4" fillId="0" borderId="4" xfId="1" applyNumberFormat="1" applyFont="1" applyBorder="1" applyAlignment="1">
      <alignment vertical="center" wrapText="1"/>
    </xf>
    <xf numFmtId="165" fontId="0" fillId="0" borderId="4" xfId="1" applyNumberFormat="1" applyFont="1" applyBorder="1" applyAlignment="1">
      <alignment vertical="center" wrapText="1"/>
    </xf>
    <xf numFmtId="0" fontId="6" fillId="0" borderId="1" xfId="0" applyFont="1" applyBorder="1" applyAlignment="1">
      <alignment vertical="center" wrapText="1"/>
    </xf>
    <xf numFmtId="0" fontId="0" fillId="0" borderId="1" xfId="0" applyFont="1" applyBorder="1"/>
    <xf numFmtId="0" fontId="0" fillId="0" borderId="1" xfId="0" applyBorder="1"/>
    <xf numFmtId="165" fontId="0" fillId="0" borderId="1" xfId="0" applyNumberFormat="1" applyBorder="1"/>
    <xf numFmtId="3" fontId="0" fillId="0" borderId="1" xfId="0" applyNumberFormat="1" applyBorder="1"/>
    <xf numFmtId="176" fontId="0" fillId="0" borderId="1" xfId="2" applyNumberFormat="1" applyFont="1" applyBorder="1"/>
    <xf numFmtId="3" fontId="5" fillId="2" borderId="1" xfId="0" applyNumberFormat="1" applyFont="1" applyFill="1" applyBorder="1"/>
    <xf numFmtId="3" fontId="4" fillId="0" borderId="1" xfId="0" applyNumberFormat="1" applyFont="1" applyBorder="1" applyAlignment="1">
      <alignment horizontal="justify" vertical="center" wrapText="1"/>
    </xf>
    <xf numFmtId="3" fontId="0" fillId="0" borderId="1" xfId="0" applyNumberFormat="1" applyBorder="1" applyAlignment="1">
      <alignment horizontal="left" vertical="center" wrapText="1"/>
    </xf>
    <xf numFmtId="3" fontId="0" fillId="0" borderId="1" xfId="0" applyNumberFormat="1" applyBorder="1" applyAlignment="1">
      <alignment horizontal="justify" vertical="center" wrapText="1"/>
    </xf>
    <xf numFmtId="176" fontId="0" fillId="0" borderId="1" xfId="2" applyNumberFormat="1" applyFont="1" applyBorder="1" applyAlignment="1">
      <alignment horizontal="justify" vertical="center" wrapText="1"/>
    </xf>
    <xf numFmtId="3" fontId="0" fillId="0" borderId="1" xfId="1" applyNumberFormat="1" applyFont="1" applyBorder="1" applyAlignment="1">
      <alignment horizontal="left" vertical="center" wrapText="1"/>
    </xf>
    <xf numFmtId="0" fontId="0" fillId="0" borderId="1" xfId="0" applyBorder="1" applyAlignment="1">
      <alignment wrapText="1"/>
    </xf>
    <xf numFmtId="3" fontId="5" fillId="0" borderId="1" xfId="0" applyNumberFormat="1" applyFont="1" applyBorder="1" applyAlignment="1">
      <alignment horizontal="justify" vertical="center" wrapText="1"/>
    </xf>
    <xf numFmtId="165" fontId="0" fillId="0" borderId="1" xfId="1" applyNumberFormat="1" applyFont="1" applyBorder="1"/>
    <xf numFmtId="0" fontId="4" fillId="0" borderId="3" xfId="0" applyFont="1" applyBorder="1" applyAlignment="1">
      <alignment vertical="center" wrapText="1"/>
    </xf>
    <xf numFmtId="0" fontId="0" fillId="0" borderId="8" xfId="0" applyBorder="1" applyAlignment="1">
      <alignment vertical="center" wrapText="1"/>
    </xf>
    <xf numFmtId="0" fontId="6" fillId="0" borderId="2" xfId="0" applyFont="1" applyBorder="1" applyAlignment="1">
      <alignment horizontal="justify" vertical="center" wrapText="1"/>
    </xf>
    <xf numFmtId="178" fontId="4" fillId="0" borderId="4" xfId="0" applyNumberFormat="1" applyFont="1" applyBorder="1" applyAlignment="1">
      <alignment horizontal="justify" vertical="center" wrapText="1"/>
    </xf>
    <xf numFmtId="10" fontId="4" fillId="0" borderId="8" xfId="0" applyNumberFormat="1" applyFont="1" applyBorder="1" applyAlignment="1">
      <alignment vertical="center" wrapText="1"/>
    </xf>
    <xf numFmtId="3" fontId="4" fillId="0" borderId="8" xfId="0" applyNumberFormat="1" applyFont="1" applyBorder="1" applyAlignment="1">
      <alignment vertical="center" wrapText="1"/>
    </xf>
    <xf numFmtId="0" fontId="0" fillId="0" borderId="1" xfId="0" applyFont="1" applyFill="1" applyBorder="1" applyAlignment="1">
      <alignmen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2" xfId="0" applyFont="1" applyBorder="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30880-5F3F-4451-8560-8BB2F37BE735}">
  <dimension ref="B1:G16"/>
  <sheetViews>
    <sheetView tabSelected="1" workbookViewId="0">
      <selection activeCell="B16" sqref="B16"/>
    </sheetView>
  </sheetViews>
  <sheetFormatPr defaultRowHeight="14.4" x14ac:dyDescent="0.3"/>
  <cols>
    <col min="2" max="2" width="52.21875" bestFit="1" customWidth="1"/>
    <col min="3" max="3" width="20.21875" customWidth="1"/>
    <col min="4" max="7" width="19.109375" customWidth="1"/>
  </cols>
  <sheetData>
    <row r="1" spans="2:7" ht="15" thickBot="1" x14ac:dyDescent="0.35"/>
    <row r="2" spans="2:7" ht="29.4" thickBot="1" x14ac:dyDescent="0.35">
      <c r="B2" s="78"/>
      <c r="C2" s="78"/>
      <c r="D2" s="1" t="s">
        <v>1</v>
      </c>
      <c r="E2" s="1" t="s">
        <v>2</v>
      </c>
      <c r="F2" s="1" t="s">
        <v>3</v>
      </c>
      <c r="G2" s="1" t="s">
        <v>4</v>
      </c>
    </row>
    <row r="3" spans="2:7" ht="15" thickBot="1" x14ac:dyDescent="0.35">
      <c r="B3" s="78" t="s">
        <v>194</v>
      </c>
      <c r="C3" s="12" t="s">
        <v>177</v>
      </c>
      <c r="D3" s="87">
        <f>'Tables and Outputs'!D87</f>
        <v>17000000000</v>
      </c>
      <c r="E3" s="87">
        <f>'Tables and Outputs'!E87</f>
        <v>196000000000</v>
      </c>
      <c r="F3" s="87">
        <f>'Tables and Outputs'!F87</f>
        <v>478000000000</v>
      </c>
      <c r="G3" s="87">
        <f>'Tables and Outputs'!G87</f>
        <v>578000000000</v>
      </c>
    </row>
    <row r="4" spans="2:7" ht="15" thickBot="1" x14ac:dyDescent="0.35">
      <c r="B4" s="97" t="s">
        <v>227</v>
      </c>
      <c r="C4" s="12" t="s">
        <v>177</v>
      </c>
      <c r="D4" s="85">
        <f>'Tables and Outputs'!D91</f>
        <v>35000000000</v>
      </c>
      <c r="E4" s="85">
        <f>'Tables and Outputs'!E91</f>
        <v>35000000000</v>
      </c>
      <c r="F4" s="85">
        <f>'Tables and Outputs'!F91</f>
        <v>35000000000</v>
      </c>
      <c r="G4" s="85">
        <f>'Tables and Outputs'!G91</f>
        <v>35000000000</v>
      </c>
    </row>
    <row r="5" spans="2:7" ht="15" thickBot="1" x14ac:dyDescent="0.35">
      <c r="B5" s="78" t="s">
        <v>193</v>
      </c>
      <c r="C5" s="12" t="s">
        <v>177</v>
      </c>
      <c r="D5" s="86">
        <f>'Tables and Outputs'!D92</f>
        <v>0.20588235294117646</v>
      </c>
      <c r="E5" s="86">
        <f>'Tables and Outputs'!E92</f>
        <v>1.7857142857142856E-2</v>
      </c>
      <c r="F5" s="86">
        <f>'Tables and Outputs'!F92</f>
        <v>7.3221757322175732E-3</v>
      </c>
      <c r="G5" s="86">
        <f>'Tables and Outputs'!G92</f>
        <v>6.0553633217993079E-3</v>
      </c>
    </row>
    <row r="6" spans="2:7" ht="15" thickBot="1" x14ac:dyDescent="0.35">
      <c r="B6" s="78" t="s">
        <v>65</v>
      </c>
      <c r="C6" s="78" t="s">
        <v>64</v>
      </c>
      <c r="D6" s="82">
        <f>1*1000000000</f>
        <v>1000000000</v>
      </c>
      <c r="E6" s="82">
        <f>1*1000000000</f>
        <v>1000000000</v>
      </c>
      <c r="F6" s="82">
        <f t="shared" ref="F6:G6" si="0">1*1000000000</f>
        <v>1000000000</v>
      </c>
      <c r="G6" s="82">
        <f t="shared" si="0"/>
        <v>1000000000</v>
      </c>
    </row>
    <row r="7" spans="2:7" ht="15" thickBot="1" x14ac:dyDescent="0.35">
      <c r="B7" s="78" t="s">
        <v>200</v>
      </c>
      <c r="C7" s="12" t="s">
        <v>177</v>
      </c>
      <c r="D7" s="84">
        <f>'Tables and Outputs'!D106</f>
        <v>1440922.1902017291</v>
      </c>
      <c r="E7" s="84">
        <f>'Tables and Outputs'!E106</f>
        <v>1070663.8115631691</v>
      </c>
      <c r="F7" s="84">
        <f>'Tables and Outputs'!F106</f>
        <v>304599.45172098692</v>
      </c>
      <c r="G7" s="84">
        <f>'Tables and Outputs'!G106</f>
        <v>44243.872223697021</v>
      </c>
    </row>
    <row r="8" spans="2:7" ht="15" thickBot="1" x14ac:dyDescent="0.35">
      <c r="B8" s="78" t="s">
        <v>221</v>
      </c>
      <c r="C8" s="12" t="s">
        <v>177</v>
      </c>
      <c r="D8" s="84">
        <f>'Tables and Outputs'!D112</f>
        <v>8645533.1412103735</v>
      </c>
      <c r="E8" s="84">
        <f>'Tables and Outputs'!E112</f>
        <v>6423982.8693790156</v>
      </c>
      <c r="F8" s="84">
        <f>'Tables and Outputs'!F112</f>
        <v>1827596.7103259217</v>
      </c>
      <c r="G8" s="84">
        <f>'Tables and Outputs'!G112</f>
        <v>265463.23334218212</v>
      </c>
    </row>
    <row r="9" spans="2:7" ht="15" thickBot="1" x14ac:dyDescent="0.35">
      <c r="B9" s="20" t="s">
        <v>78</v>
      </c>
      <c r="C9" s="20" t="s">
        <v>178</v>
      </c>
      <c r="D9" s="72">
        <f>'Tables and Outputs'!D130</f>
        <v>4817080518.2621603</v>
      </c>
      <c r="E9" s="72">
        <f>'Tables and Outputs'!E130</f>
        <v>2852238845.6734467</v>
      </c>
      <c r="F9" s="72">
        <f>'Tables and Outputs'!F130</f>
        <v>2450558925.8586345</v>
      </c>
      <c r="G9" s="72">
        <f>'Tables and Outputs'!G130</f>
        <v>2192277387.3562026</v>
      </c>
    </row>
    <row r="10" spans="2:7" ht="15" thickBot="1" x14ac:dyDescent="0.35">
      <c r="B10" s="12" t="s">
        <v>197</v>
      </c>
      <c r="C10" s="12" t="s">
        <v>177</v>
      </c>
      <c r="D10" s="83">
        <f>'Tables and Outputs'!D140</f>
        <v>233043.23613070531</v>
      </c>
      <c r="E10" s="83">
        <f>'Tables and Outputs'!E140</f>
        <v>193971.94477040126</v>
      </c>
      <c r="F10" s="83">
        <f>'Tables and Outputs'!F140</f>
        <v>131064.82817727247</v>
      </c>
      <c r="G10" s="83">
        <f>'Tables and Outputs'!G140</f>
        <v>50866.23812834081</v>
      </c>
    </row>
    <row r="11" spans="2:7" ht="15" thickBot="1" x14ac:dyDescent="0.35">
      <c r="B11" s="12" t="s">
        <v>198</v>
      </c>
      <c r="C11" s="12" t="s">
        <v>177</v>
      </c>
      <c r="D11" s="84">
        <f>'Tables and Outputs'!D146</f>
        <v>581421618.55424273</v>
      </c>
      <c r="E11" s="84">
        <f>'Tables and Outputs'!E146</f>
        <v>411007617.66154367</v>
      </c>
      <c r="F11" s="84">
        <f>'Tables and Outputs'!F146</f>
        <v>378611354.04515904</v>
      </c>
      <c r="G11" s="84">
        <f>'Tables and Outputs'!G146</f>
        <v>406009772.13836873</v>
      </c>
    </row>
    <row r="12" spans="2:7" ht="15" thickBot="1" x14ac:dyDescent="0.35">
      <c r="B12" s="12" t="s">
        <v>95</v>
      </c>
      <c r="C12" s="12" t="s">
        <v>177</v>
      </c>
      <c r="D12" s="85">
        <f>'Tables and Outputs'!D153</f>
        <v>174582.25921112156</v>
      </c>
      <c r="E12" s="85">
        <f>'Tables and Outputs'!E153</f>
        <v>45892.475934469316</v>
      </c>
      <c r="F12" s="85">
        <f>'Tables and Outputs'!F153</f>
        <v>9419.40939770359</v>
      </c>
      <c r="G12" s="85">
        <f>'Tables and Outputs'!G153</f>
        <v>1978.0543262705012</v>
      </c>
    </row>
    <row r="13" spans="2:7" ht="15" thickBot="1" x14ac:dyDescent="0.35">
      <c r="B13" s="12" t="s">
        <v>199</v>
      </c>
      <c r="C13" s="12" t="s">
        <v>177</v>
      </c>
      <c r="D13" s="83">
        <f>'Tables and Outputs'!D161</f>
        <v>158517.07113800701</v>
      </c>
      <c r="E13" s="83">
        <f>'Tables and Outputs'!E161</f>
        <v>78516.48894023773</v>
      </c>
      <c r="F13" s="83">
        <f>'Tables and Outputs'!F161</f>
        <v>20773.508248860115</v>
      </c>
      <c r="G13" s="83">
        <f>'Tables and Outputs'!G161</f>
        <v>4431.9185027506774</v>
      </c>
    </row>
    <row r="14" spans="2:7" ht="15" thickBot="1" x14ac:dyDescent="0.35">
      <c r="B14" s="12" t="s">
        <v>196</v>
      </c>
      <c r="C14" s="12" t="s">
        <v>177</v>
      </c>
      <c r="D14" s="83">
        <f>'Tables and Outputs'!D173</f>
        <v>146360.3712932312</v>
      </c>
      <c r="E14" s="83">
        <f>'Tables and Outputs'!E173</f>
        <v>35338.582850567691</v>
      </c>
      <c r="F14" s="83">
        <f>'Tables and Outputs'!F173</f>
        <v>4976.2651061861243</v>
      </c>
      <c r="G14" s="83">
        <f>'Tables and Outputs'!G173</f>
        <v>1152.5937805175158</v>
      </c>
    </row>
    <row r="15" spans="2:7" x14ac:dyDescent="0.3">
      <c r="D15" s="70"/>
      <c r="E15" s="70"/>
      <c r="F15" s="70"/>
      <c r="G15" s="70"/>
    </row>
    <row r="16" spans="2:7" x14ac:dyDescent="0.3">
      <c r="D16" s="70"/>
      <c r="E16" s="70"/>
      <c r="F16" s="70"/>
      <c r="G16" s="7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9585-885E-4847-ABEC-AF9D3FA1A778}">
  <dimension ref="B1:U175"/>
  <sheetViews>
    <sheetView topLeftCell="A77" zoomScale="85" zoomScaleNormal="85" workbookViewId="0">
      <selection activeCell="B92" sqref="B92"/>
    </sheetView>
  </sheetViews>
  <sheetFormatPr defaultRowHeight="14.4" x14ac:dyDescent="0.3"/>
  <cols>
    <col min="2" max="2" width="46.5546875" customWidth="1"/>
    <col min="3" max="7" width="19.109375" customWidth="1"/>
    <col min="11" max="11" width="14.33203125" bestFit="1" customWidth="1"/>
    <col min="12" max="14" width="15.44140625" bestFit="1" customWidth="1"/>
  </cols>
  <sheetData>
    <row r="1" spans="2:7" ht="15" thickBot="1" x14ac:dyDescent="0.35">
      <c r="B1" t="s">
        <v>179</v>
      </c>
    </row>
    <row r="2" spans="2:7" ht="15" thickBot="1" x14ac:dyDescent="0.35">
      <c r="B2" s="12" t="s">
        <v>26</v>
      </c>
      <c r="C2" s="13" t="s">
        <v>27</v>
      </c>
      <c r="D2" s="13" t="s">
        <v>28</v>
      </c>
      <c r="E2" s="13" t="s">
        <v>29</v>
      </c>
      <c r="F2" s="13" t="s">
        <v>30</v>
      </c>
      <c r="G2" s="13" t="s">
        <v>31</v>
      </c>
    </row>
    <row r="3" spans="2:7" ht="15" thickBot="1" x14ac:dyDescent="0.35">
      <c r="B3" s="98" t="s">
        <v>32</v>
      </c>
      <c r="C3" s="99"/>
      <c r="D3" s="99"/>
      <c r="E3" s="99"/>
      <c r="F3" s="99"/>
      <c r="G3" s="100"/>
    </row>
    <row r="4" spans="2:7" ht="29.4" thickBot="1" x14ac:dyDescent="0.35">
      <c r="B4" s="5" t="s">
        <v>33</v>
      </c>
      <c r="C4" s="14">
        <v>144</v>
      </c>
      <c r="D4" s="15">
        <v>3388.67</v>
      </c>
      <c r="E4" s="15">
        <v>3885.53</v>
      </c>
      <c r="F4" s="14">
        <v>34.51</v>
      </c>
      <c r="G4" s="15">
        <v>16240.38</v>
      </c>
    </row>
    <row r="5" spans="2:7" ht="15" thickBot="1" x14ac:dyDescent="0.35">
      <c r="B5" s="98" t="s">
        <v>34</v>
      </c>
      <c r="C5" s="99"/>
      <c r="D5" s="99"/>
      <c r="E5" s="99"/>
      <c r="F5" s="99"/>
      <c r="G5" s="100"/>
    </row>
    <row r="6" spans="2:7" ht="15" thickBot="1" x14ac:dyDescent="0.35">
      <c r="B6" s="5" t="s">
        <v>35</v>
      </c>
      <c r="C6" s="14">
        <v>114</v>
      </c>
      <c r="D6" s="14">
        <v>61.69</v>
      </c>
      <c r="E6" s="14">
        <v>32.020000000000003</v>
      </c>
      <c r="F6" s="14">
        <v>1.28</v>
      </c>
      <c r="G6" s="14">
        <v>98.36</v>
      </c>
    </row>
    <row r="7" spans="2:7" ht="15" thickBot="1" x14ac:dyDescent="0.35">
      <c r="B7" s="98" t="s">
        <v>36</v>
      </c>
      <c r="C7" s="99"/>
      <c r="D7" s="99"/>
      <c r="E7" s="99"/>
      <c r="F7" s="99"/>
      <c r="G7" s="100"/>
    </row>
    <row r="8" spans="2:7" ht="15" thickBot="1" x14ac:dyDescent="0.35">
      <c r="B8" s="5" t="s">
        <v>37</v>
      </c>
      <c r="C8" s="14">
        <v>145</v>
      </c>
      <c r="D8" s="14">
        <v>0.05</v>
      </c>
      <c r="E8" s="14">
        <v>0.09</v>
      </c>
      <c r="F8" s="14">
        <v>0</v>
      </c>
      <c r="G8" s="14">
        <v>0.53</v>
      </c>
    </row>
    <row r="9" spans="2:7" ht="15" thickBot="1" x14ac:dyDescent="0.35">
      <c r="B9" s="5" t="s">
        <v>38</v>
      </c>
      <c r="C9" s="14">
        <v>183</v>
      </c>
      <c r="D9" s="14">
        <v>88.87</v>
      </c>
      <c r="E9" s="14">
        <v>17.87</v>
      </c>
      <c r="F9" s="14">
        <v>27.44</v>
      </c>
      <c r="G9" s="14">
        <v>121.66</v>
      </c>
    </row>
    <row r="10" spans="2:7" ht="15" thickBot="1" x14ac:dyDescent="0.35">
      <c r="B10" s="5" t="s">
        <v>39</v>
      </c>
      <c r="C10" s="14">
        <v>126</v>
      </c>
      <c r="D10" s="14">
        <v>37.380000000000003</v>
      </c>
      <c r="E10" s="14">
        <v>29.27</v>
      </c>
      <c r="F10" s="14">
        <v>7.68</v>
      </c>
      <c r="G10" s="14">
        <v>234.78</v>
      </c>
    </row>
    <row r="11" spans="2:7" ht="15" thickBot="1" x14ac:dyDescent="0.35">
      <c r="B11" s="5" t="s">
        <v>40</v>
      </c>
      <c r="C11" s="14">
        <v>71</v>
      </c>
      <c r="D11" s="14">
        <v>68.3</v>
      </c>
      <c r="E11" s="14">
        <v>33.119999999999997</v>
      </c>
      <c r="F11" s="14">
        <v>0.41</v>
      </c>
      <c r="G11" s="14">
        <v>99.22</v>
      </c>
    </row>
    <row r="12" spans="2:7" ht="15" thickBot="1" x14ac:dyDescent="0.35">
      <c r="B12" s="5" t="s">
        <v>41</v>
      </c>
      <c r="C12" s="14">
        <v>187</v>
      </c>
      <c r="D12" s="14">
        <v>8.01</v>
      </c>
      <c r="E12" s="14">
        <v>5.78</v>
      </c>
      <c r="F12" s="14">
        <v>0.34</v>
      </c>
      <c r="G12" s="14">
        <v>34.47</v>
      </c>
    </row>
    <row r="13" spans="2:7" ht="15" thickBot="1" x14ac:dyDescent="0.35">
      <c r="B13" s="5" t="s">
        <v>42</v>
      </c>
      <c r="C13" s="14">
        <v>152</v>
      </c>
      <c r="D13" s="14">
        <v>10.28</v>
      </c>
      <c r="E13" s="14">
        <v>8.4499999999999993</v>
      </c>
      <c r="F13" s="14">
        <v>0.12</v>
      </c>
      <c r="G13" s="14">
        <v>47.89</v>
      </c>
    </row>
    <row r="14" spans="2:7" ht="15" thickBot="1" x14ac:dyDescent="0.35">
      <c r="B14" s="5" t="s">
        <v>43</v>
      </c>
      <c r="C14" s="14">
        <v>187</v>
      </c>
      <c r="D14" s="14">
        <v>60.01</v>
      </c>
      <c r="E14" s="14">
        <v>36.770000000000003</v>
      </c>
      <c r="F14" s="14">
        <v>1.0900000000000001</v>
      </c>
      <c r="G14" s="14">
        <v>197.45</v>
      </c>
    </row>
    <row r="15" spans="2:7" ht="15" thickBot="1" x14ac:dyDescent="0.35">
      <c r="B15" s="5" t="s">
        <v>44</v>
      </c>
      <c r="C15" s="14">
        <v>186</v>
      </c>
      <c r="D15" s="14">
        <v>8.1</v>
      </c>
      <c r="E15" s="14">
        <v>11.2</v>
      </c>
      <c r="F15" s="14">
        <v>0.01</v>
      </c>
      <c r="G15" s="14">
        <v>58.93</v>
      </c>
    </row>
    <row r="16" spans="2:7" ht="15" thickBot="1" x14ac:dyDescent="0.35">
      <c r="B16" s="5" t="s">
        <v>45</v>
      </c>
      <c r="C16" s="14">
        <v>75</v>
      </c>
      <c r="D16" s="14">
        <v>21.03</v>
      </c>
      <c r="E16" s="14">
        <v>15.33</v>
      </c>
      <c r="F16" s="14">
        <v>1</v>
      </c>
      <c r="G16" s="14">
        <v>63.92</v>
      </c>
    </row>
    <row r="18" spans="2:7" ht="15" thickBot="1" x14ac:dyDescent="0.35">
      <c r="B18" s="57" t="s">
        <v>180</v>
      </c>
    </row>
    <row r="19" spans="2:7" ht="15" thickBot="1" x14ac:dyDescent="0.35">
      <c r="B19" s="12" t="s">
        <v>26</v>
      </c>
      <c r="C19" s="13" t="s">
        <v>27</v>
      </c>
      <c r="D19" s="13" t="s">
        <v>28</v>
      </c>
      <c r="E19" s="13" t="s">
        <v>29</v>
      </c>
      <c r="F19" s="13" t="s">
        <v>30</v>
      </c>
      <c r="G19" s="13" t="s">
        <v>31</v>
      </c>
    </row>
    <row r="20" spans="2:7" ht="15" thickBot="1" x14ac:dyDescent="0.35">
      <c r="B20" s="101" t="s">
        <v>46</v>
      </c>
      <c r="C20" s="102"/>
      <c r="D20" s="102"/>
      <c r="E20" s="102"/>
      <c r="F20" s="102"/>
      <c r="G20" s="103"/>
    </row>
    <row r="21" spans="2:7" ht="29.4" thickBot="1" x14ac:dyDescent="0.35">
      <c r="B21" s="5" t="s">
        <v>33</v>
      </c>
      <c r="C21" s="14">
        <v>20</v>
      </c>
      <c r="D21" s="14">
        <v>162.65</v>
      </c>
      <c r="E21" s="14">
        <v>71.86</v>
      </c>
      <c r="F21" s="14">
        <v>34.51</v>
      </c>
      <c r="G21" s="14">
        <v>335.59</v>
      </c>
    </row>
    <row r="22" spans="2:7" ht="15" thickBot="1" x14ac:dyDescent="0.35">
      <c r="B22" s="5" t="s">
        <v>35</v>
      </c>
      <c r="C22" s="14">
        <v>12</v>
      </c>
      <c r="D22" s="14">
        <v>5.33</v>
      </c>
      <c r="E22" s="14">
        <v>1.28</v>
      </c>
      <c r="F22" s="14">
        <v>17.2</v>
      </c>
      <c r="G22" s="14">
        <v>8.73</v>
      </c>
    </row>
    <row r="23" spans="2:7" ht="15" thickBot="1" x14ac:dyDescent="0.35">
      <c r="B23" s="101" t="s">
        <v>47</v>
      </c>
      <c r="C23" s="102"/>
      <c r="D23" s="102"/>
      <c r="E23" s="102"/>
      <c r="F23" s="102"/>
      <c r="G23" s="103"/>
    </row>
    <row r="24" spans="2:7" ht="29.4" thickBot="1" x14ac:dyDescent="0.35">
      <c r="B24" s="5" t="s">
        <v>33</v>
      </c>
      <c r="C24" s="14">
        <v>37</v>
      </c>
      <c r="D24" s="14">
        <v>627.29999999999995</v>
      </c>
      <c r="E24" s="14">
        <v>365.86</v>
      </c>
      <c r="F24" s="14">
        <v>174.46</v>
      </c>
      <c r="G24" s="15">
        <v>1725.32</v>
      </c>
    </row>
    <row r="25" spans="2:7" ht="15" thickBot="1" x14ac:dyDescent="0.35">
      <c r="B25" s="5" t="s">
        <v>35</v>
      </c>
      <c r="C25" s="14">
        <v>24</v>
      </c>
      <c r="D25" s="14">
        <v>39.85</v>
      </c>
      <c r="E25" s="14">
        <v>24.71</v>
      </c>
      <c r="F25" s="14">
        <v>5.07</v>
      </c>
      <c r="G25" s="14">
        <v>98.33</v>
      </c>
    </row>
    <row r="26" spans="2:7" ht="15" thickBot="1" x14ac:dyDescent="0.35">
      <c r="B26" s="101" t="s">
        <v>48</v>
      </c>
      <c r="C26" s="102"/>
      <c r="D26" s="102"/>
      <c r="E26" s="102"/>
      <c r="F26" s="102"/>
      <c r="G26" s="103"/>
    </row>
    <row r="27" spans="2:7" ht="29.4" thickBot="1" x14ac:dyDescent="0.35">
      <c r="B27" s="5" t="s">
        <v>33</v>
      </c>
      <c r="C27" s="14">
        <v>34</v>
      </c>
      <c r="D27" s="15">
        <v>2071.36</v>
      </c>
      <c r="E27" s="15">
        <v>1323.73</v>
      </c>
      <c r="F27" s="14">
        <v>623.13</v>
      </c>
      <c r="G27" s="15">
        <v>7267.64</v>
      </c>
    </row>
    <row r="28" spans="2:7" ht="15" thickBot="1" x14ac:dyDescent="0.35">
      <c r="B28" s="5" t="s">
        <v>35</v>
      </c>
      <c r="C28" s="14">
        <v>29</v>
      </c>
      <c r="D28" s="14">
        <v>60.51</v>
      </c>
      <c r="E28" s="14">
        <v>23.39</v>
      </c>
      <c r="F28" s="14">
        <v>19.260000000000002</v>
      </c>
      <c r="G28" s="14">
        <v>97.82</v>
      </c>
    </row>
    <row r="29" spans="2:7" ht="15" thickBot="1" x14ac:dyDescent="0.35">
      <c r="B29" s="101" t="s">
        <v>49</v>
      </c>
      <c r="C29" s="102"/>
      <c r="D29" s="102"/>
      <c r="E29" s="102"/>
      <c r="F29" s="102"/>
      <c r="G29" s="103"/>
    </row>
    <row r="30" spans="2:7" ht="29.4" thickBot="1" x14ac:dyDescent="0.35">
      <c r="B30" s="5" t="s">
        <v>33</v>
      </c>
      <c r="C30" s="14">
        <v>53</v>
      </c>
      <c r="D30" s="15">
        <v>7378.85</v>
      </c>
      <c r="E30" s="15">
        <v>3677.01</v>
      </c>
      <c r="F30" s="15">
        <v>1387.46</v>
      </c>
      <c r="G30" s="15">
        <v>16240.38</v>
      </c>
    </row>
    <row r="31" spans="2:7" ht="15" thickBot="1" x14ac:dyDescent="0.35">
      <c r="B31" s="5" t="s">
        <v>35</v>
      </c>
      <c r="C31" s="14">
        <v>49</v>
      </c>
      <c r="D31" s="14">
        <v>86.04</v>
      </c>
      <c r="E31" s="14">
        <v>15.8</v>
      </c>
      <c r="F31" s="14">
        <v>33.369999999999997</v>
      </c>
      <c r="G31" s="14">
        <v>98.36</v>
      </c>
    </row>
    <row r="32" spans="2:7" x14ac:dyDescent="0.3">
      <c r="B32" s="56" t="s">
        <v>125</v>
      </c>
    </row>
    <row r="33" spans="2:6" ht="15" thickBot="1" x14ac:dyDescent="0.35"/>
    <row r="34" spans="2:6" ht="29.4" thickBot="1" x14ac:dyDescent="0.35">
      <c r="B34" s="1"/>
      <c r="C34" s="3" t="s">
        <v>6</v>
      </c>
      <c r="D34" s="3" t="s">
        <v>143</v>
      </c>
      <c r="E34" s="13" t="s">
        <v>144</v>
      </c>
    </row>
    <row r="35" spans="2:6" ht="15" thickBot="1" x14ac:dyDescent="0.35">
      <c r="B35" s="55" t="s">
        <v>7</v>
      </c>
      <c r="C35" s="7" t="s">
        <v>8</v>
      </c>
      <c r="D35" s="14">
        <v>8.9</v>
      </c>
      <c r="E35" s="14">
        <v>8.9</v>
      </c>
    </row>
    <row r="36" spans="2:6" ht="15" thickBot="1" x14ac:dyDescent="0.35">
      <c r="B36" s="55" t="s">
        <v>9</v>
      </c>
      <c r="C36" s="7" t="s">
        <v>10</v>
      </c>
      <c r="D36" s="14">
        <v>173.61</v>
      </c>
      <c r="E36" s="14">
        <v>173.61</v>
      </c>
    </row>
    <row r="37" spans="2:6" ht="30.6" thickBot="1" x14ac:dyDescent="0.35">
      <c r="B37" s="55" t="s">
        <v>11</v>
      </c>
      <c r="C37" s="7" t="s">
        <v>145</v>
      </c>
      <c r="D37" s="14">
        <v>0.54</v>
      </c>
      <c r="E37" s="14">
        <v>0.42</v>
      </c>
    </row>
    <row r="38" spans="2:6" ht="29.4" thickBot="1" x14ac:dyDescent="0.35">
      <c r="B38" s="55" t="s">
        <v>12</v>
      </c>
      <c r="C38" s="7" t="s">
        <v>13</v>
      </c>
      <c r="D38" s="14">
        <v>0.11</v>
      </c>
      <c r="E38" s="14">
        <v>0.11</v>
      </c>
    </row>
    <row r="39" spans="2:6" ht="29.4" thickBot="1" x14ac:dyDescent="0.35">
      <c r="B39" s="55" t="s">
        <v>14</v>
      </c>
      <c r="C39" s="7" t="s">
        <v>15</v>
      </c>
      <c r="D39" s="14">
        <v>0.21</v>
      </c>
      <c r="E39" s="14">
        <v>0.27</v>
      </c>
    </row>
    <row r="40" spans="2:6" ht="29.4" thickBot="1" x14ac:dyDescent="0.35">
      <c r="B40" s="55" t="s">
        <v>16</v>
      </c>
      <c r="C40" s="7" t="s">
        <v>17</v>
      </c>
      <c r="D40" s="14">
        <v>36.04</v>
      </c>
      <c r="E40" s="14">
        <v>46.16</v>
      </c>
    </row>
    <row r="41" spans="2:6" ht="15" thickBot="1" x14ac:dyDescent="0.35">
      <c r="B41" s="55" t="s">
        <v>18</v>
      </c>
      <c r="C41" s="7" t="s">
        <v>19</v>
      </c>
      <c r="D41" s="63">
        <v>17729774</v>
      </c>
      <c r="E41" s="63">
        <v>17729774</v>
      </c>
    </row>
    <row r="42" spans="2:6" ht="29.4" thickBot="1" x14ac:dyDescent="0.35">
      <c r="B42" s="55" t="s">
        <v>20</v>
      </c>
      <c r="C42" s="7" t="s">
        <v>21</v>
      </c>
      <c r="D42" s="63">
        <v>638928929</v>
      </c>
      <c r="E42" s="63">
        <v>818396439</v>
      </c>
    </row>
    <row r="43" spans="2:6" ht="29.4" thickBot="1" x14ac:dyDescent="0.35">
      <c r="B43" s="55" t="s">
        <v>22</v>
      </c>
      <c r="C43" s="7" t="s">
        <v>23</v>
      </c>
      <c r="D43" s="63">
        <v>177298</v>
      </c>
      <c r="E43" s="63">
        <v>177298</v>
      </c>
    </row>
    <row r="44" spans="2:6" ht="15" thickBot="1" x14ac:dyDescent="0.35">
      <c r="B44" s="55" t="s">
        <v>24</v>
      </c>
      <c r="C44" s="7" t="s">
        <v>25</v>
      </c>
      <c r="D44" s="15">
        <v>3603.71</v>
      </c>
      <c r="E44" s="15">
        <v>4615.9399999999996</v>
      </c>
    </row>
    <row r="46" spans="2:6" ht="15" thickBot="1" x14ac:dyDescent="0.35"/>
    <row r="47" spans="2:6" ht="15" thickBot="1" x14ac:dyDescent="0.35">
      <c r="B47" s="1"/>
      <c r="C47" s="13" t="s">
        <v>46</v>
      </c>
      <c r="D47" s="13" t="s">
        <v>47</v>
      </c>
      <c r="E47" s="13" t="s">
        <v>48</v>
      </c>
      <c r="F47" s="13" t="s">
        <v>49</v>
      </c>
    </row>
    <row r="48" spans="2:6" ht="15" thickBot="1" x14ac:dyDescent="0.35">
      <c r="B48" s="16" t="s">
        <v>50</v>
      </c>
      <c r="C48" s="17" t="s">
        <v>51</v>
      </c>
      <c r="D48" s="17" t="s">
        <v>52</v>
      </c>
      <c r="E48" s="19">
        <v>11185</v>
      </c>
      <c r="F48" s="19">
        <v>37404</v>
      </c>
    </row>
    <row r="49" spans="2:7" ht="15" thickBot="1" x14ac:dyDescent="0.35">
      <c r="B49" s="16" t="s">
        <v>53</v>
      </c>
      <c r="C49" s="19">
        <v>4376</v>
      </c>
      <c r="D49" s="19">
        <v>5733</v>
      </c>
      <c r="E49" s="19">
        <v>14681</v>
      </c>
      <c r="F49" s="19">
        <v>53301</v>
      </c>
    </row>
    <row r="50" spans="2:7" ht="15" thickBot="1" x14ac:dyDescent="0.35">
      <c r="B50" s="16" t="s">
        <v>54</v>
      </c>
      <c r="C50" s="17" t="s">
        <v>55</v>
      </c>
      <c r="D50" s="17" t="s">
        <v>56</v>
      </c>
      <c r="E50" s="17" t="s">
        <v>57</v>
      </c>
      <c r="F50" s="19">
        <v>65414</v>
      </c>
    </row>
    <row r="51" spans="2:7" ht="15" thickBot="1" x14ac:dyDescent="0.35">
      <c r="B51" s="16" t="s">
        <v>58</v>
      </c>
      <c r="C51" s="17" t="s">
        <v>59</v>
      </c>
      <c r="D51" s="17" t="s">
        <v>60</v>
      </c>
      <c r="E51" s="17" t="s">
        <v>61</v>
      </c>
      <c r="F51" s="19">
        <v>127050</v>
      </c>
    </row>
    <row r="53" spans="2:7" ht="15" thickBot="1" x14ac:dyDescent="0.35"/>
    <row r="54" spans="2:7" ht="29.4" thickBot="1" x14ac:dyDescent="0.35">
      <c r="B54" s="12"/>
      <c r="C54" s="4" t="s">
        <v>0</v>
      </c>
      <c r="D54" s="27" t="s">
        <v>1</v>
      </c>
      <c r="E54" s="64" t="s">
        <v>2</v>
      </c>
      <c r="F54" s="64" t="s">
        <v>3</v>
      </c>
      <c r="G54" s="27" t="s">
        <v>4</v>
      </c>
    </row>
    <row r="55" spans="2:7" ht="29.4" thickBot="1" x14ac:dyDescent="0.35">
      <c r="B55" s="55" t="s">
        <v>146</v>
      </c>
      <c r="C55" s="7" t="s">
        <v>147</v>
      </c>
      <c r="D55" s="11">
        <v>4522</v>
      </c>
      <c r="E55" s="63">
        <v>6084</v>
      </c>
      <c r="F55" s="63">
        <v>16220</v>
      </c>
      <c r="G55" s="63">
        <v>65414</v>
      </c>
    </row>
    <row r="56" spans="2:7" ht="29.4" thickBot="1" x14ac:dyDescent="0.35">
      <c r="B56" s="55" t="s">
        <v>148</v>
      </c>
      <c r="C56" s="7" t="s">
        <v>149</v>
      </c>
      <c r="D56" s="7">
        <v>0.34</v>
      </c>
      <c r="E56" s="7">
        <v>0.59</v>
      </c>
      <c r="F56" s="7">
        <v>0.67500000000000004</v>
      </c>
      <c r="G56" s="7">
        <v>0.74</v>
      </c>
    </row>
    <row r="57" spans="2:7" ht="15" thickBot="1" x14ac:dyDescent="0.35">
      <c r="B57" s="54" t="s">
        <v>150</v>
      </c>
      <c r="C57" s="7" t="s">
        <v>151</v>
      </c>
      <c r="D57" s="63">
        <v>1539</v>
      </c>
      <c r="E57" s="63">
        <v>3592</v>
      </c>
      <c r="F57" s="63">
        <v>10942</v>
      </c>
      <c r="G57" s="63">
        <v>48399</v>
      </c>
    </row>
    <row r="59" spans="2:7" ht="15" thickBot="1" x14ac:dyDescent="0.35"/>
    <row r="60" spans="2:7" ht="29.4" thickBot="1" x14ac:dyDescent="0.35">
      <c r="B60" s="12"/>
      <c r="C60" s="4" t="s">
        <v>0</v>
      </c>
      <c r="D60" s="27" t="s">
        <v>1</v>
      </c>
      <c r="E60" s="64" t="s">
        <v>2</v>
      </c>
      <c r="F60" s="64" t="s">
        <v>3</v>
      </c>
      <c r="G60" s="27" t="s">
        <v>4</v>
      </c>
    </row>
    <row r="61" spans="2:7" ht="15" thickBot="1" x14ac:dyDescent="0.35">
      <c r="B61" s="54" t="s">
        <v>150</v>
      </c>
      <c r="C61" s="7" t="s">
        <v>152</v>
      </c>
      <c r="D61" s="63">
        <v>1539</v>
      </c>
      <c r="E61" s="63">
        <v>3592</v>
      </c>
      <c r="F61" s="63">
        <v>10942</v>
      </c>
      <c r="G61" s="63">
        <v>48399</v>
      </c>
    </row>
    <row r="62" spans="2:7" ht="29.4" thickBot="1" x14ac:dyDescent="0.35">
      <c r="B62" s="54" t="s">
        <v>153</v>
      </c>
      <c r="C62" s="7" t="s">
        <v>154</v>
      </c>
      <c r="D62" s="65">
        <v>0.45100000000000001</v>
      </c>
      <c r="E62" s="14" t="s">
        <v>155</v>
      </c>
      <c r="F62" s="65">
        <v>0.3</v>
      </c>
      <c r="G62" s="65">
        <v>0.46700000000000003</v>
      </c>
    </row>
    <row r="63" spans="2:7" ht="29.4" thickBot="1" x14ac:dyDescent="0.35">
      <c r="B63" s="55" t="s">
        <v>156</v>
      </c>
      <c r="C63" s="7" t="s">
        <v>157</v>
      </c>
      <c r="D63" s="14">
        <v>694</v>
      </c>
      <c r="E63" s="14">
        <v>934</v>
      </c>
      <c r="F63" s="63">
        <v>3283</v>
      </c>
      <c r="G63" s="63">
        <v>22602</v>
      </c>
    </row>
    <row r="65" spans="2:7" ht="15" thickBot="1" x14ac:dyDescent="0.35"/>
    <row r="66" spans="2:7" ht="29.4" thickBot="1" x14ac:dyDescent="0.35">
      <c r="B66" s="12"/>
      <c r="C66" s="27" t="s">
        <v>0</v>
      </c>
      <c r="D66" s="27" t="s">
        <v>1</v>
      </c>
      <c r="E66" s="64" t="s">
        <v>2</v>
      </c>
      <c r="F66" s="64" t="s">
        <v>3</v>
      </c>
      <c r="G66" s="27" t="s">
        <v>4</v>
      </c>
    </row>
    <row r="67" spans="2:7" ht="15" thickBot="1" x14ac:dyDescent="0.35">
      <c r="B67" s="66" t="s">
        <v>158</v>
      </c>
      <c r="C67" s="7" t="s">
        <v>159</v>
      </c>
      <c r="D67" s="65">
        <v>0.91100000000000003</v>
      </c>
      <c r="E67" s="65">
        <v>0.61399999999999999</v>
      </c>
      <c r="F67" s="65">
        <v>0.38900000000000001</v>
      </c>
      <c r="G67" s="65">
        <v>0.129</v>
      </c>
    </row>
    <row r="68" spans="2:7" ht="28.2" thickBot="1" x14ac:dyDescent="0.35">
      <c r="B68" s="66" t="s">
        <v>160</v>
      </c>
      <c r="C68" s="7" t="s">
        <v>161</v>
      </c>
      <c r="D68" s="65">
        <v>0.61399999999999999</v>
      </c>
      <c r="E68" s="65">
        <v>0.38900000000000001</v>
      </c>
      <c r="F68" s="65">
        <v>0.129</v>
      </c>
      <c r="G68" s="65">
        <v>0</v>
      </c>
    </row>
    <row r="69" spans="2:7" ht="28.2" thickBot="1" x14ac:dyDescent="0.35">
      <c r="B69" s="67" t="s">
        <v>156</v>
      </c>
      <c r="C69" s="7" t="s">
        <v>162</v>
      </c>
      <c r="D69" s="14">
        <v>694</v>
      </c>
      <c r="E69" s="14">
        <v>934</v>
      </c>
      <c r="F69" s="63">
        <v>3283</v>
      </c>
      <c r="G69" s="63">
        <v>22602</v>
      </c>
    </row>
    <row r="70" spans="2:7" ht="15" thickBot="1" x14ac:dyDescent="0.35">
      <c r="B70" s="54" t="s">
        <v>163</v>
      </c>
      <c r="C70" s="14" t="s">
        <v>164</v>
      </c>
      <c r="D70" s="63">
        <v>17729774</v>
      </c>
      <c r="E70" s="63">
        <v>58348937</v>
      </c>
      <c r="F70" s="63">
        <v>40448177</v>
      </c>
      <c r="G70" s="63">
        <v>13590964</v>
      </c>
    </row>
    <row r="71" spans="2:7" ht="28.2" thickBot="1" x14ac:dyDescent="0.35">
      <c r="B71" s="66" t="s">
        <v>165</v>
      </c>
      <c r="C71" s="68" t="s">
        <v>166</v>
      </c>
      <c r="D71" s="69">
        <v>3652430143</v>
      </c>
      <c r="E71" s="69">
        <v>12292629685</v>
      </c>
      <c r="F71" s="69">
        <v>34470301250</v>
      </c>
      <c r="G71" s="69">
        <v>39629490434</v>
      </c>
    </row>
    <row r="72" spans="2:7" ht="15" thickBot="1" x14ac:dyDescent="0.35"/>
    <row r="73" spans="2:7" ht="29.4" thickBot="1" x14ac:dyDescent="0.35">
      <c r="B73" s="12"/>
      <c r="C73" s="27" t="s">
        <v>0</v>
      </c>
      <c r="D73" s="27" t="s">
        <v>1</v>
      </c>
      <c r="E73" s="64" t="s">
        <v>2</v>
      </c>
      <c r="F73" s="64" t="s">
        <v>3</v>
      </c>
      <c r="G73" s="27" t="s">
        <v>4</v>
      </c>
    </row>
    <row r="74" spans="2:7" ht="15" thickBot="1" x14ac:dyDescent="0.35">
      <c r="B74" s="66" t="s">
        <v>158</v>
      </c>
      <c r="C74" s="7" t="s">
        <v>159</v>
      </c>
      <c r="D74" s="65">
        <v>0.91100000000000003</v>
      </c>
      <c r="E74" s="65">
        <v>0.61399999999999999</v>
      </c>
      <c r="F74" s="65">
        <v>0.38900000000000001</v>
      </c>
      <c r="G74" s="65">
        <v>0.129</v>
      </c>
    </row>
    <row r="75" spans="2:7" ht="28.2" thickBot="1" x14ac:dyDescent="0.35">
      <c r="B75" s="66" t="s">
        <v>160</v>
      </c>
      <c r="C75" s="7" t="s">
        <v>167</v>
      </c>
      <c r="D75" s="65">
        <v>1</v>
      </c>
      <c r="E75" s="65">
        <v>0.91100000000000003</v>
      </c>
      <c r="F75" s="65">
        <v>0.61399999999999999</v>
      </c>
      <c r="G75" s="65">
        <v>0.38900000000000001</v>
      </c>
    </row>
    <row r="76" spans="2:7" ht="28.2" thickBot="1" x14ac:dyDescent="0.35">
      <c r="B76" s="67" t="s">
        <v>168</v>
      </c>
      <c r="C76" s="7" t="s">
        <v>169</v>
      </c>
      <c r="D76" s="11">
        <v>2039</v>
      </c>
      <c r="E76" s="11">
        <v>1582</v>
      </c>
      <c r="F76" s="11">
        <v>4866</v>
      </c>
      <c r="G76" s="11">
        <v>30548</v>
      </c>
    </row>
    <row r="77" spans="2:7" ht="15" thickBot="1" x14ac:dyDescent="0.35">
      <c r="B77" s="54" t="s">
        <v>163</v>
      </c>
      <c r="C77" s="14" t="s">
        <v>164</v>
      </c>
      <c r="D77" s="63">
        <v>17729774</v>
      </c>
      <c r="E77" s="63">
        <v>58348937</v>
      </c>
      <c r="F77" s="63">
        <v>40448177</v>
      </c>
      <c r="G77" s="63">
        <v>13590964</v>
      </c>
    </row>
    <row r="78" spans="2:7" ht="28.2" thickBot="1" x14ac:dyDescent="0.35">
      <c r="B78" s="66" t="s">
        <v>170</v>
      </c>
      <c r="C78" s="68" t="s">
        <v>203</v>
      </c>
      <c r="D78" s="11">
        <v>3217439818</v>
      </c>
      <c r="E78" s="11">
        <v>27415481445</v>
      </c>
      <c r="F78" s="11">
        <v>44284686588</v>
      </c>
      <c r="G78" s="11">
        <v>107945959751</v>
      </c>
    </row>
    <row r="79" spans="2:7" ht="15" thickBot="1" x14ac:dyDescent="0.35"/>
    <row r="80" spans="2:7" ht="29.4" thickBot="1" x14ac:dyDescent="0.35">
      <c r="B80" s="12"/>
      <c r="C80" s="27" t="s">
        <v>0</v>
      </c>
      <c r="D80" s="27" t="s">
        <v>1</v>
      </c>
      <c r="E80" s="64" t="s">
        <v>2</v>
      </c>
      <c r="F80" s="64" t="s">
        <v>3</v>
      </c>
      <c r="G80" s="27" t="s">
        <v>4</v>
      </c>
    </row>
    <row r="81" spans="2:21" ht="29.4" thickBot="1" x14ac:dyDescent="0.35">
      <c r="B81" s="59" t="s">
        <v>181</v>
      </c>
      <c r="C81" s="7" t="s">
        <v>185</v>
      </c>
      <c r="D81" s="74">
        <f>D21</f>
        <v>162.65</v>
      </c>
      <c r="E81" s="74">
        <f>D24</f>
        <v>627.29999999999995</v>
      </c>
      <c r="F81" s="74">
        <f>D27</f>
        <v>2071.36</v>
      </c>
      <c r="G81" s="74">
        <f>D30</f>
        <v>7378.85</v>
      </c>
    </row>
    <row r="82" spans="2:21" ht="15" thickBot="1" x14ac:dyDescent="0.35">
      <c r="B82" s="66" t="s">
        <v>182</v>
      </c>
      <c r="C82" s="7" t="s">
        <v>186</v>
      </c>
      <c r="D82" s="73">
        <v>105909455</v>
      </c>
      <c r="E82" s="73">
        <v>312886767</v>
      </c>
      <c r="F82" s="73">
        <v>230766401</v>
      </c>
      <c r="G82" s="73">
        <v>78281049</v>
      </c>
      <c r="Q82" t="s">
        <v>192</v>
      </c>
      <c r="R82" s="37">
        <v>92243444</v>
      </c>
      <c r="S82" s="37">
        <v>330565711</v>
      </c>
      <c r="T82" s="37">
        <v>346289491</v>
      </c>
      <c r="U82" s="37">
        <v>229778895</v>
      </c>
    </row>
    <row r="83" spans="2:21" ht="15" thickBot="1" x14ac:dyDescent="0.35">
      <c r="B83" s="67" t="s">
        <v>184</v>
      </c>
      <c r="C83" s="7" t="s">
        <v>187</v>
      </c>
      <c r="D83" s="75">
        <f>D82*D81</f>
        <v>17226172855.75</v>
      </c>
      <c r="E83" s="75">
        <f t="shared" ref="E83:G83" si="0">E82*E81</f>
        <v>196273868939.09998</v>
      </c>
      <c r="F83" s="75">
        <f t="shared" si="0"/>
        <v>478000292375.36005</v>
      </c>
      <c r="G83" s="75">
        <f t="shared" si="0"/>
        <v>577624118413.65002</v>
      </c>
      <c r="Q83" t="s">
        <v>191</v>
      </c>
      <c r="R83" s="37">
        <v>54613210</v>
      </c>
      <c r="S83" s="37">
        <v>212332649</v>
      </c>
      <c r="T83" s="37">
        <v>212104209</v>
      </c>
      <c r="U83" s="37">
        <v>67997236</v>
      </c>
    </row>
    <row r="84" spans="2:21" x14ac:dyDescent="0.3">
      <c r="B84" s="50" t="s">
        <v>183</v>
      </c>
      <c r="R84">
        <f>D81*R82</f>
        <v>15003396166.6</v>
      </c>
      <c r="S84">
        <f>E81*S82</f>
        <v>207363870510.29999</v>
      </c>
      <c r="T84">
        <f>F81*T82</f>
        <v>717290200077.76001</v>
      </c>
      <c r="U84">
        <f>G81*U82</f>
        <v>1695503999370.75</v>
      </c>
    </row>
    <row r="85" spans="2:21" ht="15" thickBot="1" x14ac:dyDescent="0.35">
      <c r="B85" s="50"/>
      <c r="R85">
        <f>R83*D81</f>
        <v>8882838606.5</v>
      </c>
      <c r="S85">
        <f>S83*E81</f>
        <v>133196270717.7</v>
      </c>
      <c r="T85">
        <f>T83*F81</f>
        <v>439344174354.24005</v>
      </c>
      <c r="U85">
        <f>U83*G81</f>
        <v>501741404858.60004</v>
      </c>
    </row>
    <row r="86" spans="2:21" ht="29.4" thickBot="1" x14ac:dyDescent="0.35">
      <c r="B86" s="12"/>
      <c r="C86" s="20" t="s">
        <v>0</v>
      </c>
      <c r="D86" s="20" t="s">
        <v>1</v>
      </c>
      <c r="E86" s="76" t="s">
        <v>2</v>
      </c>
      <c r="F86" s="76" t="s">
        <v>3</v>
      </c>
      <c r="G86" s="20" t="s">
        <v>4</v>
      </c>
    </row>
    <row r="87" spans="2:21" ht="15" thickBot="1" x14ac:dyDescent="0.35">
      <c r="B87" s="77" t="s">
        <v>188</v>
      </c>
      <c r="C87" s="78" t="s">
        <v>201</v>
      </c>
      <c r="D87" s="79">
        <f>ROUND(D83,-9)</f>
        <v>17000000000</v>
      </c>
      <c r="E87" s="79">
        <f t="shared" ref="E87:G87" si="1">ROUND(E83,-9)</f>
        <v>196000000000</v>
      </c>
      <c r="F87" s="79">
        <f t="shared" si="1"/>
        <v>478000000000</v>
      </c>
      <c r="G87" s="79">
        <f t="shared" si="1"/>
        <v>578000000000</v>
      </c>
    </row>
    <row r="88" spans="2:21" ht="15" thickBot="1" x14ac:dyDescent="0.35">
      <c r="B88" s="77" t="s">
        <v>189</v>
      </c>
      <c r="C88" s="78" t="s">
        <v>202</v>
      </c>
      <c r="D88" s="80">
        <v>3500000000</v>
      </c>
      <c r="E88" s="80">
        <v>12500000000</v>
      </c>
      <c r="F88" s="80">
        <v>34500000000</v>
      </c>
      <c r="G88" s="80">
        <v>39500000000</v>
      </c>
    </row>
    <row r="89" spans="2:21" ht="15" thickBot="1" x14ac:dyDescent="0.35">
      <c r="B89" s="77" t="s">
        <v>190</v>
      </c>
      <c r="C89" s="78" t="s">
        <v>204</v>
      </c>
      <c r="D89" s="80">
        <f>ROUND(D78,-9)</f>
        <v>3000000000</v>
      </c>
      <c r="E89" s="80">
        <f t="shared" ref="E89:G89" si="2">ROUND(E78,-9)</f>
        <v>27000000000</v>
      </c>
      <c r="F89" s="80">
        <f t="shared" si="2"/>
        <v>44000000000</v>
      </c>
      <c r="G89" s="80">
        <f t="shared" si="2"/>
        <v>108000000000</v>
      </c>
    </row>
    <row r="90" spans="2:21" ht="29.4" thickBot="1" x14ac:dyDescent="0.35">
      <c r="B90" s="97" t="s">
        <v>224</v>
      </c>
      <c r="C90" s="88" t="s">
        <v>223</v>
      </c>
      <c r="D90" s="80">
        <f>MIN(D88:G88)</f>
        <v>3500000000</v>
      </c>
      <c r="E90" s="80">
        <f>MIN(D88:G88)</f>
        <v>3500000000</v>
      </c>
      <c r="F90" s="80">
        <f>MIN(D88:G88)</f>
        <v>3500000000</v>
      </c>
      <c r="G90" s="80">
        <f>MIN(D88:G88)</f>
        <v>3500000000</v>
      </c>
    </row>
    <row r="91" spans="2:21" ht="15" thickBot="1" x14ac:dyDescent="0.35">
      <c r="B91" s="97" t="s">
        <v>227</v>
      </c>
      <c r="C91" s="88" t="s">
        <v>225</v>
      </c>
      <c r="D91" s="80">
        <f>D90*10</f>
        <v>35000000000</v>
      </c>
      <c r="E91" s="80">
        <f t="shared" ref="E91:G91" si="3">E90*10</f>
        <v>35000000000</v>
      </c>
      <c r="F91" s="80">
        <f t="shared" si="3"/>
        <v>35000000000</v>
      </c>
      <c r="G91" s="80">
        <f t="shared" si="3"/>
        <v>35000000000</v>
      </c>
    </row>
    <row r="92" spans="2:21" ht="15" thickBot="1" x14ac:dyDescent="0.35">
      <c r="B92" s="78" t="s">
        <v>176</v>
      </c>
      <c r="C92" s="78" t="s">
        <v>226</v>
      </c>
      <c r="D92" s="81">
        <f>D90/D87</f>
        <v>0.20588235294117646</v>
      </c>
      <c r="E92" s="81">
        <f t="shared" ref="E92:G92" si="4">E90/E87</f>
        <v>1.7857142857142856E-2</v>
      </c>
      <c r="F92" s="81">
        <f t="shared" si="4"/>
        <v>7.3221757322175732E-3</v>
      </c>
      <c r="G92" s="81">
        <f t="shared" si="4"/>
        <v>6.0553633217993079E-3</v>
      </c>
    </row>
    <row r="94" spans="2:21" ht="15" thickBot="1" x14ac:dyDescent="0.35"/>
    <row r="95" spans="2:21" ht="29.4" thickBot="1" x14ac:dyDescent="0.35">
      <c r="B95" s="1"/>
      <c r="C95" s="3" t="s">
        <v>0</v>
      </c>
      <c r="D95" s="4" t="s">
        <v>1</v>
      </c>
      <c r="E95" s="93" t="s">
        <v>2</v>
      </c>
      <c r="F95" s="93" t="s">
        <v>3</v>
      </c>
      <c r="G95" s="4" t="s">
        <v>4</v>
      </c>
    </row>
    <row r="96" spans="2:21" ht="29.4" thickBot="1" x14ac:dyDescent="0.35">
      <c r="B96" s="91" t="s">
        <v>5</v>
      </c>
      <c r="C96" s="7" t="s">
        <v>212</v>
      </c>
      <c r="D96" s="48">
        <v>118.52</v>
      </c>
      <c r="E96" s="48">
        <v>397.95</v>
      </c>
      <c r="F96" s="48">
        <v>1885.74</v>
      </c>
      <c r="G96" s="48">
        <v>8084.6</v>
      </c>
    </row>
    <row r="97" spans="2:7" ht="29.4" thickBot="1" x14ac:dyDescent="0.35">
      <c r="B97" s="91" t="s">
        <v>210</v>
      </c>
      <c r="C97" s="7" t="s">
        <v>213</v>
      </c>
      <c r="D97" s="8">
        <v>0.752</v>
      </c>
      <c r="E97" s="8">
        <v>0.85199999999999998</v>
      </c>
      <c r="F97" s="8">
        <v>0.876</v>
      </c>
      <c r="G97" s="8">
        <v>0.97299999999999998</v>
      </c>
    </row>
    <row r="98" spans="2:7" ht="29.4" thickBot="1" x14ac:dyDescent="0.35">
      <c r="B98" s="91" t="s">
        <v>211</v>
      </c>
      <c r="C98" s="7" t="s">
        <v>214</v>
      </c>
      <c r="D98" s="48">
        <f>D96*D97</f>
        <v>89.127039999999994</v>
      </c>
      <c r="E98" s="48">
        <f t="shared" ref="E98:G98" si="5">E96*E97</f>
        <v>339.05340000000001</v>
      </c>
      <c r="F98" s="48">
        <f t="shared" si="5"/>
        <v>1651.90824</v>
      </c>
      <c r="G98" s="48">
        <f t="shared" si="5"/>
        <v>7866.3158000000003</v>
      </c>
    </row>
    <row r="99" spans="2:7" ht="15" thickBot="1" x14ac:dyDescent="0.35"/>
    <row r="100" spans="2:7" ht="29.4" thickBot="1" x14ac:dyDescent="0.35">
      <c r="B100" s="78"/>
      <c r="C100" s="78"/>
      <c r="D100" s="1" t="s">
        <v>1</v>
      </c>
      <c r="E100" s="1" t="s">
        <v>2</v>
      </c>
      <c r="F100" s="1" t="s">
        <v>3</v>
      </c>
      <c r="G100" s="1" t="s">
        <v>4</v>
      </c>
    </row>
    <row r="101" spans="2:7" ht="15" thickBot="1" x14ac:dyDescent="0.35">
      <c r="B101" s="78" t="s">
        <v>65</v>
      </c>
      <c r="C101" s="78" t="s">
        <v>64</v>
      </c>
      <c r="D101" s="82">
        <f>Summary!D6</f>
        <v>1000000000</v>
      </c>
      <c r="E101" s="82">
        <f>Summary!E6</f>
        <v>1000000000</v>
      </c>
      <c r="F101" s="82">
        <f>Summary!F6</f>
        <v>1000000000</v>
      </c>
      <c r="G101" s="82">
        <f>Summary!G6</f>
        <v>1000000000</v>
      </c>
    </row>
    <row r="102" spans="2:7" ht="15" thickBot="1" x14ac:dyDescent="0.35">
      <c r="B102" s="23"/>
      <c r="C102" s="23"/>
    </row>
    <row r="103" spans="2:7" ht="29.4" thickBot="1" x14ac:dyDescent="0.35">
      <c r="B103" s="12"/>
      <c r="C103" s="20" t="s">
        <v>0</v>
      </c>
      <c r="D103" s="20" t="s">
        <v>1</v>
      </c>
      <c r="E103" s="76" t="s">
        <v>2</v>
      </c>
      <c r="F103" s="76" t="s">
        <v>3</v>
      </c>
      <c r="G103" s="20" t="s">
        <v>4</v>
      </c>
    </row>
    <row r="104" spans="2:7" ht="15" thickBot="1" x14ac:dyDescent="0.35">
      <c r="B104" s="78" t="s">
        <v>205</v>
      </c>
      <c r="C104" s="78" t="s">
        <v>162</v>
      </c>
      <c r="D104" s="80">
        <f>D69</f>
        <v>694</v>
      </c>
      <c r="E104" s="80">
        <f>E69</f>
        <v>934</v>
      </c>
      <c r="F104" s="80">
        <f>F69</f>
        <v>3283</v>
      </c>
      <c r="G104" s="80">
        <f>G69</f>
        <v>22602</v>
      </c>
    </row>
    <row r="105" spans="2:7" ht="15" thickBot="1" x14ac:dyDescent="0.35">
      <c r="B105" s="78" t="s">
        <v>206</v>
      </c>
      <c r="C105" s="78" t="s">
        <v>207</v>
      </c>
      <c r="D105" s="80">
        <f>D76</f>
        <v>2039</v>
      </c>
      <c r="E105" s="80">
        <f>E76</f>
        <v>1582</v>
      </c>
      <c r="F105" s="80">
        <f>F76</f>
        <v>4866</v>
      </c>
      <c r="G105" s="80">
        <f>G76</f>
        <v>30548</v>
      </c>
    </row>
    <row r="106" spans="2:7" ht="29.4" thickBot="1" x14ac:dyDescent="0.35">
      <c r="B106" s="78" t="s">
        <v>200</v>
      </c>
      <c r="C106" s="88" t="s">
        <v>209</v>
      </c>
      <c r="D106" s="90">
        <f>IF(D101&gt;=0,D101/D104,IF(D101&lt;0,D101/D105,0))</f>
        <v>1440922.1902017291</v>
      </c>
      <c r="E106" s="90">
        <f t="shared" ref="E106:G106" si="6">IF(E101&gt;=0,E101/E104,IF(E101&lt;0,E101/E105,0))</f>
        <v>1070663.8115631691</v>
      </c>
      <c r="F106" s="90">
        <f t="shared" si="6"/>
        <v>304599.45172098692</v>
      </c>
      <c r="G106" s="90">
        <f t="shared" si="6"/>
        <v>44243.872223697021</v>
      </c>
    </row>
    <row r="107" spans="2:7" ht="15" thickBot="1" x14ac:dyDescent="0.35"/>
    <row r="108" spans="2:7" ht="29.4" thickBot="1" x14ac:dyDescent="0.35">
      <c r="B108" s="12"/>
      <c r="C108" s="20" t="s">
        <v>0</v>
      </c>
      <c r="D108" s="20" t="s">
        <v>1</v>
      </c>
      <c r="E108" s="76" t="s">
        <v>2</v>
      </c>
      <c r="F108" s="76" t="s">
        <v>3</v>
      </c>
      <c r="G108" s="20" t="s">
        <v>4</v>
      </c>
    </row>
    <row r="109" spans="2:7" ht="29.4" thickBot="1" x14ac:dyDescent="0.35">
      <c r="B109" s="59" t="s">
        <v>156</v>
      </c>
      <c r="C109" s="78" t="s">
        <v>162</v>
      </c>
      <c r="D109" s="80">
        <f>D63</f>
        <v>694</v>
      </c>
      <c r="E109" s="80">
        <f t="shared" ref="E109:G109" si="7">E63</f>
        <v>934</v>
      </c>
      <c r="F109" s="80">
        <f t="shared" si="7"/>
        <v>3283</v>
      </c>
      <c r="G109" s="80">
        <f t="shared" si="7"/>
        <v>22602</v>
      </c>
    </row>
    <row r="110" spans="2:7" ht="15" thickBot="1" x14ac:dyDescent="0.35">
      <c r="B110" s="78" t="s">
        <v>218</v>
      </c>
      <c r="C110" s="78" t="s">
        <v>219</v>
      </c>
      <c r="D110" s="80">
        <v>6</v>
      </c>
      <c r="E110" s="80">
        <v>6</v>
      </c>
      <c r="F110" s="80">
        <v>6</v>
      </c>
      <c r="G110" s="80">
        <v>6</v>
      </c>
    </row>
    <row r="111" spans="2:7" ht="29.4" thickBot="1" x14ac:dyDescent="0.35">
      <c r="B111" s="59" t="s">
        <v>222</v>
      </c>
      <c r="C111" s="78" t="s">
        <v>220</v>
      </c>
      <c r="D111" s="80">
        <f>D109/D110</f>
        <v>115.66666666666667</v>
      </c>
      <c r="E111" s="80">
        <f t="shared" ref="E111:G111" si="8">E109/E110</f>
        <v>155.66666666666666</v>
      </c>
      <c r="F111" s="80">
        <f t="shared" si="8"/>
        <v>547.16666666666663</v>
      </c>
      <c r="G111" s="80">
        <f t="shared" si="8"/>
        <v>3767</v>
      </c>
    </row>
    <row r="112" spans="2:7" ht="15" thickBot="1" x14ac:dyDescent="0.35">
      <c r="B112" s="78" t="s">
        <v>221</v>
      </c>
      <c r="C112" s="78" t="s">
        <v>219</v>
      </c>
      <c r="D112" s="80">
        <f>D101/D111</f>
        <v>8645533.1412103735</v>
      </c>
      <c r="E112" s="80">
        <f t="shared" ref="E112:G112" si="9">E101/E111</f>
        <v>6423982.8693790156</v>
      </c>
      <c r="F112" s="80">
        <f t="shared" si="9"/>
        <v>1827596.7103259217</v>
      </c>
      <c r="G112" s="80">
        <f t="shared" si="9"/>
        <v>265463.23334218212</v>
      </c>
    </row>
    <row r="113" spans="2:7" ht="15" thickBot="1" x14ac:dyDescent="0.35"/>
    <row r="114" spans="2:7" ht="29.4" thickBot="1" x14ac:dyDescent="0.35">
      <c r="B114" s="1" t="s">
        <v>62</v>
      </c>
      <c r="C114" s="3" t="s">
        <v>0</v>
      </c>
      <c r="D114" s="3" t="s">
        <v>1</v>
      </c>
      <c r="E114" s="3" t="s">
        <v>2</v>
      </c>
      <c r="F114" s="3" t="s">
        <v>3</v>
      </c>
      <c r="G114" s="3" t="s">
        <v>4</v>
      </c>
    </row>
    <row r="115" spans="2:7" ht="15" thickBot="1" x14ac:dyDescent="0.35">
      <c r="B115" s="5" t="s">
        <v>63</v>
      </c>
      <c r="C115" s="7" t="s">
        <v>208</v>
      </c>
      <c r="D115" s="9">
        <f>D101/D98</f>
        <v>11219939.537989818</v>
      </c>
      <c r="E115" s="9">
        <f>E101/E98</f>
        <v>2949387.9135263059</v>
      </c>
      <c r="F115" s="9">
        <f>F101/F98</f>
        <v>605360.50113776291</v>
      </c>
      <c r="G115" s="9">
        <f>G101/G98</f>
        <v>127124.31402766718</v>
      </c>
    </row>
    <row r="117" spans="2:7" ht="15" thickBot="1" x14ac:dyDescent="0.35"/>
    <row r="118" spans="2:7" ht="29.4" thickBot="1" x14ac:dyDescent="0.35">
      <c r="B118" s="2" t="s">
        <v>66</v>
      </c>
      <c r="C118" s="4" t="s">
        <v>0</v>
      </c>
      <c r="D118" s="4" t="s">
        <v>1</v>
      </c>
      <c r="E118" s="4" t="s">
        <v>2</v>
      </c>
      <c r="F118" s="4" t="s">
        <v>3</v>
      </c>
      <c r="G118" s="4" t="s">
        <v>4</v>
      </c>
    </row>
    <row r="119" spans="2:7" ht="29.4" thickBot="1" x14ac:dyDescent="0.35">
      <c r="B119" s="5" t="s">
        <v>215</v>
      </c>
      <c r="C119" s="7" t="s">
        <v>67</v>
      </c>
      <c r="D119" s="10">
        <f>D115</f>
        <v>11219939.537989818</v>
      </c>
      <c r="E119" s="10">
        <f t="shared" ref="E119:G119" si="10">E115</f>
        <v>2949387.9135263059</v>
      </c>
      <c r="F119" s="10">
        <f t="shared" si="10"/>
        <v>605360.50113776291</v>
      </c>
      <c r="G119" s="10">
        <f t="shared" si="10"/>
        <v>127124.31402766718</v>
      </c>
    </row>
    <row r="120" spans="2:7" ht="15" thickBot="1" x14ac:dyDescent="0.35">
      <c r="B120" s="6" t="s">
        <v>68</v>
      </c>
      <c r="C120" s="14" t="s">
        <v>69</v>
      </c>
      <c r="D120" s="26">
        <v>668454965</v>
      </c>
      <c r="E120" s="26">
        <v>2913363391</v>
      </c>
      <c r="F120" s="26">
        <v>2855862780</v>
      </c>
      <c r="G120" s="26">
        <v>1235852838</v>
      </c>
    </row>
    <row r="121" spans="2:7" ht="15" thickBot="1" x14ac:dyDescent="0.35">
      <c r="B121" s="6" t="s">
        <v>70</v>
      </c>
      <c r="C121" s="14" t="s">
        <v>71</v>
      </c>
      <c r="D121" s="31">
        <f>D119/D120</f>
        <v>1.6784884734889833E-2</v>
      </c>
      <c r="E121" s="31">
        <f t="shared" ref="E121:G121" si="11">E119/E120</f>
        <v>1.012365269172254E-3</v>
      </c>
      <c r="F121" s="31">
        <f t="shared" si="11"/>
        <v>2.1197114419403684E-4</v>
      </c>
      <c r="G121" s="31">
        <f t="shared" si="11"/>
        <v>1.0286363401761851E-4</v>
      </c>
    </row>
    <row r="122" spans="2:7" ht="29.4" thickBot="1" x14ac:dyDescent="0.35">
      <c r="B122" s="6" t="s">
        <v>72</v>
      </c>
      <c r="C122" s="14" t="s">
        <v>73</v>
      </c>
      <c r="D122" s="31">
        <f>0.894*D121</f>
        <v>1.5005686952991511E-2</v>
      </c>
      <c r="E122" s="31">
        <f t="shared" ref="E122:G122" si="12">0.894*E121</f>
        <v>9.0505455063999516E-4</v>
      </c>
      <c r="F122" s="31">
        <f t="shared" si="12"/>
        <v>1.8950220290946893E-4</v>
      </c>
      <c r="G122" s="31">
        <f t="shared" si="12"/>
        <v>9.1960088811750957E-5</v>
      </c>
    </row>
    <row r="123" spans="2:7" ht="15" thickBot="1" x14ac:dyDescent="0.35">
      <c r="B123" s="6" t="s">
        <v>74</v>
      </c>
      <c r="C123" s="14" t="s">
        <v>75</v>
      </c>
      <c r="D123" s="30">
        <v>810.09500000000003</v>
      </c>
      <c r="E123" s="30">
        <v>2174.44</v>
      </c>
      <c r="F123" s="30">
        <v>9036.7649999999994</v>
      </c>
      <c r="G123" s="30">
        <v>44617.476999999999</v>
      </c>
    </row>
    <row r="124" spans="2:7" ht="15" thickBot="1" x14ac:dyDescent="0.35">
      <c r="B124" s="6" t="s">
        <v>122</v>
      </c>
      <c r="C124" s="14" t="s">
        <v>121</v>
      </c>
      <c r="D124" s="45">
        <v>2.152683138719658E-2</v>
      </c>
      <c r="E124" s="45">
        <v>1.8107628281643643E-2</v>
      </c>
      <c r="F124" s="45">
        <v>2.0565012052548681E-2</v>
      </c>
      <c r="G124" s="45">
        <v>1.4548736028297512E-2</v>
      </c>
    </row>
    <row r="125" spans="2:7" ht="29.4" thickBot="1" x14ac:dyDescent="0.35">
      <c r="B125" s="6" t="s">
        <v>76</v>
      </c>
      <c r="C125" s="14" t="s">
        <v>118</v>
      </c>
      <c r="D125" s="48">
        <f>'GDP NPV Calculation'!D17</f>
        <v>7.2062902820419028</v>
      </c>
      <c r="E125" s="48">
        <f>'GDP NPV Calculation'!D29</f>
        <v>0.97901925124913014</v>
      </c>
      <c r="F125" s="48">
        <f>'GDP NPV Calculation'!D41</f>
        <v>0.85808006708873963</v>
      </c>
      <c r="G125" s="48">
        <f>'GDP NPV Calculation'!D53</f>
        <v>1.773898412454997</v>
      </c>
    </row>
    <row r="126" spans="2:7" ht="43.8" thickBot="1" x14ac:dyDescent="0.35">
      <c r="B126" s="6" t="s">
        <v>77</v>
      </c>
      <c r="C126" s="14" t="s">
        <v>119</v>
      </c>
      <c r="D126" s="48">
        <f>'GDP NPV Calculation'!D18</f>
        <v>4.8170805182621601</v>
      </c>
      <c r="E126" s="48">
        <f>'GDP NPV Calculation'!D30</f>
        <v>2.8522388456734467</v>
      </c>
      <c r="F126" s="48">
        <f>'GDP NPV Calculation'!D42</f>
        <v>2.4505589258586347</v>
      </c>
      <c r="G126" s="48">
        <f>'GDP NPV Calculation'!D54</f>
        <v>2.1922773873562025</v>
      </c>
    </row>
    <row r="127" spans="2:7" ht="26.4" customHeight="1" thickBot="1" x14ac:dyDescent="0.35">
      <c r="B127" s="6" t="s">
        <v>78</v>
      </c>
      <c r="C127" s="14" t="s">
        <v>120</v>
      </c>
      <c r="D127" s="26">
        <f>'GDP NPV Calculation'!D19</f>
        <v>4817080518.2621603</v>
      </c>
      <c r="E127" s="26">
        <f>'GDP NPV Calculation'!D31</f>
        <v>2852238845.6734467</v>
      </c>
      <c r="F127" s="26">
        <f>'GDP NPV Calculation'!D43</f>
        <v>2450558925.8586345</v>
      </c>
      <c r="G127" s="26">
        <f>'GDP NPV Calculation'!D55</f>
        <v>2192277387.3562026</v>
      </c>
    </row>
    <row r="128" spans="2:7" ht="60.6" customHeight="1" thickBot="1" x14ac:dyDescent="0.35">
      <c r="B128" s="106" t="s">
        <v>175</v>
      </c>
      <c r="C128" s="107"/>
      <c r="D128" s="107"/>
      <c r="E128" s="107"/>
      <c r="F128" s="107"/>
      <c r="G128" s="108"/>
    </row>
    <row r="129" spans="2:7" ht="42" customHeight="1" thickBot="1" x14ac:dyDescent="0.35">
      <c r="B129" s="20" t="s">
        <v>172</v>
      </c>
      <c r="C129" s="20" t="s">
        <v>173</v>
      </c>
      <c r="D129" s="71">
        <v>4.8170805182621601</v>
      </c>
      <c r="E129" s="71">
        <v>2.8522388456734467</v>
      </c>
      <c r="F129" s="71">
        <v>2.4505589258586347</v>
      </c>
      <c r="G129" s="71">
        <v>2.1922773873562025</v>
      </c>
    </row>
    <row r="130" spans="2:7" ht="26.4" customHeight="1" thickBot="1" x14ac:dyDescent="0.35">
      <c r="B130" s="20" t="s">
        <v>78</v>
      </c>
      <c r="C130" s="20" t="s">
        <v>174</v>
      </c>
      <c r="D130" s="72">
        <f>D101*D129</f>
        <v>4817080518.2621603</v>
      </c>
      <c r="E130" s="72">
        <f t="shared" ref="E130:G130" si="13">E101*E129</f>
        <v>2852238845.6734467</v>
      </c>
      <c r="F130" s="72">
        <f t="shared" si="13"/>
        <v>2450558925.8586345</v>
      </c>
      <c r="G130" s="72">
        <f t="shared" si="13"/>
        <v>2192277387.3562026</v>
      </c>
    </row>
    <row r="132" spans="2:7" ht="15" thickBot="1" x14ac:dyDescent="0.35"/>
    <row r="133" spans="2:7" ht="29.4" thickBot="1" x14ac:dyDescent="0.35">
      <c r="B133" s="20"/>
      <c r="C133" s="4" t="s">
        <v>0</v>
      </c>
      <c r="D133" s="27" t="s">
        <v>1</v>
      </c>
      <c r="E133" s="27" t="s">
        <v>2</v>
      </c>
      <c r="F133" s="27" t="s">
        <v>3</v>
      </c>
      <c r="G133" s="27" t="s">
        <v>4</v>
      </c>
    </row>
    <row r="134" spans="2:7" ht="15" thickBot="1" x14ac:dyDescent="0.35">
      <c r="B134" s="6" t="s">
        <v>78</v>
      </c>
      <c r="C134" s="7" t="s">
        <v>79</v>
      </c>
      <c r="D134" s="10">
        <f>D130</f>
        <v>4817080518.2621603</v>
      </c>
      <c r="E134" s="10">
        <f t="shared" ref="E134:G134" si="14">E130</f>
        <v>2852238845.6734467</v>
      </c>
      <c r="F134" s="10">
        <f t="shared" si="14"/>
        <v>2450558925.8586345</v>
      </c>
      <c r="G134" s="10">
        <f t="shared" si="14"/>
        <v>2192277387.3562026</v>
      </c>
    </row>
    <row r="135" spans="2:7" ht="15" thickBot="1" x14ac:dyDescent="0.35">
      <c r="B135" s="91" t="s">
        <v>80</v>
      </c>
      <c r="C135" s="92" t="s">
        <v>81</v>
      </c>
      <c r="D135" s="95">
        <v>0.73</v>
      </c>
      <c r="E135" s="95">
        <v>0.66</v>
      </c>
      <c r="F135" s="95">
        <v>0.51</v>
      </c>
      <c r="G135" s="95">
        <v>0.59</v>
      </c>
    </row>
    <row r="136" spans="2:7" ht="15" thickBot="1" x14ac:dyDescent="0.35">
      <c r="B136" s="91" t="s">
        <v>82</v>
      </c>
      <c r="C136" s="7" t="s">
        <v>83</v>
      </c>
      <c r="D136" s="95">
        <v>0.45500000000000002</v>
      </c>
      <c r="E136" s="95">
        <v>0.16900000000000001</v>
      </c>
      <c r="F136" s="95">
        <v>1.6E-2</v>
      </c>
      <c r="G136" s="95">
        <v>6.0000000000000001E-3</v>
      </c>
    </row>
    <row r="137" spans="2:7" ht="15" thickBot="1" x14ac:dyDescent="0.35">
      <c r="B137" s="91" t="s">
        <v>84</v>
      </c>
      <c r="C137" s="92" t="s">
        <v>85</v>
      </c>
      <c r="D137" s="96">
        <f>D134*D135*D136</f>
        <v>1599993294.1407766</v>
      </c>
      <c r="E137" s="96">
        <f>E134*E135*E136</f>
        <v>318138720.84641629</v>
      </c>
      <c r="F137" s="96">
        <f>F134*F135*F136</f>
        <v>19996560.835006461</v>
      </c>
      <c r="G137" s="96">
        <f>G134*G135*G136</f>
        <v>7760661.9512409568</v>
      </c>
    </row>
    <row r="138" spans="2:7" ht="14.4" customHeight="1" thickBot="1" x14ac:dyDescent="0.35">
      <c r="B138" s="91" t="s">
        <v>86</v>
      </c>
      <c r="C138" s="92" t="s">
        <v>87</v>
      </c>
      <c r="D138" s="95">
        <v>0.18</v>
      </c>
      <c r="E138" s="95">
        <v>4.2999999999999997E-2</v>
      </c>
      <c r="F138" s="95">
        <v>4.0000000000000001E-3</v>
      </c>
      <c r="G138" s="95">
        <v>4.0000000000000001E-3</v>
      </c>
    </row>
    <row r="139" spans="2:7" ht="15" thickBot="1" x14ac:dyDescent="0.35">
      <c r="B139" s="91" t="s">
        <v>123</v>
      </c>
      <c r="C139" s="92"/>
      <c r="D139" s="96">
        <f>D138*1.9*365*55</f>
        <v>6865.6499999999987</v>
      </c>
      <c r="E139" s="96">
        <f>E138*1.9*365*55</f>
        <v>1640.1275000000001</v>
      </c>
      <c r="F139" s="96">
        <f>F138*1.9*365*55</f>
        <v>152.57</v>
      </c>
      <c r="G139" s="96">
        <f>G138*1.9*365*55</f>
        <v>152.57</v>
      </c>
    </row>
    <row r="140" spans="2:7" ht="29.4" thickBot="1" x14ac:dyDescent="0.35">
      <c r="B140" s="91" t="s">
        <v>171</v>
      </c>
      <c r="C140" s="88" t="s">
        <v>217</v>
      </c>
      <c r="D140" s="89">
        <f>D137/D139</f>
        <v>233043.23613070531</v>
      </c>
      <c r="E140" s="89">
        <f>E137/E139</f>
        <v>193971.94477040126</v>
      </c>
      <c r="F140" s="89">
        <f>F137/F139</f>
        <v>131064.82817727247</v>
      </c>
      <c r="G140" s="89">
        <f>G137/G139</f>
        <v>50866.23812834081</v>
      </c>
    </row>
    <row r="141" spans="2:7" x14ac:dyDescent="0.3">
      <c r="B141" s="24"/>
      <c r="C141" s="51"/>
      <c r="D141" s="52"/>
      <c r="E141" s="25"/>
      <c r="F141" s="25"/>
      <c r="G141" s="25"/>
    </row>
    <row r="142" spans="2:7" ht="15" thickBot="1" x14ac:dyDescent="0.35">
      <c r="B142" s="24"/>
      <c r="C142" s="51"/>
      <c r="D142" s="52"/>
      <c r="E142" s="25"/>
      <c r="F142" s="25"/>
      <c r="G142" s="25"/>
    </row>
    <row r="143" spans="2:7" ht="29.4" thickBot="1" x14ac:dyDescent="0.35">
      <c r="B143" s="20"/>
      <c r="C143" s="4" t="s">
        <v>0</v>
      </c>
      <c r="D143" s="4" t="s">
        <v>1</v>
      </c>
      <c r="E143" s="4" t="s">
        <v>2</v>
      </c>
      <c r="F143" s="4" t="s">
        <v>3</v>
      </c>
      <c r="G143" s="4" t="s">
        <v>4</v>
      </c>
    </row>
    <row r="144" spans="2:7" ht="15" thickBot="1" x14ac:dyDescent="0.35">
      <c r="B144" s="5" t="s">
        <v>78</v>
      </c>
      <c r="C144" s="7" t="s">
        <v>88</v>
      </c>
      <c r="D144" s="9">
        <f>D130</f>
        <v>4817080518.2621603</v>
      </c>
      <c r="E144" s="9">
        <f>E130</f>
        <v>2852238845.6734467</v>
      </c>
      <c r="F144" s="9">
        <f>F130</f>
        <v>2450558925.8586345</v>
      </c>
      <c r="G144" s="9">
        <f>G130</f>
        <v>2192277387.3562026</v>
      </c>
    </row>
    <row r="145" spans="2:7" ht="15" thickBot="1" x14ac:dyDescent="0.35">
      <c r="B145" s="5" t="s">
        <v>89</v>
      </c>
      <c r="C145" s="7" t="s">
        <v>90</v>
      </c>
      <c r="D145" s="22">
        <v>0.1207</v>
      </c>
      <c r="E145" s="22">
        <v>0.14410000000000001</v>
      </c>
      <c r="F145" s="22">
        <v>0.1545</v>
      </c>
      <c r="G145" s="22">
        <v>0.1852</v>
      </c>
    </row>
    <row r="146" spans="2:7" ht="15" thickBot="1" x14ac:dyDescent="0.35">
      <c r="B146" s="5" t="s">
        <v>91</v>
      </c>
      <c r="C146" s="7" t="s">
        <v>92</v>
      </c>
      <c r="D146" s="18">
        <f>D145*D144</f>
        <v>581421618.55424273</v>
      </c>
      <c r="E146" s="18">
        <f t="shared" ref="E146:G146" si="15">E145*E144</f>
        <v>411007617.66154367</v>
      </c>
      <c r="F146" s="18">
        <f t="shared" si="15"/>
        <v>378611354.04515904</v>
      </c>
      <c r="G146" s="18">
        <f t="shared" si="15"/>
        <v>406009772.13836873</v>
      </c>
    </row>
    <row r="148" spans="2:7" ht="15" thickBot="1" x14ac:dyDescent="0.35"/>
    <row r="149" spans="2:7" ht="29.4" thickBot="1" x14ac:dyDescent="0.35">
      <c r="B149" s="2"/>
      <c r="C149" s="4" t="s">
        <v>0</v>
      </c>
      <c r="D149" s="4" t="s">
        <v>1</v>
      </c>
      <c r="E149" s="4" t="s">
        <v>2</v>
      </c>
      <c r="F149" s="4" t="s">
        <v>3</v>
      </c>
      <c r="G149" s="4" t="s">
        <v>4</v>
      </c>
    </row>
    <row r="150" spans="2:7" ht="29.4" thickBot="1" x14ac:dyDescent="0.35">
      <c r="B150" s="6" t="s">
        <v>215</v>
      </c>
      <c r="C150" s="14" t="s">
        <v>67</v>
      </c>
      <c r="D150" s="10">
        <f>D115</f>
        <v>11219939.537989818</v>
      </c>
      <c r="E150" s="10">
        <f>E115</f>
        <v>2949387.9135263059</v>
      </c>
      <c r="F150" s="10">
        <f>F115</f>
        <v>605360.50113776291</v>
      </c>
      <c r="G150" s="10">
        <f>G115</f>
        <v>127124.31402766718</v>
      </c>
    </row>
    <row r="151" spans="2:7" ht="15" thickBot="1" x14ac:dyDescent="0.35">
      <c r="B151" s="5" t="s">
        <v>93</v>
      </c>
      <c r="C151" s="7" t="s">
        <v>94</v>
      </c>
      <c r="D151" s="26">
        <v>668454965</v>
      </c>
      <c r="E151" s="26">
        <v>2913363391</v>
      </c>
      <c r="F151" s="26">
        <v>2855862780</v>
      </c>
      <c r="G151" s="26">
        <v>1235852838</v>
      </c>
    </row>
    <row r="152" spans="2:7" ht="28.8" x14ac:dyDescent="0.3">
      <c r="B152" s="29" t="s">
        <v>195</v>
      </c>
      <c r="C152" s="58" t="s">
        <v>124</v>
      </c>
      <c r="D152" s="53">
        <f>0.01556*D150/D151</f>
        <v>2.6117280647488579E-4</v>
      </c>
      <c r="E152" s="53">
        <f t="shared" ref="E152:G152" si="16">0.01556*E150/E151</f>
        <v>1.5752403588320273E-5</v>
      </c>
      <c r="F152" s="53">
        <f t="shared" si="16"/>
        <v>3.2982710036592129E-6</v>
      </c>
      <c r="G152" s="53">
        <f t="shared" si="16"/>
        <v>1.6005581453141438E-6</v>
      </c>
    </row>
    <row r="153" spans="2:7" ht="15" thickBot="1" x14ac:dyDescent="0.35">
      <c r="B153" s="5" t="s">
        <v>95</v>
      </c>
      <c r="C153" s="7" t="s">
        <v>96</v>
      </c>
      <c r="D153" s="9">
        <f>D152*D151</f>
        <v>174582.25921112156</v>
      </c>
      <c r="E153" s="9">
        <f>E152*E151</f>
        <v>45892.475934469316</v>
      </c>
      <c r="F153" s="9">
        <f>F152*F151</f>
        <v>9419.40939770359</v>
      </c>
      <c r="G153" s="9">
        <f>G152*G151</f>
        <v>1978.0543262705012</v>
      </c>
    </row>
    <row r="155" spans="2:7" ht="15" thickBot="1" x14ac:dyDescent="0.35"/>
    <row r="156" spans="2:7" ht="29.4" thickBot="1" x14ac:dyDescent="0.35">
      <c r="B156" s="20"/>
      <c r="C156" s="4" t="s">
        <v>0</v>
      </c>
      <c r="D156" s="4" t="s">
        <v>1</v>
      </c>
      <c r="E156" s="4" t="s">
        <v>2</v>
      </c>
      <c r="F156" s="4" t="s">
        <v>3</v>
      </c>
      <c r="G156" s="4" t="s">
        <v>4</v>
      </c>
    </row>
    <row r="157" spans="2:7" ht="29.4" thickBot="1" x14ac:dyDescent="0.35">
      <c r="B157" s="6" t="s">
        <v>215</v>
      </c>
      <c r="C157" s="14" t="s">
        <v>67</v>
      </c>
      <c r="D157" s="10">
        <f>D115</f>
        <v>11219939.537989818</v>
      </c>
      <c r="E157" s="10">
        <f>E115</f>
        <v>2949387.9135263059</v>
      </c>
      <c r="F157" s="10">
        <f>F115</f>
        <v>605360.50113776291</v>
      </c>
      <c r="G157" s="10">
        <f>G115</f>
        <v>127124.31402766718</v>
      </c>
    </row>
    <row r="158" spans="2:7" ht="15" thickBot="1" x14ac:dyDescent="0.35">
      <c r="B158" s="5" t="s">
        <v>97</v>
      </c>
      <c r="C158" s="7" t="s">
        <v>98</v>
      </c>
      <c r="D158" s="10">
        <f>D157/2</f>
        <v>5609969.7689949088</v>
      </c>
      <c r="E158" s="10">
        <f t="shared" ref="E158:G158" si="17">E157/2</f>
        <v>1474693.956763153</v>
      </c>
      <c r="F158" s="10">
        <f t="shared" si="17"/>
        <v>302680.25056888146</v>
      </c>
      <c r="G158" s="10">
        <f t="shared" si="17"/>
        <v>63562.157013833588</v>
      </c>
    </row>
    <row r="159" spans="2:7" ht="15" thickBot="1" x14ac:dyDescent="0.35">
      <c r="B159" s="55" t="s">
        <v>128</v>
      </c>
      <c r="C159" s="7" t="s">
        <v>126</v>
      </c>
      <c r="D159" s="45">
        <v>0.49456</v>
      </c>
      <c r="E159" s="45">
        <v>0.79562999999999995</v>
      </c>
      <c r="F159" s="45">
        <v>0.93720000000000003</v>
      </c>
      <c r="G159" s="45">
        <v>0.95465999999999995</v>
      </c>
    </row>
    <row r="160" spans="2:7" ht="15" thickBot="1" x14ac:dyDescent="0.35">
      <c r="B160" s="55" t="s">
        <v>127</v>
      </c>
      <c r="C160" s="7" t="s">
        <v>101</v>
      </c>
      <c r="D160" s="45">
        <v>0.76178999999999997</v>
      </c>
      <c r="E160" s="45">
        <v>0.89224999999999999</v>
      </c>
      <c r="F160" s="45">
        <v>0.97641</v>
      </c>
      <c r="G160" s="45">
        <v>0.97382999999999997</v>
      </c>
    </row>
    <row r="161" spans="2:7" ht="29.4" thickBot="1" x14ac:dyDescent="0.35">
      <c r="B161" s="5" t="s">
        <v>99</v>
      </c>
      <c r="C161" s="7" t="s">
        <v>129</v>
      </c>
      <c r="D161" s="10">
        <f>D158*D159*D160*0.075</f>
        <v>158517.07113800701</v>
      </c>
      <c r="E161" s="10">
        <f t="shared" ref="E161:G161" si="18">E158*E159*E160*0.075</f>
        <v>78516.48894023773</v>
      </c>
      <c r="F161" s="10">
        <f t="shared" si="18"/>
        <v>20773.508248860115</v>
      </c>
      <c r="G161" s="10">
        <f t="shared" si="18"/>
        <v>4431.9185027506774</v>
      </c>
    </row>
    <row r="163" spans="2:7" ht="15" thickBot="1" x14ac:dyDescent="0.35"/>
    <row r="164" spans="2:7" ht="29.4" thickBot="1" x14ac:dyDescent="0.35">
      <c r="B164" s="2"/>
      <c r="C164" s="4" t="s">
        <v>0</v>
      </c>
      <c r="D164" s="4" t="s">
        <v>1</v>
      </c>
      <c r="E164" s="4" t="s">
        <v>2</v>
      </c>
      <c r="F164" s="4" t="s">
        <v>3</v>
      </c>
      <c r="G164" s="4" t="s">
        <v>4</v>
      </c>
    </row>
    <row r="165" spans="2:7" ht="15" thickBot="1" x14ac:dyDescent="0.35">
      <c r="B165" s="6" t="s">
        <v>100</v>
      </c>
      <c r="C165" s="14" t="s">
        <v>136</v>
      </c>
      <c r="D165" s="8">
        <v>4.34</v>
      </c>
      <c r="E165" s="8">
        <v>6.56</v>
      </c>
      <c r="F165" s="8">
        <v>7.89</v>
      </c>
      <c r="G165" s="8">
        <v>10.43</v>
      </c>
    </row>
    <row r="166" spans="2:7" ht="87" customHeight="1" thickBot="1" x14ac:dyDescent="0.35">
      <c r="B166" s="104" t="s">
        <v>130</v>
      </c>
      <c r="C166" s="104" t="s">
        <v>137</v>
      </c>
      <c r="D166" s="61" t="s">
        <v>141</v>
      </c>
      <c r="E166" s="61" t="s">
        <v>133</v>
      </c>
      <c r="F166" s="61" t="s">
        <v>133</v>
      </c>
      <c r="G166" s="62" t="s">
        <v>132</v>
      </c>
    </row>
    <row r="167" spans="2:7" ht="15" thickBot="1" x14ac:dyDescent="0.35">
      <c r="B167" s="105"/>
      <c r="C167" s="105"/>
      <c r="D167" s="61">
        <f>-(0.01-0)/3</f>
        <v>-3.3333333333333335E-3</v>
      </c>
      <c r="E167" s="60">
        <f>-(0.024-0.01)/3</f>
        <v>-4.6666666666666671E-3</v>
      </c>
      <c r="F167" s="60">
        <f>-(0.024-0.01)/3</f>
        <v>-4.6666666666666671E-3</v>
      </c>
      <c r="G167" s="60">
        <f>-(0.048-0.024)/3</f>
        <v>-8.0000000000000002E-3</v>
      </c>
    </row>
    <row r="168" spans="2:7" ht="87" customHeight="1" thickBot="1" x14ac:dyDescent="0.35">
      <c r="B168" s="104" t="s">
        <v>131</v>
      </c>
      <c r="C168" s="104" t="s">
        <v>138</v>
      </c>
      <c r="D168" s="61" t="s">
        <v>140</v>
      </c>
      <c r="E168" s="61" t="s">
        <v>134</v>
      </c>
      <c r="F168" s="61" t="s">
        <v>134</v>
      </c>
      <c r="G168" s="61" t="s">
        <v>135</v>
      </c>
    </row>
    <row r="169" spans="2:7" ht="15" thickBot="1" x14ac:dyDescent="0.35">
      <c r="B169" s="105"/>
      <c r="C169" s="105"/>
      <c r="D169" s="60">
        <f>-(0.007-0)/3</f>
        <v>-2.3333333333333335E-3</v>
      </c>
      <c r="E169" s="60">
        <f>-(0.019-0.007)/3</f>
        <v>-4.0000000000000001E-3</v>
      </c>
      <c r="F169" s="60">
        <f>-(0.019-0.007)/3</f>
        <v>-4.0000000000000001E-3</v>
      </c>
      <c r="G169" s="60">
        <f>-(0.029-0.019)/3</f>
        <v>-3.333333333333334E-3</v>
      </c>
    </row>
    <row r="170" spans="2:7" ht="29.4" thickBot="1" x14ac:dyDescent="0.35">
      <c r="B170" s="6" t="s">
        <v>215</v>
      </c>
      <c r="C170" s="14" t="s">
        <v>67</v>
      </c>
      <c r="D170" s="10">
        <f>D115</f>
        <v>11219939.537989818</v>
      </c>
      <c r="E170" s="10">
        <f>E115</f>
        <v>2949387.9135263059</v>
      </c>
      <c r="F170" s="10">
        <f>F115</f>
        <v>605360.50113776291</v>
      </c>
      <c r="G170" s="10">
        <f>G115</f>
        <v>127124.31402766718</v>
      </c>
    </row>
    <row r="171" spans="2:7" ht="29.4" thickBot="1" x14ac:dyDescent="0.35">
      <c r="B171" s="5" t="s">
        <v>216</v>
      </c>
      <c r="C171" s="7" t="s">
        <v>98</v>
      </c>
      <c r="D171" s="10">
        <f>D170/2</f>
        <v>5609969.7689949088</v>
      </c>
      <c r="E171" s="10">
        <f t="shared" ref="E171:F171" si="19">E170/2</f>
        <v>1474693.956763153</v>
      </c>
      <c r="F171" s="10">
        <f t="shared" si="19"/>
        <v>302680.25056888146</v>
      </c>
      <c r="G171" s="10">
        <f>G170/2</f>
        <v>63562.157013833588</v>
      </c>
    </row>
    <row r="172" spans="2:7" ht="29.4" thickBot="1" x14ac:dyDescent="0.35">
      <c r="B172" s="5" t="s">
        <v>102</v>
      </c>
      <c r="C172" s="7" t="s">
        <v>139</v>
      </c>
      <c r="D172" s="8">
        <v>4.6040000000000001</v>
      </c>
      <c r="E172" s="8">
        <v>2.7650000000000001</v>
      </c>
      <c r="F172" s="8">
        <v>1.897</v>
      </c>
      <c r="G172" s="94">
        <v>1.6</v>
      </c>
    </row>
    <row r="173" spans="2:7" ht="29.4" thickBot="1" x14ac:dyDescent="0.35">
      <c r="B173" s="5" t="s">
        <v>103</v>
      </c>
      <c r="C173" s="7" t="s">
        <v>142</v>
      </c>
      <c r="D173" s="10">
        <f>-((D167*D171*D172)+(D169*D171*D172))</f>
        <v>146360.3712932312</v>
      </c>
      <c r="E173" s="10">
        <f t="shared" ref="E173:G173" si="20">-((E167*E171*E172)+(E169*E171*E172))</f>
        <v>35338.582850567691</v>
      </c>
      <c r="F173" s="10">
        <f t="shared" si="20"/>
        <v>4976.2651061861243</v>
      </c>
      <c r="G173" s="10">
        <f t="shared" si="20"/>
        <v>1152.5937805175158</v>
      </c>
    </row>
    <row r="175" spans="2:7" x14ac:dyDescent="0.3">
      <c r="D175" s="37"/>
    </row>
  </sheetData>
  <mergeCells count="12">
    <mergeCell ref="C168:C169"/>
    <mergeCell ref="C166:C167"/>
    <mergeCell ref="B166:B167"/>
    <mergeCell ref="B168:B169"/>
    <mergeCell ref="B26:G26"/>
    <mergeCell ref="B29:G29"/>
    <mergeCell ref="B128:G128"/>
    <mergeCell ref="B3:G3"/>
    <mergeCell ref="B5:G5"/>
    <mergeCell ref="B7:G7"/>
    <mergeCell ref="B20:G20"/>
    <mergeCell ref="B23:G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82CD-96F8-418A-AAAB-CA1CBABFF9A0}">
  <dimension ref="B1:BF55"/>
  <sheetViews>
    <sheetView topLeftCell="A37" workbookViewId="0">
      <selection activeCell="D54" sqref="D54"/>
    </sheetView>
  </sheetViews>
  <sheetFormatPr defaultRowHeight="14.4" x14ac:dyDescent="0.3"/>
  <cols>
    <col min="3" max="3" width="13.6640625" bestFit="1" customWidth="1"/>
    <col min="4" max="4" width="16.109375" bestFit="1" customWidth="1"/>
    <col min="5" max="10" width="9.109375" bestFit="1" customWidth="1"/>
    <col min="11" max="13" width="9.88671875" bestFit="1" customWidth="1"/>
  </cols>
  <sheetData>
    <row r="1" spans="2:58" x14ac:dyDescent="0.3">
      <c r="B1" s="32"/>
      <c r="C1" s="33" t="s">
        <v>104</v>
      </c>
      <c r="D1">
        <v>8</v>
      </c>
      <c r="E1" s="33"/>
      <c r="F1" s="33"/>
      <c r="G1" s="33"/>
    </row>
    <row r="2" spans="2:58" ht="28.8" x14ac:dyDescent="0.3">
      <c r="B2" s="32"/>
      <c r="C2" s="28" t="s">
        <v>105</v>
      </c>
      <c r="D2" s="34">
        <v>0.05</v>
      </c>
      <c r="E2" s="33"/>
      <c r="F2" s="33"/>
      <c r="G2" s="33"/>
    </row>
    <row r="3" spans="2:58" x14ac:dyDescent="0.3">
      <c r="B3" s="32"/>
      <c r="C3" s="33" t="s">
        <v>106</v>
      </c>
      <c r="E3" s="33"/>
      <c r="F3" s="33"/>
      <c r="G3" s="33"/>
    </row>
    <row r="4" spans="2:58" x14ac:dyDescent="0.3">
      <c r="B4" s="32"/>
      <c r="C4" s="33"/>
      <c r="E4" s="33"/>
      <c r="F4" s="33"/>
      <c r="G4" s="33"/>
    </row>
    <row r="5" spans="2:58" x14ac:dyDescent="0.3">
      <c r="B5" s="32"/>
      <c r="C5" s="33"/>
      <c r="E5" s="33"/>
      <c r="F5" s="33"/>
      <c r="G5" s="33"/>
    </row>
    <row r="6" spans="2:58" x14ac:dyDescent="0.3">
      <c r="B6" s="32"/>
      <c r="C6" s="33"/>
      <c r="E6" s="33"/>
      <c r="F6" s="33"/>
      <c r="G6" s="33"/>
    </row>
    <row r="7" spans="2:58" x14ac:dyDescent="0.3">
      <c r="B7" s="32"/>
      <c r="C7" s="33"/>
      <c r="E7" s="33"/>
      <c r="F7" s="33"/>
      <c r="G7" s="33"/>
    </row>
    <row r="8" spans="2:58" x14ac:dyDescent="0.3">
      <c r="B8" s="32" t="s">
        <v>46</v>
      </c>
      <c r="E8" s="33"/>
      <c r="F8" s="33"/>
      <c r="G8" s="33"/>
    </row>
    <row r="9" spans="2:58" x14ac:dyDescent="0.3">
      <c r="B9" s="32"/>
      <c r="C9" t="s">
        <v>107</v>
      </c>
      <c r="D9" s="35">
        <f>'Tables and Outputs'!D124</f>
        <v>2.152683138719658E-2</v>
      </c>
      <c r="E9" s="33"/>
      <c r="F9" s="33"/>
      <c r="G9" s="33"/>
    </row>
    <row r="10" spans="2:58" x14ac:dyDescent="0.3">
      <c r="B10" s="32"/>
      <c r="C10" s="33" t="s">
        <v>108</v>
      </c>
      <c r="D10" s="35">
        <f>'Tables and Outputs'!D124+('Tables and Outputs'!D122/100)</f>
        <v>2.1676888256726496E-2</v>
      </c>
      <c r="E10" s="33"/>
      <c r="F10" s="33"/>
      <c r="G10" s="33"/>
    </row>
    <row r="11" spans="2:58" x14ac:dyDescent="0.3">
      <c r="B11" s="33" t="s">
        <v>109</v>
      </c>
      <c r="C11" s="36">
        <f>'Tables and Outputs'!D123</f>
        <v>810.09500000000003</v>
      </c>
      <c r="D11" s="37">
        <f>IF(((D14-$C$14)&gt;=$D$1),C11*(1+$D$9),C11)</f>
        <v>810.09500000000003</v>
      </c>
      <c r="E11" s="37">
        <f t="shared" ref="E11:BE11" si="0">IF(((E14-$C$14)&gt;=$D$1),D11*(1+$D$9),D11)</f>
        <v>810.09500000000003</v>
      </c>
      <c r="F11" s="37">
        <f t="shared" si="0"/>
        <v>810.09500000000003</v>
      </c>
      <c r="G11" s="37">
        <f t="shared" si="0"/>
        <v>810.09500000000003</v>
      </c>
      <c r="H11" s="37">
        <f t="shared" si="0"/>
        <v>810.09500000000003</v>
      </c>
      <c r="I11" s="37">
        <f t="shared" si="0"/>
        <v>810.09500000000003</v>
      </c>
      <c r="J11" s="37">
        <f t="shared" si="0"/>
        <v>810.09500000000003</v>
      </c>
      <c r="K11" s="49">
        <f t="shared" si="0"/>
        <v>827.53377847261106</v>
      </c>
      <c r="L11" s="49">
        <f t="shared" si="0"/>
        <v>845.34795858900065</v>
      </c>
      <c r="M11" s="49">
        <f t="shared" si="0"/>
        <v>863.54562155705696</v>
      </c>
      <c r="N11" s="37">
        <f t="shared" si="0"/>
        <v>882.13502254746754</v>
      </c>
      <c r="O11" s="37">
        <f t="shared" si="0"/>
        <v>901.12459443858768</v>
      </c>
      <c r="P11" s="37">
        <f t="shared" si="0"/>
        <v>920.5229516419231</v>
      </c>
      <c r="Q11" s="37">
        <f t="shared" si="0"/>
        <v>940.33889400996327</v>
      </c>
      <c r="R11" s="37">
        <f t="shared" si="0"/>
        <v>960.5814108281387</v>
      </c>
      <c r="S11" s="37">
        <f t="shared" si="0"/>
        <v>981.25968489271145</v>
      </c>
      <c r="T11" s="37">
        <f t="shared" si="0"/>
        <v>1002.3830966764505</v>
      </c>
      <c r="U11" s="37">
        <f t="shared" si="0"/>
        <v>1023.9612285839804</v>
      </c>
      <c r="V11" s="37">
        <f t="shared" si="0"/>
        <v>1046.0038692987343</v>
      </c>
      <c r="W11" s="37">
        <f t="shared" si="0"/>
        <v>1068.5210182234835</v>
      </c>
      <c r="X11" s="37">
        <f t="shared" si="0"/>
        <v>1091.5228900164559</v>
      </c>
      <c r="Y11" s="37">
        <f t="shared" si="0"/>
        <v>1115.0199192251057</v>
      </c>
      <c r="Z11" s="37">
        <f t="shared" si="0"/>
        <v>1139.02276501963</v>
      </c>
      <c r="AA11" s="37">
        <f t="shared" si="0"/>
        <v>1163.542316028386</v>
      </c>
      <c r="AB11" s="37">
        <f t="shared" si="0"/>
        <v>1188.5896952773974</v>
      </c>
      <c r="AC11" s="37">
        <f t="shared" si="0"/>
        <v>1214.1762652361933</v>
      </c>
      <c r="AD11" s="37">
        <f t="shared" si="0"/>
        <v>1240.313632972269</v>
      </c>
      <c r="AE11" s="37">
        <f t="shared" si="0"/>
        <v>1267.0136554165042</v>
      </c>
      <c r="AF11" s="37">
        <f t="shared" si="0"/>
        <v>1294.2884447419308</v>
      </c>
      <c r="AG11" s="37">
        <f t="shared" si="0"/>
        <v>1322.1503738582871</v>
      </c>
      <c r="AH11" s="37">
        <f t="shared" si="0"/>
        <v>1350.6120820248534</v>
      </c>
      <c r="AI11" s="37">
        <f t="shared" si="0"/>
        <v>1379.686480584113</v>
      </c>
      <c r="AJ11" s="37">
        <f t="shared" si="0"/>
        <v>1409.3867588188418</v>
      </c>
      <c r="AK11" s="37">
        <f t="shared" si="0"/>
        <v>1439.7263899352824</v>
      </c>
      <c r="AL11" s="37">
        <f t="shared" si="0"/>
        <v>1470.7191371751164</v>
      </c>
      <c r="AM11" s="37">
        <f t="shared" si="0"/>
        <v>1502.3790600590085</v>
      </c>
      <c r="AN11" s="37">
        <f t="shared" si="0"/>
        <v>1534.7205207645536</v>
      </c>
      <c r="AO11" s="37">
        <f t="shared" si="0"/>
        <v>1567.7581906415228</v>
      </c>
      <c r="AP11" s="37">
        <f t="shared" si="0"/>
        <v>1601.5070568673593</v>
      </c>
      <c r="AQ11" s="37">
        <f t="shared" si="0"/>
        <v>1635.9824292459484</v>
      </c>
      <c r="AR11" s="37">
        <f t="shared" si="0"/>
        <v>1671.1999471527422</v>
      </c>
      <c r="AS11" s="37">
        <f t="shared" si="0"/>
        <v>1707.1755866293911</v>
      </c>
      <c r="AT11" s="37">
        <f t="shared" si="0"/>
        <v>1743.9256676311004</v>
      </c>
      <c r="AU11" s="37">
        <f t="shared" si="0"/>
        <v>1781.4668614299994</v>
      </c>
      <c r="AV11" s="37">
        <f t="shared" si="0"/>
        <v>1819.8161981778812</v>
      </c>
      <c r="AW11" s="37">
        <f t="shared" si="0"/>
        <v>1858.9910746317455</v>
      </c>
      <c r="AX11" s="37">
        <f t="shared" si="0"/>
        <v>1899.0092620456464</v>
      </c>
      <c r="AY11" s="37">
        <f t="shared" si="0"/>
        <v>1939.8889142324276</v>
      </c>
      <c r="AZ11" s="37">
        <f t="shared" si="0"/>
        <v>1981.648575799001</v>
      </c>
      <c r="BA11" s="37">
        <f t="shared" si="0"/>
        <v>2024.3071905589043</v>
      </c>
      <c r="BB11" s="37">
        <f t="shared" si="0"/>
        <v>2067.8841101259554</v>
      </c>
      <c r="BC11" s="37">
        <f t="shared" si="0"/>
        <v>2112.3991026928998</v>
      </c>
      <c r="BD11" s="37">
        <f t="shared" si="0"/>
        <v>2157.8723619990351</v>
      </c>
      <c r="BE11" s="37">
        <f t="shared" si="0"/>
        <v>2204.3245164908799</v>
      </c>
    </row>
    <row r="12" spans="2:58" x14ac:dyDescent="0.3">
      <c r="B12" s="33" t="s">
        <v>110</v>
      </c>
      <c r="C12" s="36">
        <f>'Tables and Outputs'!D123</f>
        <v>810.09500000000003</v>
      </c>
      <c r="D12" s="33">
        <f>IF(((D14-$C$14)&gt;=$D$1),C12*(1+$D$10),C12)</f>
        <v>810.09500000000003</v>
      </c>
      <c r="E12" s="33">
        <f t="shared" ref="E12:BE12" si="1">IF(((E14-$C$14)&gt;=$D$1),D12*(1+$D$10),D12)</f>
        <v>810.09500000000003</v>
      </c>
      <c r="F12" s="33">
        <f t="shared" si="1"/>
        <v>810.09500000000003</v>
      </c>
      <c r="G12" s="33">
        <f t="shared" si="1"/>
        <v>810.09500000000003</v>
      </c>
      <c r="H12" s="33">
        <f t="shared" si="1"/>
        <v>810.09500000000003</v>
      </c>
      <c r="I12" s="33">
        <f t="shared" si="1"/>
        <v>810.09500000000003</v>
      </c>
      <c r="J12" s="33">
        <f t="shared" si="1"/>
        <v>810.09500000000003</v>
      </c>
      <c r="K12" s="49">
        <f t="shared" si="1"/>
        <v>827.65533879233283</v>
      </c>
      <c r="L12" s="49">
        <f t="shared" si="1"/>
        <v>845.59633108641731</v>
      </c>
      <c r="M12" s="49">
        <f t="shared" si="1"/>
        <v>863.92622826567538</v>
      </c>
      <c r="N12" s="33">
        <f t="shared" si="1"/>
        <v>882.65346057784552</v>
      </c>
      <c r="O12" s="33">
        <f t="shared" si="1"/>
        <v>901.78664101220431</v>
      </c>
      <c r="P12" s="33">
        <f t="shared" si="1"/>
        <v>921.33456926083454</v>
      </c>
      <c r="Q12" s="33">
        <f t="shared" si="1"/>
        <v>941.30623576576079</v>
      </c>
      <c r="R12" s="33">
        <f t="shared" si="1"/>
        <v>961.71082585381498</v>
      </c>
      <c r="S12" s="33">
        <f t="shared" si="1"/>
        <v>982.55772396113218</v>
      </c>
      <c r="T12" s="33">
        <f t="shared" si="1"/>
        <v>1003.8565179492211</v>
      </c>
      <c r="U12" s="33">
        <f t="shared" si="1"/>
        <v>1025.6170035145929</v>
      </c>
      <c r="V12" s="33">
        <f t="shared" si="1"/>
        <v>1047.8491886939773</v>
      </c>
      <c r="W12" s="33">
        <f t="shared" si="1"/>
        <v>1070.5632984671981</v>
      </c>
      <c r="X12" s="33">
        <f t="shared" si="1"/>
        <v>1093.7697794598241</v>
      </c>
      <c r="Y12" s="33">
        <f t="shared" si="1"/>
        <v>1117.479304747759</v>
      </c>
      <c r="Z12" s="33">
        <f t="shared" si="1"/>
        <v>1141.7027787659804</v>
      </c>
      <c r="AA12" s="33">
        <f t="shared" si="1"/>
        <v>1166.4513423236847</v>
      </c>
      <c r="AB12" s="33">
        <f t="shared" si="1"/>
        <v>1191.7363777281437</v>
      </c>
      <c r="AC12" s="33">
        <f t="shared" si="1"/>
        <v>1217.5695140196326</v>
      </c>
      <c r="AD12" s="33">
        <f t="shared" si="1"/>
        <v>1243.9626323198329</v>
      </c>
      <c r="AE12" s="33">
        <f t="shared" si="1"/>
        <v>1270.9278712961732</v>
      </c>
      <c r="AF12" s="33">
        <f t="shared" si="1"/>
        <v>1298.4776327446195</v>
      </c>
      <c r="AG12" s="33">
        <f t="shared" si="1"/>
        <v>1326.6245872934833</v>
      </c>
      <c r="AH12" s="33">
        <f t="shared" si="1"/>
        <v>1355.38168023087</v>
      </c>
      <c r="AI12" s="33">
        <f t="shared" si="1"/>
        <v>1384.7621374584487</v>
      </c>
      <c r="AJ12" s="33">
        <f t="shared" si="1"/>
        <v>1414.7794715742812</v>
      </c>
      <c r="AK12" s="33">
        <f t="shared" si="1"/>
        <v>1445.4474880875073</v>
      </c>
      <c r="AL12" s="33">
        <f t="shared" si="1"/>
        <v>1476.7802917677461</v>
      </c>
      <c r="AM12" s="33">
        <f t="shared" si="1"/>
        <v>1508.7922931321314</v>
      </c>
      <c r="AN12" s="33">
        <f t="shared" si="1"/>
        <v>1541.4982150729666</v>
      </c>
      <c r="AO12" s="33">
        <f t="shared" si="1"/>
        <v>1574.9130996290464</v>
      </c>
      <c r="AP12" s="33">
        <f t="shared" si="1"/>
        <v>1609.0523149037599</v>
      </c>
      <c r="AQ12" s="33">
        <f t="shared" si="1"/>
        <v>1643.9315621331557</v>
      </c>
      <c r="AR12" s="33">
        <f t="shared" si="1"/>
        <v>1679.5668829072217</v>
      </c>
      <c r="AS12" s="33">
        <f t="shared" si="1"/>
        <v>1715.9746665476998</v>
      </c>
      <c r="AT12" s="33">
        <f t="shared" si="1"/>
        <v>1753.1716576458277</v>
      </c>
      <c r="AU12" s="33">
        <f t="shared" si="1"/>
        <v>1791.1749637634762</v>
      </c>
      <c r="AV12" s="33">
        <f t="shared" si="1"/>
        <v>1830.002063301223</v>
      </c>
      <c r="AW12" s="33">
        <f t="shared" si="1"/>
        <v>1869.6708135369825</v>
      </c>
      <c r="AX12" s="33">
        <f t="shared" si="1"/>
        <v>1910.1994588388864</v>
      </c>
      <c r="AY12" s="33">
        <f t="shared" si="1"/>
        <v>1951.6066390561962</v>
      </c>
      <c r="AZ12" s="33">
        <f t="shared" si="1"/>
        <v>1993.9113980921027</v>
      </c>
      <c r="BA12" s="33">
        <f t="shared" si="1"/>
        <v>2037.1331926623584</v>
      </c>
      <c r="BB12" s="33">
        <f t="shared" si="1"/>
        <v>2081.2919012437687</v>
      </c>
      <c r="BC12" s="33">
        <f t="shared" si="1"/>
        <v>2126.4078332166596</v>
      </c>
      <c r="BD12" s="33">
        <f t="shared" si="1"/>
        <v>2172.5017382055248</v>
      </c>
      <c r="BE12" s="33">
        <f t="shared" si="1"/>
        <v>2219.5948156221498</v>
      </c>
    </row>
    <row r="13" spans="2:58" x14ac:dyDescent="0.3">
      <c r="B13" s="32"/>
      <c r="D13" s="33"/>
      <c r="E13" s="33"/>
      <c r="F13" s="33"/>
      <c r="G13" s="33"/>
    </row>
    <row r="14" spans="2:58" x14ac:dyDescent="0.3">
      <c r="B14" t="s">
        <v>46</v>
      </c>
      <c r="C14">
        <v>2020</v>
      </c>
      <c r="D14">
        <v>2021</v>
      </c>
      <c r="E14">
        <v>2022</v>
      </c>
      <c r="F14">
        <v>2023</v>
      </c>
      <c r="G14">
        <v>2024</v>
      </c>
      <c r="H14">
        <v>2025</v>
      </c>
      <c r="I14">
        <v>2026</v>
      </c>
      <c r="J14">
        <v>2027</v>
      </c>
      <c r="K14">
        <v>2028</v>
      </c>
      <c r="L14">
        <v>2029</v>
      </c>
      <c r="M14">
        <v>2030</v>
      </c>
      <c r="N14">
        <v>2031</v>
      </c>
      <c r="O14">
        <v>2032</v>
      </c>
      <c r="P14">
        <v>2033</v>
      </c>
      <c r="Q14">
        <v>2034</v>
      </c>
      <c r="R14">
        <v>2035</v>
      </c>
      <c r="S14">
        <v>2036</v>
      </c>
      <c r="T14">
        <v>2037</v>
      </c>
      <c r="U14">
        <v>2038</v>
      </c>
      <c r="V14">
        <v>2039</v>
      </c>
      <c r="W14">
        <v>2040</v>
      </c>
      <c r="X14">
        <v>2041</v>
      </c>
      <c r="Y14">
        <v>2042</v>
      </c>
      <c r="Z14">
        <v>2043</v>
      </c>
      <c r="AA14">
        <v>2044</v>
      </c>
      <c r="AB14">
        <v>2045</v>
      </c>
      <c r="AC14">
        <v>2046</v>
      </c>
      <c r="AD14">
        <v>2047</v>
      </c>
      <c r="AE14">
        <v>2048</v>
      </c>
      <c r="AF14">
        <v>2049</v>
      </c>
      <c r="AG14">
        <v>2050</v>
      </c>
      <c r="AH14">
        <v>2051</v>
      </c>
      <c r="AI14">
        <v>2052</v>
      </c>
      <c r="AJ14">
        <v>2053</v>
      </c>
      <c r="AK14">
        <v>2054</v>
      </c>
      <c r="AL14">
        <v>2055</v>
      </c>
      <c r="AM14">
        <v>2056</v>
      </c>
      <c r="AN14">
        <v>2057</v>
      </c>
      <c r="AO14">
        <v>2058</v>
      </c>
      <c r="AP14">
        <v>2059</v>
      </c>
      <c r="AQ14">
        <v>2060</v>
      </c>
      <c r="AR14">
        <v>2061</v>
      </c>
      <c r="AS14">
        <v>2062</v>
      </c>
      <c r="AT14">
        <v>2063</v>
      </c>
      <c r="AU14">
        <v>2064</v>
      </c>
      <c r="AV14">
        <v>2065</v>
      </c>
      <c r="AW14">
        <v>2066</v>
      </c>
      <c r="AX14">
        <v>2067</v>
      </c>
      <c r="AY14">
        <v>2068</v>
      </c>
      <c r="AZ14">
        <v>2069</v>
      </c>
      <c r="BA14">
        <v>2070</v>
      </c>
      <c r="BB14">
        <v>2071</v>
      </c>
      <c r="BC14">
        <v>2072</v>
      </c>
      <c r="BD14">
        <v>2073</v>
      </c>
      <c r="BE14">
        <v>2074</v>
      </c>
    </row>
    <row r="15" spans="2:58" x14ac:dyDescent="0.3">
      <c r="B15" s="33" t="s">
        <v>111</v>
      </c>
      <c r="C15" s="38">
        <f>-'Tables and Outputs'!D101/'Tables and Outputs'!D120</f>
        <v>-1.4959870931619155</v>
      </c>
      <c r="D15" s="38">
        <f>D12-D11</f>
        <v>0</v>
      </c>
      <c r="E15" s="38">
        <f t="shared" ref="E15:BE15" si="2">E12-E11</f>
        <v>0</v>
      </c>
      <c r="F15" s="38">
        <f t="shared" si="2"/>
        <v>0</v>
      </c>
      <c r="G15" s="38">
        <f t="shared" si="2"/>
        <v>0</v>
      </c>
      <c r="H15" s="38">
        <f t="shared" si="2"/>
        <v>0</v>
      </c>
      <c r="I15" s="38">
        <f t="shared" si="2"/>
        <v>0</v>
      </c>
      <c r="J15" s="38">
        <f t="shared" si="2"/>
        <v>0</v>
      </c>
      <c r="K15" s="38">
        <f t="shared" si="2"/>
        <v>0.12156031972176606</v>
      </c>
      <c r="L15" s="38">
        <f t="shared" si="2"/>
        <v>0.24837249741665346</v>
      </c>
      <c r="M15" s="38">
        <f t="shared" si="2"/>
        <v>0.38060670861841572</v>
      </c>
      <c r="N15" s="38">
        <f t="shared" si="2"/>
        <v>0.51843803037797898</v>
      </c>
      <c r="O15" s="38">
        <f t="shared" si="2"/>
        <v>0.66204657361663521</v>
      </c>
      <c r="P15" s="38">
        <f t="shared" si="2"/>
        <v>0.81161761891144124</v>
      </c>
      <c r="Q15" s="38">
        <f t="shared" si="2"/>
        <v>0.96734175579751991</v>
      </c>
      <c r="R15" s="38">
        <f t="shared" si="2"/>
        <v>1.1294150256762805</v>
      </c>
      <c r="S15" s="38">
        <f t="shared" si="2"/>
        <v>1.298039068420735</v>
      </c>
      <c r="T15" s="38">
        <f t="shared" si="2"/>
        <v>1.473421272770679</v>
      </c>
      <c r="U15" s="38">
        <f t="shared" si="2"/>
        <v>1.6557749306124379</v>
      </c>
      <c r="V15" s="38">
        <f t="shared" si="2"/>
        <v>1.8453193952429956</v>
      </c>
      <c r="W15" s="38">
        <f t="shared" si="2"/>
        <v>2.0422802437146856</v>
      </c>
      <c r="X15" s="38">
        <f t="shared" si="2"/>
        <v>2.2468894433682181</v>
      </c>
      <c r="Y15" s="38">
        <f t="shared" si="2"/>
        <v>2.4593855226532924</v>
      </c>
      <c r="Z15" s="38">
        <f t="shared" si="2"/>
        <v>2.6800137463503688</v>
      </c>
      <c r="AA15" s="38">
        <f t="shared" si="2"/>
        <v>2.909026295298645</v>
      </c>
      <c r="AB15" s="38">
        <f t="shared" si="2"/>
        <v>3.1466824507463116</v>
      </c>
      <c r="AC15" s="38">
        <f t="shared" si="2"/>
        <v>3.3932487834392759</v>
      </c>
      <c r="AD15" s="38">
        <f t="shared" si="2"/>
        <v>3.6489993475638585</v>
      </c>
      <c r="AE15" s="38">
        <f t="shared" si="2"/>
        <v>3.9142158796689728</v>
      </c>
      <c r="AF15" s="38">
        <f t="shared" si="2"/>
        <v>4.189188002688752</v>
      </c>
      <c r="AG15" s="38">
        <f t="shared" si="2"/>
        <v>4.474213435196134</v>
      </c>
      <c r="AH15" s="38">
        <f t="shared" si="2"/>
        <v>4.7695982060165534</v>
      </c>
      <c r="AI15" s="38">
        <f t="shared" si="2"/>
        <v>5.0756568743356638</v>
      </c>
      <c r="AJ15" s="38">
        <f t="shared" si="2"/>
        <v>5.3927127554393337</v>
      </c>
      <c r="AK15" s="38">
        <f t="shared" si="2"/>
        <v>5.7210981522248403</v>
      </c>
      <c r="AL15" s="38">
        <f t="shared" si="2"/>
        <v>6.0611545926296913</v>
      </c>
      <c r="AM15" s="38">
        <f t="shared" si="2"/>
        <v>6.4132330731229104</v>
      </c>
      <c r="AN15" s="38">
        <f t="shared" si="2"/>
        <v>6.7776943084129471</v>
      </c>
      <c r="AO15" s="38">
        <f t="shared" si="2"/>
        <v>7.1549089875236405</v>
      </c>
      <c r="AP15" s="38">
        <f t="shared" si="2"/>
        <v>7.5452580364005826</v>
      </c>
      <c r="AQ15" s="38">
        <f t="shared" si="2"/>
        <v>7.94913288720727</v>
      </c>
      <c r="AR15" s="38">
        <f t="shared" si="2"/>
        <v>8.3669357544795275</v>
      </c>
      <c r="AS15" s="38">
        <f t="shared" si="2"/>
        <v>8.7990799183087347</v>
      </c>
      <c r="AT15" s="38">
        <f t="shared" si="2"/>
        <v>9.2459900147273402</v>
      </c>
      <c r="AU15" s="38">
        <f t="shared" si="2"/>
        <v>9.7081023334767451</v>
      </c>
      <c r="AV15" s="38">
        <f t="shared" si="2"/>
        <v>10.185865123341728</v>
      </c>
      <c r="AW15" s="38">
        <f t="shared" si="2"/>
        <v>10.679738905236945</v>
      </c>
      <c r="AX15" s="38">
        <f t="shared" si="2"/>
        <v>11.19019679323992</v>
      </c>
      <c r="AY15" s="38">
        <f t="shared" si="2"/>
        <v>11.717724823768549</v>
      </c>
      <c r="AZ15" s="38">
        <f t="shared" si="2"/>
        <v>12.262822293101635</v>
      </c>
      <c r="BA15" s="38">
        <f t="shared" si="2"/>
        <v>12.82600210345413</v>
      </c>
      <c r="BB15" s="38">
        <f t="shared" si="2"/>
        <v>13.407791117813304</v>
      </c>
      <c r="BC15" s="38">
        <f t="shared" si="2"/>
        <v>14.008730523759823</v>
      </c>
      <c r="BD15" s="38">
        <f t="shared" si="2"/>
        <v>14.629376206489724</v>
      </c>
      <c r="BE15" s="38">
        <f t="shared" si="2"/>
        <v>15.270299131269894</v>
      </c>
    </row>
    <row r="16" spans="2:58" ht="28.8" x14ac:dyDescent="0.3">
      <c r="B16" s="39" t="s">
        <v>112</v>
      </c>
      <c r="C16" s="40">
        <f>IFERROR(C15/(1+$D$2)^(C14-$C$14),"")</f>
        <v>-1.4959870931619155</v>
      </c>
      <c r="D16" s="40">
        <f>IFERROR(D15/(1+$D$2)^(D14-$C$14),"")</f>
        <v>0</v>
      </c>
      <c r="E16" s="40">
        <f t="shared" ref="E16:BE16" si="3">IFERROR(E15/(1+$D$2)^(E14-$C$14),"")</f>
        <v>0</v>
      </c>
      <c r="F16" s="40">
        <f t="shared" si="3"/>
        <v>0</v>
      </c>
      <c r="G16" s="40">
        <f t="shared" si="3"/>
        <v>0</v>
      </c>
      <c r="H16" s="40">
        <f t="shared" si="3"/>
        <v>0</v>
      </c>
      <c r="I16" s="40">
        <f t="shared" si="3"/>
        <v>0</v>
      </c>
      <c r="J16" s="40">
        <f t="shared" si="3"/>
        <v>0</v>
      </c>
      <c r="K16" s="40">
        <f t="shared" si="3"/>
        <v>8.2276809248483379E-2</v>
      </c>
      <c r="L16" s="40">
        <f t="shared" si="3"/>
        <v>0.16010312637805665</v>
      </c>
      <c r="M16" s="40">
        <f t="shared" si="3"/>
        <v>0.23365950280737136</v>
      </c>
      <c r="N16" s="40">
        <f t="shared" si="3"/>
        <v>0.30311997903676957</v>
      </c>
      <c r="O16" s="40">
        <f t="shared" si="3"/>
        <v>0.36865230476598676</v>
      </c>
      <c r="P16" s="40">
        <f t="shared" si="3"/>
        <v>0.43041815186863358</v>
      </c>
      <c r="Q16" s="40">
        <f t="shared" si="3"/>
        <v>0.48857332044774449</v>
      </c>
      <c r="R16" s="40">
        <f t="shared" si="3"/>
        <v>0.54326793819114305</v>
      </c>
      <c r="S16" s="40">
        <f t="shared" si="3"/>
        <v>0.59464665323852217</v>
      </c>
      <c r="T16" s="40">
        <f t="shared" si="3"/>
        <v>0.64284882076522065</v>
      </c>
      <c r="U16" s="40">
        <f t="shared" si="3"/>
        <v>0.68800868348124167</v>
      </c>
      <c r="V16" s="40">
        <f t="shared" si="3"/>
        <v>0.73025554623908329</v>
      </c>
      <c r="W16" s="40">
        <f t="shared" si="3"/>
        <v>0.76971394493537348</v>
      </c>
      <c r="X16" s="40">
        <f t="shared" si="3"/>
        <v>0.80650380988938275</v>
      </c>
      <c r="Y16" s="40">
        <f t="shared" si="3"/>
        <v>0.84074062387133219</v>
      </c>
      <c r="Z16" s="40">
        <f t="shared" si="3"/>
        <v>0.87253557495261713</v>
      </c>
      <c r="AA16" s="40">
        <f t="shared" si="3"/>
        <v>0.90199570434053056</v>
      </c>
      <c r="AB16" s="40">
        <f t="shared" si="3"/>
        <v>0.92922404935809255</v>
      </c>
      <c r="AC16" s="40">
        <f t="shared" si="3"/>
        <v>0.9543197817235024</v>
      </c>
      <c r="AD16" s="40">
        <f t="shared" si="3"/>
        <v>0.97737834127794365</v>
      </c>
      <c r="AE16" s="40">
        <f t="shared" si="3"/>
        <v>0.99849156530797256</v>
      </c>
      <c r="AF16" s="40">
        <f t="shared" si="3"/>
        <v>1.017747813601946</v>
      </c>
      <c r="AG16" s="40">
        <f t="shared" si="3"/>
        <v>1.0352320893774443</v>
      </c>
      <c r="AH16" s="40">
        <f t="shared" si="3"/>
        <v>1.0510261562111121</v>
      </c>
      <c r="AI16" s="40">
        <f t="shared" si="3"/>
        <v>1.0652086510987331</v>
      </c>
      <c r="AJ16" s="40">
        <f t="shared" si="3"/>
        <v>1.0778551937695326</v>
      </c>
      <c r="AK16" s="40">
        <f t="shared" si="3"/>
        <v>1.0890384923742906</v>
      </c>
      <c r="AL16" s="40">
        <f t="shared" si="3"/>
        <v>1.0988284456639204</v>
      </c>
      <c r="AM16" s="40">
        <f t="shared" si="3"/>
        <v>1.1072922417705122</v>
      </c>
      <c r="AN16" s="40">
        <f t="shared" si="3"/>
        <v>1.1144944537004275</v>
      </c>
      <c r="AO16" s="40">
        <f t="shared" si="3"/>
        <v>1.1204971316444272</v>
      </c>
      <c r="AP16" s="40">
        <f t="shared" si="3"/>
        <v>1.1253598922077839</v>
      </c>
      <c r="AQ16" s="40">
        <f t="shared" si="3"/>
        <v>1.1291400046589342</v>
      </c>
      <c r="AR16" s="40">
        <f t="shared" si="3"/>
        <v>1.131892474292985</v>
      </c>
      <c r="AS16" s="40">
        <f t="shared" si="3"/>
        <v>1.1336701230030268</v>
      </c>
      <c r="AT16" s="40">
        <f t="shared" si="3"/>
        <v>1.1345236671491206</v>
      </c>
      <c r="AU16" s="40">
        <f t="shared" si="3"/>
        <v>1.1345017928123557</v>
      </c>
      <c r="AV16" s="40">
        <f t="shared" si="3"/>
        <v>1.1336512285185338</v>
      </c>
      <c r="AW16" s="40">
        <f t="shared" si="3"/>
        <v>1.1320168155130284</v>
      </c>
      <c r="AX16" s="40">
        <f t="shared" si="3"/>
        <v>1.1296415756663156</v>
      </c>
      <c r="AY16" s="40">
        <f t="shared" si="3"/>
        <v>1.1265667770870125</v>
      </c>
      <c r="AZ16" s="40">
        <f t="shared" si="3"/>
        <v>1.1228319975163799</v>
      </c>
      <c r="BA16" s="40">
        <f t="shared" si="3"/>
        <v>1.1184751855767932</v>
      </c>
      <c r="BB16" s="40">
        <f t="shared" si="3"/>
        <v>1.1135327199433342</v>
      </c>
      <c r="BC16" s="40">
        <f t="shared" si="3"/>
        <v>1.108039466506672</v>
      </c>
      <c r="BD16" s="40">
        <f t="shared" si="3"/>
        <v>1.1020288335920276</v>
      </c>
      <c r="BE16" s="40">
        <f t="shared" si="3"/>
        <v>1.0955328252979699</v>
      </c>
      <c r="BF16" s="41"/>
    </row>
    <row r="17" spans="2:58" x14ac:dyDescent="0.3">
      <c r="B17" s="39"/>
      <c r="C17" s="40" t="s">
        <v>113</v>
      </c>
      <c r="D17" s="40">
        <f>NPV(D2,C16:BE16)</f>
        <v>7.2062902820419028</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1"/>
      <c r="AZ17" s="41"/>
      <c r="BA17" s="41"/>
      <c r="BB17" s="41"/>
      <c r="BC17" s="41"/>
      <c r="BD17" s="41"/>
      <c r="BE17" s="41"/>
      <c r="BF17" s="41"/>
    </row>
    <row r="18" spans="2:58" x14ac:dyDescent="0.3">
      <c r="B18" s="39"/>
      <c r="C18" s="40" t="s">
        <v>114</v>
      </c>
      <c r="D18" s="40">
        <f>D17/-C16</f>
        <v>4.8170805182621601</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1"/>
      <c r="AZ18" s="41"/>
      <c r="BA18" s="41"/>
      <c r="BB18" s="41"/>
      <c r="BC18" s="41"/>
      <c r="BD18" s="41"/>
      <c r="BE18" s="41"/>
      <c r="BF18" s="41"/>
    </row>
    <row r="19" spans="2:58" x14ac:dyDescent="0.3">
      <c r="B19" s="39"/>
      <c r="C19" s="40" t="s">
        <v>78</v>
      </c>
      <c r="D19" s="42">
        <f>D18*'Tables and Outputs'!D101</f>
        <v>4817080518.2621603</v>
      </c>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1"/>
      <c r="AZ19" s="41"/>
      <c r="BA19" s="41"/>
      <c r="BB19" s="41"/>
      <c r="BC19" s="41"/>
      <c r="BD19" s="41"/>
      <c r="BE19" s="41"/>
      <c r="BF19" s="41"/>
    </row>
    <row r="20" spans="2:58" ht="28.8" x14ac:dyDescent="0.3">
      <c r="B20" s="39" t="s">
        <v>115</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1"/>
      <c r="AZ20" s="41"/>
      <c r="BA20" s="41"/>
      <c r="BB20" s="41"/>
      <c r="BC20" s="41"/>
      <c r="BD20" s="41"/>
      <c r="BE20" s="41"/>
      <c r="BF20" s="41"/>
    </row>
    <row r="21" spans="2:58" x14ac:dyDescent="0.3">
      <c r="B21" s="32"/>
      <c r="C21" t="s">
        <v>107</v>
      </c>
      <c r="D21" s="35">
        <f>'Tables and Outputs'!E124</f>
        <v>1.8107628281643643E-2</v>
      </c>
      <c r="E21" s="33"/>
      <c r="F21" s="33"/>
      <c r="G21" s="33"/>
    </row>
    <row r="22" spans="2:58" x14ac:dyDescent="0.3">
      <c r="B22" s="32"/>
      <c r="C22" s="33" t="s">
        <v>108</v>
      </c>
      <c r="D22" s="35">
        <f>'Tables and Outputs'!E124+('Tables and Outputs'!E122/100)</f>
        <v>1.8116678827150044E-2</v>
      </c>
      <c r="E22" s="33"/>
      <c r="F22" s="33"/>
      <c r="G22" s="33"/>
    </row>
    <row r="23" spans="2:58" x14ac:dyDescent="0.3">
      <c r="B23" s="33" t="s">
        <v>109</v>
      </c>
      <c r="C23" s="46">
        <f>'Tables and Outputs'!E123</f>
        <v>2174.44</v>
      </c>
      <c r="D23" s="47">
        <f t="shared" ref="D23:AI23" si="4">IF(((D26-$C$26)&gt;=$D$1),C23*(1+$D$21),C23)</f>
        <v>2174.44</v>
      </c>
      <c r="E23" s="47">
        <f t="shared" si="4"/>
        <v>2174.44</v>
      </c>
      <c r="F23" s="47">
        <f t="shared" si="4"/>
        <v>2174.44</v>
      </c>
      <c r="G23" s="47">
        <f t="shared" si="4"/>
        <v>2174.44</v>
      </c>
      <c r="H23" s="47">
        <f t="shared" si="4"/>
        <v>2174.44</v>
      </c>
      <c r="I23" s="47">
        <f t="shared" si="4"/>
        <v>2174.44</v>
      </c>
      <c r="J23" s="47">
        <f t="shared" si="4"/>
        <v>2174.44</v>
      </c>
      <c r="K23" s="47">
        <f t="shared" si="4"/>
        <v>2213.8139512407374</v>
      </c>
      <c r="L23" s="47">
        <f t="shared" si="4"/>
        <v>2253.9008713545218</v>
      </c>
      <c r="M23" s="47">
        <f t="shared" si="4"/>
        <v>2294.7136705166822</v>
      </c>
      <c r="N23" s="47">
        <f t="shared" si="4"/>
        <v>2336.2654926752043</v>
      </c>
      <c r="O23" s="47">
        <f t="shared" si="4"/>
        <v>2378.5697197837981</v>
      </c>
      <c r="P23" s="47">
        <f t="shared" si="4"/>
        <v>2421.6399761116163</v>
      </c>
      <c r="Q23" s="47">
        <f t="shared" si="4"/>
        <v>2465.4901326310141</v>
      </c>
      <c r="R23" s="47">
        <f t="shared" si="4"/>
        <v>2510.1343114847568</v>
      </c>
      <c r="S23" s="47">
        <f t="shared" si="4"/>
        <v>2555.5868905341226</v>
      </c>
      <c r="T23" s="47">
        <f t="shared" si="4"/>
        <v>2601.8625079893563</v>
      </c>
      <c r="U23" s="47">
        <f t="shared" si="4"/>
        <v>2648.9760671239728</v>
      </c>
      <c r="V23" s="47">
        <f t="shared" si="4"/>
        <v>2696.9427410744242</v>
      </c>
      <c r="W23" s="47">
        <f t="shared" si="4"/>
        <v>2745.7779777266774</v>
      </c>
      <c r="X23" s="47">
        <f t="shared" si="4"/>
        <v>2795.4975046912755</v>
      </c>
      <c r="Y23" s="47">
        <f t="shared" si="4"/>
        <v>2846.1173343684877</v>
      </c>
      <c r="Z23" s="47">
        <f t="shared" si="4"/>
        <v>2897.6537691051749</v>
      </c>
      <c r="AA23" s="47">
        <f t="shared" si="4"/>
        <v>2950.123406445035</v>
      </c>
      <c r="AB23" s="47">
        <f t="shared" si="4"/>
        <v>3003.5431444739183</v>
      </c>
      <c r="AC23" s="47">
        <f t="shared" si="4"/>
        <v>3057.9301872619312</v>
      </c>
      <c r="AD23" s="47">
        <f t="shared" si="4"/>
        <v>3113.3020504040874</v>
      </c>
      <c r="AE23" s="47">
        <f t="shared" si="4"/>
        <v>3169.6765666612837</v>
      </c>
      <c r="AF23" s="47">
        <f t="shared" si="4"/>
        <v>3227.0718917034228</v>
      </c>
      <c r="AG23" s="47">
        <f t="shared" si="4"/>
        <v>3285.506509956529</v>
      </c>
      <c r="AH23" s="47">
        <f t="shared" si="4"/>
        <v>3344.9992405557423</v>
      </c>
      <c r="AI23" s="47">
        <f t="shared" si="4"/>
        <v>3405.5692434061061</v>
      </c>
      <c r="AJ23" s="47">
        <f t="shared" ref="AJ23:BE23" si="5">IF(((AJ26-$C$26)&gt;=$D$1),AI23*(1+$D$21),AI23)</f>
        <v>3467.2360253531024</v>
      </c>
      <c r="AK23" s="47">
        <f t="shared" si="5"/>
        <v>3530.0194464649203</v>
      </c>
      <c r="AL23" s="47">
        <f t="shared" si="5"/>
        <v>3593.9397264284808</v>
      </c>
      <c r="AM23" s="47">
        <f t="shared" si="5"/>
        <v>3659.0174510612801</v>
      </c>
      <c r="AN23" s="47">
        <f t="shared" si="5"/>
        <v>3725.2735789411449</v>
      </c>
      <c r="AO23" s="47">
        <f t="shared" si="5"/>
        <v>3792.7294481560398</v>
      </c>
      <c r="AP23" s="47">
        <f t="shared" si="5"/>
        <v>3861.4067831760931</v>
      </c>
      <c r="AQ23" s="47">
        <f t="shared" si="5"/>
        <v>3931.3277018500635</v>
      </c>
      <c r="AR23" s="47">
        <f t="shared" si="5"/>
        <v>4002.5147225284932</v>
      </c>
      <c r="AS23" s="47">
        <f t="shared" si="5"/>
        <v>4074.9907713158454</v>
      </c>
      <c r="AT23" s="47">
        <f t="shared" si="5"/>
        <v>4148.7791894539614</v>
      </c>
      <c r="AU23" s="47">
        <f t="shared" si="5"/>
        <v>4223.9037408392123</v>
      </c>
      <c r="AV23" s="47">
        <f t="shared" si="5"/>
        <v>4300.388619675773</v>
      </c>
      <c r="AW23" s="47">
        <f t="shared" si="5"/>
        <v>4378.2584582674726</v>
      </c>
      <c r="AX23" s="47">
        <f t="shared" si="5"/>
        <v>4457.5383349507429</v>
      </c>
      <c r="AY23" s="47">
        <f t="shared" si="5"/>
        <v>4538.2537821712076</v>
      </c>
      <c r="AZ23" s="47">
        <f t="shared" si="5"/>
        <v>4620.4307947065272</v>
      </c>
      <c r="BA23" s="47">
        <f t="shared" si="5"/>
        <v>4704.0958380381326</v>
      </c>
      <c r="BB23" s="47">
        <f t="shared" si="5"/>
        <v>4789.2758568745539</v>
      </c>
      <c r="BC23" s="47">
        <f t="shared" si="5"/>
        <v>4875.9982838290889</v>
      </c>
      <c r="BD23" s="47">
        <f t="shared" si="5"/>
        <v>4964.2910482545985</v>
      </c>
      <c r="BE23" s="47">
        <f t="shared" si="5"/>
        <v>5054.1825852382844</v>
      </c>
    </row>
    <row r="24" spans="2:58" x14ac:dyDescent="0.3">
      <c r="B24" s="33" t="s">
        <v>110</v>
      </c>
      <c r="C24" s="46">
        <f>'Tables and Outputs'!E123</f>
        <v>2174.44</v>
      </c>
      <c r="D24" s="46">
        <f t="shared" ref="D24:AI24" si="6">IF(((D26-$C$26)&gt;=$D$1),C24*(1+$D$22),C24)</f>
        <v>2174.44</v>
      </c>
      <c r="E24" s="46">
        <f t="shared" si="6"/>
        <v>2174.44</v>
      </c>
      <c r="F24" s="46">
        <f t="shared" si="6"/>
        <v>2174.44</v>
      </c>
      <c r="G24" s="46">
        <f t="shared" si="6"/>
        <v>2174.44</v>
      </c>
      <c r="H24" s="46">
        <f t="shared" si="6"/>
        <v>2174.44</v>
      </c>
      <c r="I24" s="46">
        <f t="shared" si="6"/>
        <v>2174.44</v>
      </c>
      <c r="J24" s="46">
        <f t="shared" si="6"/>
        <v>2174.44</v>
      </c>
      <c r="K24" s="46">
        <f t="shared" si="6"/>
        <v>2213.8336311089083</v>
      </c>
      <c r="L24" s="46">
        <f t="shared" si="6"/>
        <v>2253.9409439804517</v>
      </c>
      <c r="M24" s="33">
        <f t="shared" si="6"/>
        <v>2294.7748681579092</v>
      </c>
      <c r="N24" s="33">
        <f t="shared" si="6"/>
        <v>2336.3485674249418</v>
      </c>
      <c r="O24" s="33">
        <f t="shared" si="6"/>
        <v>2378.6754440492518</v>
      </c>
      <c r="P24" s="33">
        <f t="shared" si="6"/>
        <v>2421.7691431031208</v>
      </c>
      <c r="Q24" s="33">
        <f t="shared" si="6"/>
        <v>2465.6435568622223</v>
      </c>
      <c r="R24" s="33">
        <f t="shared" si="6"/>
        <v>2510.312829284127</v>
      </c>
      <c r="S24" s="33">
        <f t="shared" si="6"/>
        <v>2555.7913605679419</v>
      </c>
      <c r="T24" s="33">
        <f t="shared" si="6"/>
        <v>2602.0938117965561</v>
      </c>
      <c r="U24" s="33">
        <f t="shared" si="6"/>
        <v>2649.2351096629891</v>
      </c>
      <c r="V24" s="33">
        <f t="shared" si="6"/>
        <v>2697.230451282363</v>
      </c>
      <c r="W24" s="33">
        <f t="shared" si="6"/>
        <v>2746.0953090910548</v>
      </c>
      <c r="X24" s="33">
        <f t="shared" si="6"/>
        <v>2795.8454358346007</v>
      </c>
      <c r="Y24" s="33">
        <f t="shared" si="6"/>
        <v>2846.4968696459696</v>
      </c>
      <c r="Z24" s="33">
        <f t="shared" si="6"/>
        <v>2898.0659392158336</v>
      </c>
      <c r="AA24" s="33">
        <f t="shared" si="6"/>
        <v>2950.5692690565097</v>
      </c>
      <c r="AB24" s="33">
        <f t="shared" si="6"/>
        <v>3004.0237848612655</v>
      </c>
      <c r="AC24" s="33">
        <f t="shared" si="6"/>
        <v>3058.4467189607167</v>
      </c>
      <c r="AD24" s="33">
        <f t="shared" si="6"/>
        <v>3113.8556158780789</v>
      </c>
      <c r="AE24" s="33">
        <f t="shared" si="6"/>
        <v>3170.2683379850596</v>
      </c>
      <c r="AF24" s="33">
        <f t="shared" si="6"/>
        <v>3227.7030712602177</v>
      </c>
      <c r="AG24" s="33">
        <f t="shared" si="6"/>
        <v>3286.1783311516451</v>
      </c>
      <c r="AH24" s="33">
        <f t="shared" si="6"/>
        <v>3345.7129685458594</v>
      </c>
      <c r="AI24" s="33">
        <f t="shared" si="6"/>
        <v>3406.3261758448357</v>
      </c>
      <c r="AJ24" s="33">
        <f t="shared" ref="AJ24:BE24" si="7">IF(((AJ26-$C$26)&gt;=$D$1),AI24*(1+$D$22),AI24)</f>
        <v>3468.037493153131</v>
      </c>
      <c r="AK24" s="33">
        <f t="shared" si="7"/>
        <v>3530.8668145771007</v>
      </c>
      <c r="AL24" s="33">
        <f t="shared" si="7"/>
        <v>3594.8343946382365</v>
      </c>
      <c r="AM24" s="33">
        <f t="shared" si="7"/>
        <v>3659.9608548026899</v>
      </c>
      <c r="AN24" s="33">
        <f t="shared" si="7"/>
        <v>3726.2671901290919</v>
      </c>
      <c r="AO24" s="33">
        <f t="shared" si="7"/>
        <v>3793.7747760368075</v>
      </c>
      <c r="AP24" s="33">
        <f t="shared" si="7"/>
        <v>3862.5053751968094</v>
      </c>
      <c r="AQ24" s="33">
        <f t="shared" si="7"/>
        <v>3932.4811445473906</v>
      </c>
      <c r="AR24" s="33">
        <f t="shared" si="7"/>
        <v>4003.7246424369791</v>
      </c>
      <c r="AS24" s="33">
        <f t="shared" si="7"/>
        <v>4076.2588358963562</v>
      </c>
      <c r="AT24" s="33">
        <f t="shared" si="7"/>
        <v>4150.1071080426227</v>
      </c>
      <c r="AU24" s="33">
        <f t="shared" si="7"/>
        <v>4225.2932656173034</v>
      </c>
      <c r="AV24" s="33">
        <f t="shared" si="7"/>
        <v>4301.8415466610122</v>
      </c>
      <c r="AW24" s="33">
        <f t="shared" si="7"/>
        <v>4379.7766283271603</v>
      </c>
      <c r="AX24" s="33">
        <f t="shared" si="7"/>
        <v>4459.1236348372213</v>
      </c>
      <c r="AY24" s="33">
        <f t="shared" si="7"/>
        <v>4539.9081455801215</v>
      </c>
      <c r="AZ24" s="33">
        <f t="shared" si="7"/>
        <v>4622.1562033583587</v>
      </c>
      <c r="BA24" s="33">
        <f t="shared" si="7"/>
        <v>4705.8943227835216</v>
      </c>
      <c r="BB24" s="33">
        <f t="shared" si="7"/>
        <v>4791.1494988238992</v>
      </c>
      <c r="BC24" s="33">
        <f t="shared" si="7"/>
        <v>4877.9492155069529</v>
      </c>
      <c r="BD24" s="33">
        <f t="shared" si="7"/>
        <v>4966.3214547794414</v>
      </c>
      <c r="BE24" s="33">
        <f t="shared" si="7"/>
        <v>5056.2947055280656</v>
      </c>
    </row>
    <row r="25" spans="2:58" x14ac:dyDescent="0.3">
      <c r="B25" s="32"/>
      <c r="D25" s="33"/>
      <c r="E25" s="33"/>
      <c r="F25" s="33"/>
      <c r="G25" s="33"/>
    </row>
    <row r="26" spans="2:58" x14ac:dyDescent="0.3">
      <c r="B26" t="s">
        <v>47</v>
      </c>
      <c r="C26">
        <v>2020</v>
      </c>
      <c r="D26">
        <v>2021</v>
      </c>
      <c r="E26">
        <v>2022</v>
      </c>
      <c r="F26">
        <v>2023</v>
      </c>
      <c r="G26">
        <v>2024</v>
      </c>
      <c r="H26">
        <v>2025</v>
      </c>
      <c r="I26">
        <v>2026</v>
      </c>
      <c r="J26">
        <v>2027</v>
      </c>
      <c r="K26">
        <v>2028</v>
      </c>
      <c r="L26">
        <v>2029</v>
      </c>
      <c r="M26">
        <v>2030</v>
      </c>
      <c r="N26">
        <v>2031</v>
      </c>
      <c r="O26">
        <v>2032</v>
      </c>
      <c r="P26">
        <v>2033</v>
      </c>
      <c r="Q26">
        <v>2034</v>
      </c>
      <c r="R26">
        <v>2035</v>
      </c>
      <c r="S26">
        <v>2036</v>
      </c>
      <c r="T26">
        <v>2037</v>
      </c>
      <c r="U26">
        <v>2038</v>
      </c>
      <c r="V26">
        <v>2039</v>
      </c>
      <c r="W26">
        <v>2040</v>
      </c>
      <c r="X26">
        <v>2041</v>
      </c>
      <c r="Y26">
        <v>2042</v>
      </c>
      <c r="Z26">
        <v>2043</v>
      </c>
      <c r="AA26">
        <v>2044</v>
      </c>
      <c r="AB26">
        <v>2045</v>
      </c>
      <c r="AC26">
        <v>2046</v>
      </c>
      <c r="AD26">
        <v>2047</v>
      </c>
      <c r="AE26">
        <v>2048</v>
      </c>
      <c r="AF26">
        <v>2049</v>
      </c>
      <c r="AG26">
        <v>2050</v>
      </c>
      <c r="AH26">
        <v>2051</v>
      </c>
      <c r="AI26">
        <v>2052</v>
      </c>
      <c r="AJ26">
        <v>2053</v>
      </c>
      <c r="AK26">
        <v>2054</v>
      </c>
      <c r="AL26">
        <v>2055</v>
      </c>
      <c r="AM26">
        <v>2056</v>
      </c>
      <c r="AN26">
        <v>2057</v>
      </c>
      <c r="AO26">
        <v>2058</v>
      </c>
      <c r="AP26">
        <v>2059</v>
      </c>
      <c r="AQ26">
        <v>2060</v>
      </c>
      <c r="AR26">
        <v>2061</v>
      </c>
      <c r="AS26">
        <v>2062</v>
      </c>
      <c r="AT26">
        <v>2063</v>
      </c>
      <c r="AU26">
        <v>2064</v>
      </c>
      <c r="AV26">
        <v>2065</v>
      </c>
      <c r="AW26">
        <v>2066</v>
      </c>
      <c r="AX26">
        <v>2067</v>
      </c>
      <c r="AY26">
        <v>2068</v>
      </c>
      <c r="AZ26">
        <v>2069</v>
      </c>
      <c r="BA26">
        <v>2070</v>
      </c>
      <c r="BB26">
        <v>2071</v>
      </c>
      <c r="BC26">
        <v>2072</v>
      </c>
      <c r="BD26">
        <v>2073</v>
      </c>
      <c r="BE26">
        <v>2074</v>
      </c>
    </row>
    <row r="27" spans="2:58" x14ac:dyDescent="0.3">
      <c r="B27" s="33" t="s">
        <v>111</v>
      </c>
      <c r="C27" s="38">
        <f>-'Tables and Outputs'!E101/'Tables and Outputs'!E120</f>
        <v>-0.34324588655476795</v>
      </c>
      <c r="D27" s="38">
        <f>D24-D23</f>
        <v>0</v>
      </c>
      <c r="E27" s="38">
        <f t="shared" ref="E27:BE27" si="8">E24-E23</f>
        <v>0</v>
      </c>
      <c r="F27" s="38">
        <f t="shared" si="8"/>
        <v>0</v>
      </c>
      <c r="G27" s="38">
        <f t="shared" si="8"/>
        <v>0</v>
      </c>
      <c r="H27" s="38">
        <f t="shared" si="8"/>
        <v>0</v>
      </c>
      <c r="I27" s="38">
        <f t="shared" si="8"/>
        <v>0</v>
      </c>
      <c r="J27" s="38">
        <f t="shared" si="8"/>
        <v>0</v>
      </c>
      <c r="K27" s="38">
        <f t="shared" si="8"/>
        <v>1.9679868170896953E-2</v>
      </c>
      <c r="L27" s="38">
        <f t="shared" si="8"/>
        <v>4.0072625929951755E-2</v>
      </c>
      <c r="M27" s="38">
        <f t="shared" si="8"/>
        <v>6.1197641226954147E-2</v>
      </c>
      <c r="N27" s="38">
        <f t="shared" si="8"/>
        <v>8.3074749737534148E-2</v>
      </c>
      <c r="O27" s="38">
        <f t="shared" si="8"/>
        <v>0.10572426545377311</v>
      </c>
      <c r="P27" s="38">
        <f t="shared" si="8"/>
        <v>0.1291669915044622</v>
      </c>
      <c r="Q27" s="38">
        <f t="shared" si="8"/>
        <v>0.15342423120819149</v>
      </c>
      <c r="R27" s="38">
        <f t="shared" si="8"/>
        <v>0.17851779937018364</v>
      </c>
      <c r="S27" s="38">
        <f t="shared" si="8"/>
        <v>0.20447003381923423</v>
      </c>
      <c r="T27" s="38">
        <f t="shared" si="8"/>
        <v>0.23130380719976529</v>
      </c>
      <c r="U27" s="38">
        <f t="shared" si="8"/>
        <v>0.25904253901626362</v>
      </c>
      <c r="V27" s="38">
        <f t="shared" si="8"/>
        <v>0.28771020793874413</v>
      </c>
      <c r="W27" s="38">
        <f t="shared" si="8"/>
        <v>0.3173313643774236</v>
      </c>
      <c r="X27" s="38">
        <f t="shared" si="8"/>
        <v>0.34793114332524055</v>
      </c>
      <c r="Y27" s="38">
        <f t="shared" si="8"/>
        <v>0.37953527748186389</v>
      </c>
      <c r="Z27" s="38">
        <f t="shared" si="8"/>
        <v>0.41217011065873521</v>
      </c>
      <c r="AA27" s="38">
        <f t="shared" si="8"/>
        <v>0.44586261147469486</v>
      </c>
      <c r="AB27" s="38">
        <f t="shared" si="8"/>
        <v>0.48064038734719361</v>
      </c>
      <c r="AC27" s="38">
        <f t="shared" si="8"/>
        <v>0.51653169878545668</v>
      </c>
      <c r="AD27" s="38">
        <f t="shared" si="8"/>
        <v>0.55356547399151168</v>
      </c>
      <c r="AE27" s="38">
        <f t="shared" si="8"/>
        <v>0.59177132377590169</v>
      </c>
      <c r="AF27" s="38">
        <f t="shared" si="8"/>
        <v>0.63117955679490478</v>
      </c>
      <c r="AG27" s="38">
        <f t="shared" si="8"/>
        <v>0.67182119511608107</v>
      </c>
      <c r="AH27" s="38">
        <f t="shared" si="8"/>
        <v>0.7137279901171496</v>
      </c>
      <c r="AI27" s="38">
        <f t="shared" si="8"/>
        <v>0.75693243872956373</v>
      </c>
      <c r="AJ27" s="38">
        <f t="shared" si="8"/>
        <v>0.80146780002860396</v>
      </c>
      <c r="AK27" s="38">
        <f t="shared" si="8"/>
        <v>0.8473681121804475</v>
      </c>
      <c r="AL27" s="38">
        <f t="shared" si="8"/>
        <v>0.89466820975576411</v>
      </c>
      <c r="AM27" s="38">
        <f t="shared" si="8"/>
        <v>0.9434037414098384</v>
      </c>
      <c r="AN27" s="38">
        <f t="shared" si="8"/>
        <v>0.99361118794695358</v>
      </c>
      <c r="AO27" s="38">
        <f t="shared" si="8"/>
        <v>1.0453278807676725</v>
      </c>
      <c r="AP27" s="38">
        <f t="shared" si="8"/>
        <v>1.0985920207162962</v>
      </c>
      <c r="AQ27" s="38">
        <f t="shared" si="8"/>
        <v>1.1534426973271366</v>
      </c>
      <c r="AR27" s="38">
        <f t="shared" si="8"/>
        <v>1.209919908485972</v>
      </c>
      <c r="AS27" s="38">
        <f t="shared" si="8"/>
        <v>1.2680645805107815</v>
      </c>
      <c r="AT27" s="38">
        <f t="shared" si="8"/>
        <v>1.327918588661305</v>
      </c>
      <c r="AU27" s="38">
        <f t="shared" si="8"/>
        <v>1.3895247780910722</v>
      </c>
      <c r="AV27" s="38">
        <f t="shared" si="8"/>
        <v>1.4529269852391735</v>
      </c>
      <c r="AW27" s="38">
        <f t="shared" si="8"/>
        <v>1.5181700596876908</v>
      </c>
      <c r="AX27" s="38">
        <f t="shared" si="8"/>
        <v>1.585299886478424</v>
      </c>
      <c r="AY27" s="38">
        <f t="shared" si="8"/>
        <v>1.6543634089139232</v>
      </c>
      <c r="AZ27" s="38">
        <f t="shared" si="8"/>
        <v>1.725408651831458</v>
      </c>
      <c r="BA27" s="38">
        <f t="shared" si="8"/>
        <v>1.7984847453890325</v>
      </c>
      <c r="BB27" s="38">
        <f t="shared" si="8"/>
        <v>1.8736419493452559</v>
      </c>
      <c r="BC27" s="38">
        <f t="shared" si="8"/>
        <v>1.9509316778639914</v>
      </c>
      <c r="BD27" s="38">
        <f t="shared" si="8"/>
        <v>2.0304065248428742</v>
      </c>
      <c r="BE27" s="38">
        <f t="shared" si="8"/>
        <v>2.11212028978116</v>
      </c>
    </row>
    <row r="28" spans="2:58" ht="28.8" x14ac:dyDescent="0.3">
      <c r="B28" s="39" t="s">
        <v>112</v>
      </c>
      <c r="C28" s="40">
        <f t="shared" ref="C28:AH28" si="9">IFERROR(C27/(1+$D$2)^(C26-$C$26),"")</f>
        <v>-0.34324588655476795</v>
      </c>
      <c r="D28" s="40">
        <f t="shared" si="9"/>
        <v>0</v>
      </c>
      <c r="E28" s="40">
        <f t="shared" si="9"/>
        <v>0</v>
      </c>
      <c r="F28" s="40">
        <f t="shared" si="9"/>
        <v>0</v>
      </c>
      <c r="G28" s="40">
        <f t="shared" si="9"/>
        <v>0</v>
      </c>
      <c r="H28" s="40">
        <f t="shared" si="9"/>
        <v>0</v>
      </c>
      <c r="I28" s="40">
        <f t="shared" si="9"/>
        <v>0</v>
      </c>
      <c r="J28" s="40">
        <f t="shared" si="9"/>
        <v>0</v>
      </c>
      <c r="K28" s="40">
        <f t="shared" si="9"/>
        <v>1.332010941759856E-2</v>
      </c>
      <c r="L28" s="40">
        <f t="shared" si="9"/>
        <v>2.5831171970707403E-2</v>
      </c>
      <c r="M28" s="40">
        <f t="shared" si="9"/>
        <v>3.7570043034659523E-2</v>
      </c>
      <c r="N28" s="40">
        <f t="shared" si="9"/>
        <v>4.8572085617575166E-2</v>
      </c>
      <c r="O28" s="40">
        <f t="shared" si="9"/>
        <v>5.8871227013997968E-2</v>
      </c>
      <c r="P28" s="40">
        <f t="shared" si="9"/>
        <v>6.8500013393435699E-2</v>
      </c>
      <c r="Q28" s="40">
        <f t="shared" si="9"/>
        <v>7.7489662396232478E-2</v>
      </c>
      <c r="R28" s="40">
        <f t="shared" si="9"/>
        <v>8.5870113810631754E-2</v>
      </c>
      <c r="S28" s="40">
        <f t="shared" si="9"/>
        <v>9.367007839456247E-2</v>
      </c>
      <c r="T28" s="40">
        <f t="shared" si="9"/>
        <v>0.10091708491303795</v>
      </c>
      <c r="U28" s="40">
        <f t="shared" si="9"/>
        <v>0.10763752545057341</v>
      </c>
      <c r="V28" s="40">
        <f t="shared" si="9"/>
        <v>0.11385669906168258</v>
      </c>
      <c r="W28" s="40">
        <f t="shared" si="9"/>
        <v>0.1195988538195909</v>
      </c>
      <c r="X28" s="40">
        <f t="shared" si="9"/>
        <v>0.12488722731739216</v>
      </c>
      <c r="Y28" s="40">
        <f t="shared" si="9"/>
        <v>0.12974408568000043</v>
      </c>
      <c r="Z28" s="40">
        <f t="shared" si="9"/>
        <v>0.13419076113756884</v>
      </c>
      <c r="AA28" s="40">
        <f t="shared" si="9"/>
        <v>0.1382476882131238</v>
      </c>
      <c r="AB28" s="40">
        <f t="shared" si="9"/>
        <v>0.14193443857351226</v>
      </c>
      <c r="AC28" s="40">
        <f t="shared" si="9"/>
        <v>0.1452697545915228</v>
      </c>
      <c r="AD28" s="40">
        <f t="shared" si="9"/>
        <v>0.14827158166519622</v>
      </c>
      <c r="AE28" s="40">
        <f t="shared" si="9"/>
        <v>0.15095709933897208</v>
      </c>
      <c r="AF28" s="40">
        <f t="shared" si="9"/>
        <v>0.15334275126968736</v>
      </c>
      <c r="AG28" s="40">
        <f t="shared" si="9"/>
        <v>0.15544427407888831</v>
      </c>
      <c r="AH28" s="40">
        <f t="shared" si="9"/>
        <v>0.15727672513102814</v>
      </c>
      <c r="AI28" s="40">
        <f t="shared" ref="AI28:BE28" si="10">IFERROR(AI27/(1+$D$2)^(AI26-$C$26),"")</f>
        <v>0.158854509277191</v>
      </c>
      <c r="AJ28" s="40">
        <f t="shared" si="10"/>
        <v>0.16019140460031689</v>
      </c>
      <c r="AK28" s="40">
        <f t="shared" si="10"/>
        <v>0.16130058719866136</v>
      </c>
      <c r="AL28" s="40">
        <f t="shared" si="10"/>
        <v>0.16219465504250183</v>
      </c>
      <c r="AM28" s="40">
        <f t="shared" si="10"/>
        <v>0.16288565093607479</v>
      </c>
      <c r="AN28" s="40">
        <f t="shared" si="10"/>
        <v>0.16338508461897178</v>
      </c>
      <c r="AO28" s="40">
        <f t="shared" si="10"/>
        <v>0.16370395403639013</v>
      </c>
      <c r="AP28" s="40">
        <f t="shared" si="10"/>
        <v>0.1638527658099016</v>
      </c>
      <c r="AQ28" s="40">
        <f t="shared" si="10"/>
        <v>0.16384155493610597</v>
      </c>
      <c r="AR28" s="40">
        <f t="shared" si="10"/>
        <v>0.16367990374245675</v>
      </c>
      <c r="AS28" s="40">
        <f t="shared" si="10"/>
        <v>0.16337696012650299</v>
      </c>
      <c r="AT28" s="40">
        <f t="shared" si="10"/>
        <v>0.1629414551047334</v>
      </c>
      <c r="AU28" s="40">
        <f t="shared" si="10"/>
        <v>0.16238171969670126</v>
      </c>
      <c r="AV28" s="40">
        <f t="shared" si="10"/>
        <v>0.16170570116716235</v>
      </c>
      <c r="AW28" s="40">
        <f t="shared" si="10"/>
        <v>0.160920978651655</v>
      </c>
      <c r="AX28" s="40">
        <f t="shared" si="10"/>
        <v>0.16003477818611431</v>
      </c>
      <c r="AY28" s="40">
        <f t="shared" si="10"/>
        <v>0.15905398716398933</v>
      </c>
      <c r="AZ28" s="40">
        <f t="shared" si="10"/>
        <v>0.15798516823959843</v>
      </c>
      <c r="BA28" s="40">
        <f t="shared" si="10"/>
        <v>0.1568345727008966</v>
      </c>
      <c r="BB28" s="40">
        <f t="shared" si="10"/>
        <v>0.15560815332828823</v>
      </c>
      <c r="BC28" s="40">
        <f t="shared" si="10"/>
        <v>0.15431157676029011</v>
      </c>
      <c r="BD28" s="40">
        <f t="shared" si="10"/>
        <v>0.15295023538308011</v>
      </c>
      <c r="BE28" s="40">
        <f t="shared" si="10"/>
        <v>0.15152925876185472</v>
      </c>
      <c r="BF28" s="41"/>
    </row>
    <row r="29" spans="2:58" x14ac:dyDescent="0.3">
      <c r="B29" s="39"/>
      <c r="C29" s="40" t="s">
        <v>113</v>
      </c>
      <c r="D29" s="40">
        <f>NPV(D2,C28:BE28)</f>
        <v>0.97901925124913014</v>
      </c>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1"/>
      <c r="AZ29" s="41"/>
      <c r="BA29" s="41"/>
      <c r="BB29" s="41"/>
      <c r="BC29" s="41"/>
      <c r="BD29" s="41"/>
      <c r="BE29" s="41"/>
      <c r="BF29" s="41"/>
    </row>
    <row r="30" spans="2:58" x14ac:dyDescent="0.3">
      <c r="B30" s="39"/>
      <c r="C30" s="40" t="s">
        <v>114</v>
      </c>
      <c r="D30" s="40">
        <f>D29/-C28</f>
        <v>2.8522388456734467</v>
      </c>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1"/>
      <c r="AZ30" s="41"/>
      <c r="BA30" s="41"/>
      <c r="BB30" s="41"/>
      <c r="BC30" s="41"/>
      <c r="BD30" s="41"/>
      <c r="BE30" s="41"/>
      <c r="BF30" s="41"/>
    </row>
    <row r="31" spans="2:58" x14ac:dyDescent="0.3">
      <c r="B31" s="39"/>
      <c r="C31" s="40" t="s">
        <v>78</v>
      </c>
      <c r="D31" s="42">
        <f>D30*'Tables and Outputs'!E101</f>
        <v>2852238845.6734467</v>
      </c>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1"/>
      <c r="AZ31" s="41"/>
      <c r="BA31" s="41"/>
      <c r="BB31" s="41"/>
      <c r="BC31" s="41"/>
      <c r="BD31" s="41"/>
      <c r="BE31" s="41"/>
      <c r="BF31" s="41"/>
    </row>
    <row r="32" spans="2:58" ht="28.8" x14ac:dyDescent="0.3">
      <c r="B32" s="39" t="s">
        <v>116</v>
      </c>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1"/>
      <c r="AZ32" s="41"/>
      <c r="BA32" s="41"/>
      <c r="BB32" s="41"/>
      <c r="BC32" s="41"/>
      <c r="BD32" s="41"/>
      <c r="BE32" s="41"/>
      <c r="BF32" s="41"/>
    </row>
    <row r="33" spans="2:58" x14ac:dyDescent="0.3">
      <c r="B33" s="32"/>
      <c r="C33" t="s">
        <v>107</v>
      </c>
      <c r="D33" s="21">
        <f>'Tables and Outputs'!F124</f>
        <v>2.0565012052548681E-2</v>
      </c>
      <c r="E33" s="33"/>
      <c r="F33" s="33"/>
      <c r="G33" s="33"/>
    </row>
    <row r="34" spans="2:58" x14ac:dyDescent="0.3">
      <c r="B34" s="32"/>
      <c r="C34" s="33" t="s">
        <v>108</v>
      </c>
      <c r="D34" s="35">
        <f>'Tables and Outputs'!F124+('Tables and Outputs'!F122/100)</f>
        <v>2.0566907074577777E-2</v>
      </c>
      <c r="E34" s="33"/>
      <c r="F34" s="33"/>
      <c r="G34" s="33"/>
    </row>
    <row r="35" spans="2:58" x14ac:dyDescent="0.3">
      <c r="B35" s="33" t="s">
        <v>109</v>
      </c>
      <c r="C35" s="36">
        <f>'Tables and Outputs'!F123</f>
        <v>9036.7649999999994</v>
      </c>
      <c r="D35" s="37">
        <f t="shared" ref="D35:AI35" si="11">IF(((D38-$C$38)&gt;=$D$1),C35*(1+$D$33),C35)</f>
        <v>9036.7649999999994</v>
      </c>
      <c r="E35" s="37">
        <f t="shared" si="11"/>
        <v>9036.7649999999994</v>
      </c>
      <c r="F35" s="37">
        <f t="shared" si="11"/>
        <v>9036.7649999999994</v>
      </c>
      <c r="G35" s="37">
        <f t="shared" si="11"/>
        <v>9036.7649999999994</v>
      </c>
      <c r="H35" s="37">
        <f t="shared" si="11"/>
        <v>9036.7649999999994</v>
      </c>
      <c r="I35" s="37">
        <f t="shared" si="11"/>
        <v>9036.7649999999994</v>
      </c>
      <c r="J35" s="37">
        <f t="shared" si="11"/>
        <v>9036.7649999999994</v>
      </c>
      <c r="K35" s="37">
        <f t="shared" si="11"/>
        <v>9222.6061811410491</v>
      </c>
      <c r="L35" s="37">
        <f t="shared" si="11"/>
        <v>9412.269188412125</v>
      </c>
      <c r="M35" s="37">
        <f t="shared" si="11"/>
        <v>9605.8326177136532</v>
      </c>
      <c r="N35" s="37">
        <f t="shared" si="11"/>
        <v>9803.3766812717004</v>
      </c>
      <c r="O35" s="37">
        <f t="shared" si="11"/>
        <v>10004.983240877727</v>
      </c>
      <c r="P35" s="37">
        <f t="shared" si="11"/>
        <v>10210.735841811926</v>
      </c>
      <c r="Q35" s="37">
        <f t="shared" si="11"/>
        <v>10420.719747464178</v>
      </c>
      <c r="R35" s="37">
        <f t="shared" si="11"/>
        <v>10635.02197466701</v>
      </c>
      <c r="S35" s="37">
        <f t="shared" si="11"/>
        <v>10853.731329755157</v>
      </c>
      <c r="T35" s="37">
        <f t="shared" si="11"/>
        <v>11076.938445366697</v>
      </c>
      <c r="U35" s="37">
        <f t="shared" si="11"/>
        <v>11304.735818001003</v>
      </c>
      <c r="V35" s="37">
        <f t="shared" si="11"/>
        <v>11537.217846349073</v>
      </c>
      <c r="W35" s="37">
        <f t="shared" si="11"/>
        <v>11774.480870412121</v>
      </c>
      <c r="X35" s="37">
        <f t="shared" si="11"/>
        <v>12016.62321142465</v>
      </c>
      <c r="Y35" s="37">
        <f t="shared" si="11"/>
        <v>12263.745212598535</v>
      </c>
      <c r="Z35" s="37">
        <f t="shared" si="11"/>
        <v>12515.94928070501</v>
      </c>
      <c r="AA35" s="37">
        <f t="shared" si="11"/>
        <v>12773.339928511796</v>
      </c>
      <c r="AB35" s="37">
        <f t="shared" si="11"/>
        <v>13036.023818092943</v>
      </c>
      <c r="AC35" s="37">
        <f t="shared" si="11"/>
        <v>13304.109805029335</v>
      </c>
      <c r="AD35" s="37">
        <f t="shared" si="11"/>
        <v>13577.708983518194</v>
      </c>
      <c r="AE35" s="37">
        <f t="shared" si="11"/>
        <v>13856.934732410244</v>
      </c>
      <c r="AF35" s="37">
        <f t="shared" si="11"/>
        <v>14141.90276219364</v>
      </c>
      <c r="AG35" s="37">
        <f t="shared" si="11"/>
        <v>14432.731162944125</v>
      </c>
      <c r="AH35" s="37">
        <f t="shared" si="11"/>
        <v>14729.540453261265</v>
      </c>
      <c r="AI35" s="37">
        <f t="shared" si="11"/>
        <v>15032.453630211086</v>
      </c>
      <c r="AJ35" s="37">
        <f t="shared" ref="AJ35:BE35" si="12">IF(((AJ38-$C$38)&gt;=$D$1),AI35*(1+$D$33),AI35)</f>
        <v>15341.596220295756</v>
      </c>
      <c r="AK35" s="37">
        <f t="shared" si="12"/>
        <v>15657.096331471474</v>
      </c>
      <c r="AL35" s="37">
        <f t="shared" si="12"/>
        <v>15979.084706236101</v>
      </c>
      <c r="AM35" s="37">
        <f t="shared" si="12"/>
        <v>16307.694775808543</v>
      </c>
      <c r="AN35" s="37">
        <f t="shared" si="12"/>
        <v>16643.062715422329</v>
      </c>
      <c r="AO35" s="37">
        <f t="shared" si="12"/>
        <v>16985.327500756313</v>
      </c>
      <c r="AP35" s="37">
        <f t="shared" si="12"/>
        <v>17334.630965525852</v>
      </c>
      <c r="AQ35" s="37">
        <f t="shared" si="12"/>
        <v>17691.117860258375</v>
      </c>
      <c r="AR35" s="37">
        <f t="shared" si="12"/>
        <v>18054.935912277648</v>
      </c>
      <c r="AS35" s="37">
        <f t="shared" si="12"/>
        <v>18426.235886921633</v>
      </c>
      <c r="AT35" s="37">
        <f t="shared" si="12"/>
        <v>18805.171650019282</v>
      </c>
      <c r="AU35" s="37">
        <f t="shared" si="12"/>
        <v>19191.900231652176</v>
      </c>
      <c r="AV35" s="37">
        <f t="shared" si="12"/>
        <v>19586.581891227415</v>
      </c>
      <c r="AW35" s="37">
        <f t="shared" si="12"/>
        <v>19989.380183888738</v>
      </c>
      <c r="AX35" s="37">
        <f t="shared" si="12"/>
        <v>20400.462028293387</v>
      </c>
      <c r="AY35" s="37">
        <f t="shared" si="12"/>
        <v>20819.997775782802</v>
      </c>
      <c r="AZ35" s="37">
        <f t="shared" si="12"/>
        <v>21248.161280975812</v>
      </c>
      <c r="BA35" s="37">
        <f t="shared" si="12"/>
        <v>21685.129973813579</v>
      </c>
      <c r="BB35" s="37">
        <f t="shared" si="12"/>
        <v>22131.084933086138</v>
      </c>
      <c r="BC35" s="37">
        <f t="shared" si="12"/>
        <v>22586.210961471032</v>
      </c>
      <c r="BD35" s="37">
        <f t="shared" si="12"/>
        <v>23050.69666211509</v>
      </c>
      <c r="BE35" s="37">
        <f t="shared" si="12"/>
        <v>23524.73451679113</v>
      </c>
    </row>
    <row r="36" spans="2:58" x14ac:dyDescent="0.3">
      <c r="B36" s="33" t="s">
        <v>110</v>
      </c>
      <c r="C36" s="36">
        <f>'Tables and Outputs'!F123</f>
        <v>9036.7649999999994</v>
      </c>
      <c r="D36" s="33">
        <f t="shared" ref="D36:AI36" si="13">IF(((D38-$C$38)&gt;=$D$1),C36*(1+$D$34),C36)</f>
        <v>9036.7649999999994</v>
      </c>
      <c r="E36" s="33">
        <f t="shared" si="13"/>
        <v>9036.7649999999994</v>
      </c>
      <c r="F36" s="33">
        <f t="shared" si="13"/>
        <v>9036.7649999999994</v>
      </c>
      <c r="G36" s="33">
        <f t="shared" si="13"/>
        <v>9036.7649999999994</v>
      </c>
      <c r="H36" s="33">
        <f t="shared" si="13"/>
        <v>9036.7649999999994</v>
      </c>
      <c r="I36" s="33">
        <f t="shared" si="13"/>
        <v>9036.7649999999994</v>
      </c>
      <c r="J36" s="33">
        <f t="shared" si="13"/>
        <v>9036.7649999999994</v>
      </c>
      <c r="K36" s="33">
        <f t="shared" si="13"/>
        <v>9222.6233060097966</v>
      </c>
      <c r="L36" s="33">
        <f t="shared" si="13"/>
        <v>9412.3041425283354</v>
      </c>
      <c r="M36" s="33">
        <f t="shared" si="13"/>
        <v>9605.8861271853784</v>
      </c>
      <c r="N36" s="33">
        <f t="shared" si="13"/>
        <v>9803.4494945321749</v>
      </c>
      <c r="O36" s="33">
        <f t="shared" si="13"/>
        <v>10005.076129296534</v>
      </c>
      <c r="P36" s="33">
        <f t="shared" si="13"/>
        <v>10210.849600321852</v>
      </c>
      <c r="Q36" s="33">
        <f t="shared" si="13"/>
        <v>10420.85519520416</v>
      </c>
      <c r="R36" s="33">
        <f t="shared" si="13"/>
        <v>10635.179955641555</v>
      </c>
      <c r="S36" s="33">
        <f t="shared" si="13"/>
        <v>10853.912713510646</v>
      </c>
      <c r="T36" s="33">
        <f t="shared" si="13"/>
        <v>11077.144127684998</v>
      </c>
      <c r="U36" s="33">
        <f t="shared" si="13"/>
        <v>11304.966721610801</v>
      </c>
      <c r="V36" s="33">
        <f t="shared" si="13"/>
        <v>11537.474921655365</v>
      </c>
      <c r="W36" s="33">
        <f t="shared" si="13"/>
        <v>11774.765096244322</v>
      </c>
      <c r="X36" s="33">
        <f t="shared" si="13"/>
        <v>12016.935595803761</v>
      </c>
      <c r="Y36" s="33">
        <f t="shared" si="13"/>
        <v>12264.086793523842</v>
      </c>
      <c r="Z36" s="33">
        <f t="shared" si="13"/>
        <v>12516.321126960804</v>
      </c>
      <c r="AA36" s="33">
        <f t="shared" si="13"/>
        <v>12773.74314049458</v>
      </c>
      <c r="AB36" s="33">
        <f t="shared" si="13"/>
        <v>13036.459528659658</v>
      </c>
      <c r="AC36" s="33">
        <f t="shared" si="13"/>
        <v>13304.579180367095</v>
      </c>
      <c r="AD36" s="33">
        <f t="shared" si="13"/>
        <v>13578.213224036066</v>
      </c>
      <c r="AE36" s="33">
        <f t="shared" si="13"/>
        <v>13857.475073653619</v>
      </c>
      <c r="AF36" s="33">
        <f t="shared" si="13"/>
        <v>14142.480475781731</v>
      </c>
      <c r="AG36" s="33">
        <f t="shared" si="13"/>
        <v>14433.347557531164</v>
      </c>
      <c r="AH36" s="33">
        <f t="shared" si="13"/>
        <v>14730.196875521991</v>
      </c>
      <c r="AI36" s="33">
        <f t="shared" si="13"/>
        <v>15033.151465851088</v>
      </c>
      <c r="AJ36" s="33">
        <f t="shared" ref="AJ36:BE36" si="14">IF(((AJ38-$C$38)&gt;=$D$1),AI36*(1+$D$34),AI36)</f>
        <v>15342.336895087299</v>
      </c>
      <c r="AK36" s="33">
        <f t="shared" si="14"/>
        <v>15657.881312315425</v>
      </c>
      <c r="AL36" s="33">
        <f t="shared" si="14"/>
        <v>15979.915502250584</v>
      </c>
      <c r="AM36" s="33">
        <f t="shared" si="14"/>
        <v>16308.572939444975</v>
      </c>
      <c r="AN36" s="33">
        <f t="shared" si="14"/>
        <v>16643.989843609514</v>
      </c>
      <c r="AO36" s="33">
        <f t="shared" si="14"/>
        <v>16986.305236073247</v>
      </c>
      <c r="AP36" s="33">
        <f t="shared" si="14"/>
        <v>17335.660997403978</v>
      </c>
      <c r="AQ36" s="33">
        <f t="shared" si="14"/>
        <v>17692.201926213969</v>
      </c>
      <c r="AR36" s="33">
        <f t="shared" si="14"/>
        <v>18056.075799175076</v>
      </c>
      <c r="AS36" s="33">
        <f t="shared" si="14"/>
        <v>18427.433432268241</v>
      </c>
      <c r="AT36" s="33">
        <f t="shared" si="14"/>
        <v>18806.428743292669</v>
      </c>
      <c r="AU36" s="33">
        <f t="shared" si="14"/>
        <v>19193.218815660635</v>
      </c>
      <c r="AV36" s="33">
        <f t="shared" si="14"/>
        <v>19587.963963504364</v>
      </c>
      <c r="AW36" s="33">
        <f t="shared" si="14"/>
        <v>19990.827798121936</v>
      </c>
      <c r="AX36" s="33">
        <f t="shared" si="14"/>
        <v>20401.977295789795</v>
      </c>
      <c r="AY36" s="33">
        <f t="shared" si="14"/>
        <v>20821.582866969948</v>
      </c>
      <c r="AZ36" s="33">
        <f t="shared" si="14"/>
        <v>21249.818426940539</v>
      </c>
      <c r="BA36" s="33">
        <f t="shared" si="14"/>
        <v>21686.861467879076</v>
      </c>
      <c r="BB36" s="33">
        <f t="shared" si="14"/>
        <v>22132.893132428188</v>
      </c>
      <c r="BC36" s="33">
        <f t="shared" si="14"/>
        <v>22588.098288774399</v>
      </c>
      <c r="BD36" s="33">
        <f t="shared" si="14"/>
        <v>23052.66560727105</v>
      </c>
      <c r="BE36" s="33">
        <f t="shared" si="14"/>
        <v>23526.78763863711</v>
      </c>
    </row>
    <row r="37" spans="2:58" x14ac:dyDescent="0.3">
      <c r="B37" s="32"/>
      <c r="D37" s="33"/>
      <c r="E37" s="33"/>
      <c r="F37" s="33"/>
      <c r="G37" s="33"/>
    </row>
    <row r="38" spans="2:58" x14ac:dyDescent="0.3">
      <c r="B38" t="s">
        <v>48</v>
      </c>
      <c r="C38">
        <v>2020</v>
      </c>
      <c r="D38">
        <v>2021</v>
      </c>
      <c r="E38">
        <v>2022</v>
      </c>
      <c r="F38">
        <v>2023</v>
      </c>
      <c r="G38">
        <v>2024</v>
      </c>
      <c r="H38">
        <v>2025</v>
      </c>
      <c r="I38">
        <v>2026</v>
      </c>
      <c r="J38">
        <v>2027</v>
      </c>
      <c r="K38">
        <v>2028</v>
      </c>
      <c r="L38">
        <v>2029</v>
      </c>
      <c r="M38">
        <v>2030</v>
      </c>
      <c r="N38">
        <v>2031</v>
      </c>
      <c r="O38">
        <v>2032</v>
      </c>
      <c r="P38">
        <v>2033</v>
      </c>
      <c r="Q38">
        <v>2034</v>
      </c>
      <c r="R38">
        <v>2035</v>
      </c>
      <c r="S38">
        <v>2036</v>
      </c>
      <c r="T38">
        <v>2037</v>
      </c>
      <c r="U38">
        <v>2038</v>
      </c>
      <c r="V38">
        <v>2039</v>
      </c>
      <c r="W38">
        <v>2040</v>
      </c>
      <c r="X38">
        <v>2041</v>
      </c>
      <c r="Y38">
        <v>2042</v>
      </c>
      <c r="Z38">
        <v>2043</v>
      </c>
      <c r="AA38">
        <v>2044</v>
      </c>
      <c r="AB38">
        <v>2045</v>
      </c>
      <c r="AC38">
        <v>2046</v>
      </c>
      <c r="AD38">
        <v>2047</v>
      </c>
      <c r="AE38">
        <v>2048</v>
      </c>
      <c r="AF38">
        <v>2049</v>
      </c>
      <c r="AG38">
        <v>2050</v>
      </c>
      <c r="AH38">
        <v>2051</v>
      </c>
      <c r="AI38">
        <v>2052</v>
      </c>
      <c r="AJ38">
        <v>2053</v>
      </c>
      <c r="AK38">
        <v>2054</v>
      </c>
      <c r="AL38">
        <v>2055</v>
      </c>
      <c r="AM38">
        <v>2056</v>
      </c>
      <c r="AN38">
        <v>2057</v>
      </c>
      <c r="AO38">
        <v>2058</v>
      </c>
      <c r="AP38">
        <v>2059</v>
      </c>
      <c r="AQ38">
        <v>2060</v>
      </c>
      <c r="AR38">
        <v>2061</v>
      </c>
      <c r="AS38">
        <v>2062</v>
      </c>
      <c r="AT38">
        <v>2063</v>
      </c>
      <c r="AU38">
        <v>2064</v>
      </c>
      <c r="AV38">
        <v>2065</v>
      </c>
      <c r="AW38">
        <v>2066</v>
      </c>
      <c r="AX38">
        <v>2067</v>
      </c>
      <c r="AY38">
        <v>2068</v>
      </c>
      <c r="AZ38">
        <v>2069</v>
      </c>
      <c r="BA38">
        <v>2070</v>
      </c>
      <c r="BB38">
        <v>2071</v>
      </c>
      <c r="BC38">
        <v>2072</v>
      </c>
      <c r="BD38">
        <v>2073</v>
      </c>
      <c r="BE38">
        <v>2074</v>
      </c>
    </row>
    <row r="39" spans="2:58" x14ac:dyDescent="0.3">
      <c r="B39" s="33" t="s">
        <v>111</v>
      </c>
      <c r="C39" s="38">
        <f>-'Tables and Outputs'!F101/'Tables and Outputs'!F120</f>
        <v>-0.35015687973635762</v>
      </c>
      <c r="D39" s="38">
        <f>D36-D35</f>
        <v>0</v>
      </c>
      <c r="E39" s="38">
        <f t="shared" ref="E39:BE39" si="15">E36-E35</f>
        <v>0</v>
      </c>
      <c r="F39" s="38">
        <f t="shared" si="15"/>
        <v>0</v>
      </c>
      <c r="G39" s="38">
        <f t="shared" si="15"/>
        <v>0</v>
      </c>
      <c r="H39" s="38">
        <f t="shared" si="15"/>
        <v>0</v>
      </c>
      <c r="I39" s="38">
        <f t="shared" si="15"/>
        <v>0</v>
      </c>
      <c r="J39" s="38">
        <f t="shared" si="15"/>
        <v>0</v>
      </c>
      <c r="K39" s="38">
        <f t="shared" si="15"/>
        <v>1.7124868747487199E-2</v>
      </c>
      <c r="L39" s="38">
        <f t="shared" si="15"/>
        <v>3.4954116210428765E-2</v>
      </c>
      <c r="M39" s="38">
        <f t="shared" si="15"/>
        <v>5.350947172519227E-2</v>
      </c>
      <c r="N39" s="38">
        <f t="shared" si="15"/>
        <v>7.2813260474504204E-2</v>
      </c>
      <c r="O39" s="38">
        <f t="shared" si="15"/>
        <v>9.2888418806978734E-2</v>
      </c>
      <c r="P39" s="38">
        <f t="shared" si="15"/>
        <v>0.11375850992590131</v>
      </c>
      <c r="Q39" s="38">
        <f t="shared" si="15"/>
        <v>0.13544773998182791</v>
      </c>
      <c r="R39" s="38">
        <f t="shared" si="15"/>
        <v>0.15798097454535309</v>
      </c>
      <c r="S39" s="38">
        <f t="shared" si="15"/>
        <v>0.18138375548915064</v>
      </c>
      <c r="T39" s="38">
        <f t="shared" si="15"/>
        <v>0.20568231830111472</v>
      </c>
      <c r="U39" s="38">
        <f t="shared" si="15"/>
        <v>0.23090360979767866</v>
      </c>
      <c r="V39" s="38">
        <f t="shared" si="15"/>
        <v>0.25707530629188113</v>
      </c>
      <c r="W39" s="38">
        <f t="shared" si="15"/>
        <v>0.28422583220162778</v>
      </c>
      <c r="X39" s="38">
        <f t="shared" si="15"/>
        <v>0.31238437911088113</v>
      </c>
      <c r="Y39" s="38">
        <f t="shared" si="15"/>
        <v>0.34158092530742579</v>
      </c>
      <c r="Z39" s="38">
        <f t="shared" si="15"/>
        <v>0.37184625579357089</v>
      </c>
      <c r="AA39" s="38">
        <f t="shared" si="15"/>
        <v>0.40321198278434167</v>
      </c>
      <c r="AB39" s="38">
        <f t="shared" si="15"/>
        <v>0.43571056671498809</v>
      </c>
      <c r="AC39" s="38">
        <f t="shared" si="15"/>
        <v>0.46937533775962947</v>
      </c>
      <c r="AD39" s="38">
        <f t="shared" si="15"/>
        <v>0.50424051787194912</v>
      </c>
      <c r="AE39" s="38">
        <f t="shared" si="15"/>
        <v>0.54034124337522371</v>
      </c>
      <c r="AF39" s="38">
        <f t="shared" si="15"/>
        <v>0.57771358809077356</v>
      </c>
      <c r="AG39" s="38">
        <f t="shared" si="15"/>
        <v>0.61639458703939454</v>
      </c>
      <c r="AH39" s="38">
        <f t="shared" si="15"/>
        <v>0.65642226072668564</v>
      </c>
      <c r="AI39" s="38">
        <f t="shared" si="15"/>
        <v>0.69783564000135812</v>
      </c>
      <c r="AJ39" s="38">
        <f t="shared" si="15"/>
        <v>0.74067479154291505</v>
      </c>
      <c r="AK39" s="38">
        <f t="shared" si="15"/>
        <v>0.78498084395141632</v>
      </c>
      <c r="AL39" s="38">
        <f t="shared" si="15"/>
        <v>0.8307960144829849</v>
      </c>
      <c r="AM39" s="38">
        <f t="shared" si="15"/>
        <v>0.87816363643287332</v>
      </c>
      <c r="AN39" s="38">
        <f t="shared" si="15"/>
        <v>0.92712818718428025</v>
      </c>
      <c r="AO39" s="38">
        <f t="shared" si="15"/>
        <v>0.9777353169338312</v>
      </c>
      <c r="AP39" s="38">
        <f t="shared" si="15"/>
        <v>1.030031878126465</v>
      </c>
      <c r="AQ39" s="38">
        <f t="shared" si="15"/>
        <v>1.0840659555942693</v>
      </c>
      <c r="AR39" s="38">
        <f t="shared" si="15"/>
        <v>1.1398868974283687</v>
      </c>
      <c r="AS39" s="38">
        <f t="shared" si="15"/>
        <v>1.1975453466075123</v>
      </c>
      <c r="AT39" s="38">
        <f t="shared" si="15"/>
        <v>1.2570932733869995</v>
      </c>
      <c r="AU39" s="38">
        <f t="shared" si="15"/>
        <v>1.3185840084588563</v>
      </c>
      <c r="AV39" s="38">
        <f t="shared" si="15"/>
        <v>1.3820722769487475</v>
      </c>
      <c r="AW39" s="38">
        <f t="shared" si="15"/>
        <v>1.4476142331986921</v>
      </c>
      <c r="AX39" s="38">
        <f t="shared" si="15"/>
        <v>1.5152674964083417</v>
      </c>
      <c r="AY39" s="38">
        <f t="shared" si="15"/>
        <v>1.5850911871457356</v>
      </c>
      <c r="AZ39" s="38">
        <f t="shared" si="15"/>
        <v>1.6571459647275333</v>
      </c>
      <c r="BA39" s="38">
        <f t="shared" si="15"/>
        <v>1.7314940654978273</v>
      </c>
      <c r="BB39" s="38">
        <f t="shared" si="15"/>
        <v>1.8081993420491926</v>
      </c>
      <c r="BC39" s="38">
        <f t="shared" si="15"/>
        <v>1.8873273033677833</v>
      </c>
      <c r="BD39" s="38">
        <f t="shared" si="15"/>
        <v>1.9689451559606823</v>
      </c>
      <c r="BE39" s="38">
        <f t="shared" si="15"/>
        <v>2.0531218459800584</v>
      </c>
    </row>
    <row r="40" spans="2:58" ht="28.8" x14ac:dyDescent="0.3">
      <c r="B40" s="39" t="s">
        <v>112</v>
      </c>
      <c r="C40" s="40">
        <f t="shared" ref="C40:AH40" si="16">IFERROR(C39/(1+$D$2)^(C38-$C$38),"")</f>
        <v>-0.35015687973635762</v>
      </c>
      <c r="D40" s="40">
        <f t="shared" si="16"/>
        <v>0</v>
      </c>
      <c r="E40" s="40">
        <f t="shared" si="16"/>
        <v>0</v>
      </c>
      <c r="F40" s="40">
        <f t="shared" si="16"/>
        <v>0</v>
      </c>
      <c r="G40" s="40">
        <f t="shared" si="16"/>
        <v>0</v>
      </c>
      <c r="H40" s="40">
        <f t="shared" si="16"/>
        <v>0</v>
      </c>
      <c r="I40" s="40">
        <f t="shared" si="16"/>
        <v>0</v>
      </c>
      <c r="J40" s="40">
        <f t="shared" si="16"/>
        <v>0</v>
      </c>
      <c r="K40" s="40">
        <f t="shared" si="16"/>
        <v>1.1590785237874239E-2</v>
      </c>
      <c r="L40" s="40">
        <f t="shared" si="16"/>
        <v>2.2531734967755426E-2</v>
      </c>
      <c r="M40" s="40">
        <f t="shared" si="16"/>
        <v>3.2850173882060053E-2</v>
      </c>
      <c r="N40" s="40">
        <f t="shared" si="16"/>
        <v>4.2572405370298709E-2</v>
      </c>
      <c r="O40" s="40">
        <f t="shared" si="16"/>
        <v>5.1723747307073902E-2</v>
      </c>
      <c r="P40" s="40">
        <f t="shared" si="16"/>
        <v>6.0328566631300144E-2</v>
      </c>
      <c r="Q40" s="40">
        <f t="shared" si="16"/>
        <v>6.8410312770491116E-2</v>
      </c>
      <c r="R40" s="40">
        <f t="shared" si="16"/>
        <v>7.5991549929389168E-2</v>
      </c>
      <c r="S40" s="40">
        <f t="shared" si="16"/>
        <v>8.3093988291650794E-2</v>
      </c>
      <c r="T40" s="40">
        <f t="shared" si="16"/>
        <v>8.9738514174898365E-2</v>
      </c>
      <c r="U40" s="40">
        <f t="shared" si="16"/>
        <v>9.5945219154397229E-2</v>
      </c>
      <c r="V40" s="40">
        <f t="shared" si="16"/>
        <v>0.10173342821015358</v>
      </c>
      <c r="W40" s="40">
        <f t="shared" si="16"/>
        <v>0.10712172691761973</v>
      </c>
      <c r="X40" s="40">
        <f t="shared" si="16"/>
        <v>0.11212798771495558</v>
      </c>
      <c r="Y40" s="40">
        <f t="shared" si="16"/>
        <v>0.11676939528199252</v>
      </c>
      <c r="Z40" s="40">
        <f t="shared" si="16"/>
        <v>0.12106247105435734</v>
      </c>
      <c r="AA40" s="40">
        <f t="shared" si="16"/>
        <v>0.12502309690286476</v>
      </c>
      <c r="AB40" s="40">
        <f t="shared" si="16"/>
        <v>0.12866653800893868</v>
      </c>
      <c r="AC40" s="40">
        <f t="shared" si="16"/>
        <v>0.13200746495903984</v>
      </c>
      <c r="AD40" s="40">
        <f t="shared" si="16"/>
        <v>0.1350599750838109</v>
      </c>
      <c r="AE40" s="40">
        <f t="shared" si="16"/>
        <v>0.13783761307100192</v>
      </c>
      <c r="AF40" s="40">
        <f t="shared" si="16"/>
        <v>0.14035339086957771</v>
      </c>
      <c r="AG40" s="40">
        <f t="shared" si="16"/>
        <v>0.14261980691445639</v>
      </c>
      <c r="AH40" s="40">
        <f t="shared" si="16"/>
        <v>0.14464886469319141</v>
      </c>
      <c r="AI40" s="40">
        <f t="shared" ref="AI40:BE40" si="17">IFERROR(AI39/(1+$D$2)^(AI38-$C$38),"")</f>
        <v>0.14645209067087719</v>
      </c>
      <c r="AJ40" s="40">
        <f t="shared" si="17"/>
        <v>0.14804055160428395</v>
      </c>
      <c r="AK40" s="40">
        <f t="shared" si="17"/>
        <v>0.14942487125607209</v>
      </c>
      <c r="AL40" s="40">
        <f t="shared" si="17"/>
        <v>0.15061524653540415</v>
      </c>
      <c r="AM40" s="40">
        <f t="shared" si="17"/>
        <v>0.15162146308111663</v>
      </c>
      <c r="AN40" s="40">
        <f t="shared" si="17"/>
        <v>0.15245291030662653</v>
      </c>
      <c r="AO40" s="40">
        <f t="shared" si="17"/>
        <v>0.15311859592374627</v>
      </c>
      <c r="AP40" s="40">
        <f t="shared" si="17"/>
        <v>0.15362715996548584</v>
      </c>
      <c r="AQ40" s="40">
        <f t="shared" si="17"/>
        <v>0.15398688832089066</v>
      </c>
      <c r="AR40" s="40">
        <f t="shared" si="17"/>
        <v>0.15420572580034231</v>
      </c>
      <c r="AS40" s="40">
        <f t="shared" si="17"/>
        <v>0.15429128874774312</v>
      </c>
      <c r="AT40" s="40">
        <f t="shared" si="17"/>
        <v>0.15425087721269495</v>
      </c>
      <c r="AU40" s="40">
        <f t="shared" si="17"/>
        <v>0.15409148669681752</v>
      </c>
      <c r="AV40" s="40">
        <f t="shared" si="17"/>
        <v>0.15381981949416693</v>
      </c>
      <c r="AW40" s="40">
        <f t="shared" si="17"/>
        <v>0.15344229563078071</v>
      </c>
      <c r="AX40" s="40">
        <f t="shared" si="17"/>
        <v>0.1529650634234358</v>
      </c>
      <c r="AY40" s="40">
        <f t="shared" si="17"/>
        <v>0.15239400966897715</v>
      </c>
      <c r="AZ40" s="40">
        <f t="shared" si="17"/>
        <v>0.15173476947455616</v>
      </c>
      <c r="BA40" s="40">
        <f t="shared" si="17"/>
        <v>0.15099273574196981</v>
      </c>
      <c r="BB40" s="40">
        <f t="shared" si="17"/>
        <v>0.1501730683197105</v>
      </c>
      <c r="BC40" s="40">
        <f t="shared" si="17"/>
        <v>0.14928070283029796</v>
      </c>
      <c r="BD40" s="40">
        <f t="shared" si="17"/>
        <v>0.14832035918711731</v>
      </c>
      <c r="BE40" s="40">
        <f t="shared" si="17"/>
        <v>0.14729654981031573</v>
      </c>
      <c r="BF40" s="41"/>
    </row>
    <row r="41" spans="2:58" x14ac:dyDescent="0.3">
      <c r="B41" s="39"/>
      <c r="C41" s="40" t="s">
        <v>113</v>
      </c>
      <c r="D41" s="40">
        <f>NPV(D2,C40:BE40)</f>
        <v>0.85808006708873963</v>
      </c>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1"/>
      <c r="AZ41" s="41"/>
      <c r="BA41" s="41"/>
      <c r="BB41" s="41"/>
      <c r="BC41" s="41"/>
      <c r="BD41" s="41"/>
      <c r="BE41" s="41"/>
      <c r="BF41" s="41"/>
    </row>
    <row r="42" spans="2:58" x14ac:dyDescent="0.3">
      <c r="B42" s="39"/>
      <c r="C42" s="40" t="s">
        <v>114</v>
      </c>
      <c r="D42" s="40">
        <f>D41/-C40</f>
        <v>2.4505589258586347</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1"/>
      <c r="AZ42" s="41"/>
      <c r="BA42" s="41"/>
      <c r="BB42" s="41"/>
      <c r="BC42" s="41"/>
      <c r="BD42" s="41"/>
      <c r="BE42" s="41"/>
      <c r="BF42" s="41"/>
    </row>
    <row r="43" spans="2:58" x14ac:dyDescent="0.3">
      <c r="B43" s="39"/>
      <c r="C43" s="40" t="s">
        <v>78</v>
      </c>
      <c r="D43" s="42">
        <f>D42*'Tables and Outputs'!F101</f>
        <v>2450558925.8586345</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1"/>
      <c r="AZ43" s="41"/>
      <c r="BA43" s="41"/>
      <c r="BB43" s="41"/>
      <c r="BC43" s="41"/>
      <c r="BD43" s="41"/>
      <c r="BE43" s="41"/>
      <c r="BF43" s="41"/>
    </row>
    <row r="44" spans="2:58" x14ac:dyDescent="0.3">
      <c r="B44" s="39" t="s">
        <v>117</v>
      </c>
      <c r="C44" s="43"/>
      <c r="D44" s="43"/>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1"/>
      <c r="AZ44" s="41"/>
      <c r="BA44" s="41"/>
      <c r="BB44" s="41"/>
      <c r="BC44" s="41"/>
      <c r="BD44" s="41"/>
      <c r="BE44" s="41"/>
      <c r="BF44" s="41"/>
    </row>
    <row r="45" spans="2:58" x14ac:dyDescent="0.3">
      <c r="B45" s="32"/>
      <c r="C45" t="s">
        <v>107</v>
      </c>
      <c r="D45" s="44">
        <f>'Tables and Outputs'!G124</f>
        <v>1.4548736028297512E-2</v>
      </c>
      <c r="E45" s="33"/>
      <c r="F45" s="33"/>
      <c r="G45" s="33"/>
    </row>
    <row r="46" spans="2:58" x14ac:dyDescent="0.3">
      <c r="B46" s="32"/>
      <c r="C46" s="33" t="s">
        <v>108</v>
      </c>
      <c r="D46" s="35">
        <f>'Tables and Outputs'!G124+('Tables and Outputs'!G122/100)</f>
        <v>1.4549655629185629E-2</v>
      </c>
      <c r="E46" s="33"/>
      <c r="F46" s="33"/>
      <c r="G46" s="33"/>
    </row>
    <row r="47" spans="2:58" x14ac:dyDescent="0.3">
      <c r="B47" s="33" t="s">
        <v>109</v>
      </c>
      <c r="C47" s="36">
        <f>'Tables and Outputs'!G123</f>
        <v>44617.476999999999</v>
      </c>
      <c r="D47" s="37">
        <f t="shared" ref="D47:AI47" si="18">IF(((D50-$C$50)&gt;=$D$1),C47*(1+$D$45),C47)</f>
        <v>44617.476999999999</v>
      </c>
      <c r="E47" s="37">
        <f t="shared" si="18"/>
        <v>44617.476999999999</v>
      </c>
      <c r="F47" s="37">
        <f t="shared" si="18"/>
        <v>44617.476999999999</v>
      </c>
      <c r="G47" s="37">
        <f t="shared" si="18"/>
        <v>44617.476999999999</v>
      </c>
      <c r="H47" s="37">
        <f t="shared" si="18"/>
        <v>44617.476999999999</v>
      </c>
      <c r="I47" s="37">
        <f t="shared" si="18"/>
        <v>44617.476999999999</v>
      </c>
      <c r="J47" s="37">
        <f t="shared" si="18"/>
        <v>44617.476999999999</v>
      </c>
      <c r="K47" s="37">
        <f t="shared" si="18"/>
        <v>45266.604895121629</v>
      </c>
      <c r="L47" s="37">
        <f t="shared" si="18"/>
        <v>45925.176780637987</v>
      </c>
      <c r="M47" s="37">
        <f t="shared" si="18"/>
        <v>46593.330054672384</v>
      </c>
      <c r="N47" s="37">
        <f t="shared" si="18"/>
        <v>47271.204114317152</v>
      </c>
      <c r="O47" s="37">
        <f t="shared" si="18"/>
        <v>47958.940384716123</v>
      </c>
      <c r="P47" s="37">
        <f t="shared" si="18"/>
        <v>48656.682348570212</v>
      </c>
      <c r="Q47" s="37">
        <f t="shared" si="18"/>
        <v>49364.575576072275</v>
      </c>
      <c r="R47" s="37">
        <f t="shared" si="18"/>
        <v>50082.767755277491</v>
      </c>
      <c r="S47" s="37">
        <f t="shared" si="18"/>
        <v>50811.408722915548</v>
      </c>
      <c r="T47" s="37">
        <f t="shared" si="18"/>
        <v>51550.650495651178</v>
      </c>
      <c r="U47" s="37">
        <f t="shared" si="18"/>
        <v>52300.647301799429</v>
      </c>
      <c r="V47" s="37">
        <f t="shared" si="18"/>
        <v>53061.555613502394</v>
      </c>
      <c r="W47" s="37">
        <f t="shared" si="18"/>
        <v>53833.534179374066</v>
      </c>
      <c r="X47" s="37">
        <f t="shared" si="18"/>
        <v>54616.744057620104</v>
      </c>
      <c r="Y47" s="37">
        <f t="shared" si="18"/>
        <v>55411.348649639498</v>
      </c>
      <c r="Z47" s="37">
        <f t="shared" si="18"/>
        <v>56217.513734115055</v>
      </c>
      <c r="AA47" s="37">
        <f t="shared" si="18"/>
        <v>57035.407501599882</v>
      </c>
      <c r="AB47" s="37">
        <f t="shared" si="18"/>
        <v>57865.200589607033</v>
      </c>
      <c r="AC47" s="37">
        <f t="shared" si="18"/>
        <v>58707.06611820971</v>
      </c>
      <c r="AD47" s="37">
        <f t="shared" si="18"/>
        <v>59561.179726159346</v>
      </c>
      <c r="AE47" s="37">
        <f t="shared" si="18"/>
        <v>60427.719607529216</v>
      </c>
      <c r="AF47" s="37">
        <f t="shared" si="18"/>
        <v>61306.866548891128</v>
      </c>
      <c r="AG47" s="37">
        <f t="shared" si="18"/>
        <v>62198.803967033004</v>
      </c>
      <c r="AH47" s="37">
        <f t="shared" si="18"/>
        <v>63103.717947225188</v>
      </c>
      <c r="AI47" s="37">
        <f t="shared" si="18"/>
        <v>64021.797282043502</v>
      </c>
      <c r="AJ47" s="37">
        <f t="shared" ref="AJ47:BE47" si="19">IF(((AJ50-$C$50)&gt;=$D$1),AI47*(1+$D$45),AI47)</f>
        <v>64953.23351075712</v>
      </c>
      <c r="AK47" s="37">
        <f t="shared" si="19"/>
        <v>65898.220959289494</v>
      </c>
      <c r="AL47" s="37">
        <f t="shared" si="19"/>
        <v>66856.956780760607</v>
      </c>
      <c r="AM47" s="37">
        <f t="shared" si="19"/>
        <v>67829.640996619186</v>
      </c>
      <c r="AN47" s="37">
        <f t="shared" si="19"/>
        <v>68816.476538373186</v>
      </c>
      <c r="AO47" s="37">
        <f t="shared" si="19"/>
        <v>69817.669289927508</v>
      </c>
      <c r="AP47" s="37">
        <f t="shared" si="19"/>
        <v>70833.428130537635</v>
      </c>
      <c r="AQ47" s="37">
        <f t="shared" si="19"/>
        <v>71863.964978388205</v>
      </c>
      <c r="AR47" s="37">
        <f t="shared" si="19"/>
        <v>72909.494834805591</v>
      </c>
      <c r="AS47" s="37">
        <f t="shared" si="19"/>
        <v>73970.235829113692</v>
      </c>
      <c r="AT47" s="37">
        <f t="shared" si="19"/>
        <v>75046.409264142378</v>
      </c>
      <c r="AU47" s="37">
        <f t="shared" si="19"/>
        <v>76138.239662397958</v>
      </c>
      <c r="AV47" s="37">
        <f t="shared" si="19"/>
        <v>77245.954812905431</v>
      </c>
      <c r="AW47" s="37">
        <f t="shared" si="19"/>
        <v>78369.785818732184</v>
      </c>
      <c r="AX47" s="37">
        <f t="shared" si="19"/>
        <v>79509.967145203118</v>
      </c>
      <c r="AY47" s="37">
        <f t="shared" si="19"/>
        <v>80666.736668817277</v>
      </c>
      <c r="AZ47" s="37">
        <f t="shared" si="19"/>
        <v>81840.335726876074</v>
      </c>
      <c r="BA47" s="37">
        <f t="shared" si="19"/>
        <v>83031.009167833632</v>
      </c>
      <c r="BB47" s="37">
        <f t="shared" si="19"/>
        <v>84239.005402379582</v>
      </c>
      <c r="BC47" s="37">
        <f t="shared" si="19"/>
        <v>85464.576455265124</v>
      </c>
      <c r="BD47" s="37">
        <f t="shared" si="19"/>
        <v>86707.978017883026</v>
      </c>
      <c r="BE47" s="37">
        <f t="shared" si="19"/>
        <v>87969.469501612621</v>
      </c>
    </row>
    <row r="48" spans="2:58" x14ac:dyDescent="0.3">
      <c r="B48" s="33" t="s">
        <v>110</v>
      </c>
      <c r="C48" s="36">
        <f>'Tables and Outputs'!G123</f>
        <v>44617.476999999999</v>
      </c>
      <c r="D48" s="33">
        <f t="shared" ref="D48:AI48" si="20">IF(((D50-$C$50)&gt;=$D$1),C48*(1+$D$46),C48)</f>
        <v>44617.476999999999</v>
      </c>
      <c r="E48" s="33">
        <f t="shared" si="20"/>
        <v>44617.476999999999</v>
      </c>
      <c r="F48" s="33">
        <f t="shared" si="20"/>
        <v>44617.476999999999</v>
      </c>
      <c r="G48" s="33">
        <f t="shared" si="20"/>
        <v>44617.476999999999</v>
      </c>
      <c r="H48" s="33">
        <f t="shared" si="20"/>
        <v>44617.476999999999</v>
      </c>
      <c r="I48" s="33">
        <f t="shared" si="20"/>
        <v>44617.476999999999</v>
      </c>
      <c r="J48" s="33">
        <f t="shared" si="20"/>
        <v>44617.476999999999</v>
      </c>
      <c r="K48" s="33">
        <f t="shared" si="20"/>
        <v>45266.645925393103</v>
      </c>
      <c r="L48" s="33">
        <f t="shared" si="20"/>
        <v>45925.260035095846</v>
      </c>
      <c r="M48" s="33">
        <f t="shared" si="20"/>
        <v>46593.45675328729</v>
      </c>
      <c r="N48" s="33">
        <f t="shared" si="20"/>
        <v>47271.37550362097</v>
      </c>
      <c r="O48" s="33">
        <f t="shared" si="20"/>
        <v>47959.157738316571</v>
      </c>
      <c r="P48" s="33">
        <f t="shared" si="20"/>
        <v>48656.946967674863</v>
      </c>
      <c r="Q48" s="33">
        <f t="shared" si="20"/>
        <v>49364.888790022072</v>
      </c>
      <c r="R48" s="33">
        <f t="shared" si="20"/>
        <v>50083.130922089935</v>
      </c>
      <c r="S48" s="33">
        <f t="shared" si="20"/>
        <v>50811.823229837755</v>
      </c>
      <c r="T48" s="33">
        <f t="shared" si="20"/>
        <v>51551.117759722947</v>
      </c>
      <c r="U48" s="33">
        <f t="shared" si="20"/>
        <v>52301.168770426506</v>
      </c>
      <c r="V48" s="33">
        <f t="shared" si="20"/>
        <v>53062.132765040122</v>
      </c>
      <c r="W48" s="33">
        <f t="shared" si="20"/>
        <v>53834.168523721579</v>
      </c>
      <c r="X48" s="33">
        <f t="shared" si="20"/>
        <v>54617.437136825269</v>
      </c>
      <c r="Y48" s="33">
        <f t="shared" si="20"/>
        <v>55412.102038514764</v>
      </c>
      <c r="Z48" s="33">
        <f t="shared" si="20"/>
        <v>56218.329040864446</v>
      </c>
      <c r="AA48" s="33">
        <f t="shared" si="20"/>
        <v>57036.286368457266</v>
      </c>
      <c r="AB48" s="33">
        <f t="shared" si="20"/>
        <v>57866.144693485927</v>
      </c>
      <c r="AC48" s="33">
        <f t="shared" si="20"/>
        <v>58708.07717136477</v>
      </c>
      <c r="AD48" s="33">
        <f t="shared" si="20"/>
        <v>59562.259476859777</v>
      </c>
      <c r="AE48" s="33">
        <f t="shared" si="20"/>
        <v>60428.869840744279</v>
      </c>
      <c r="AF48" s="33">
        <f t="shared" si="20"/>
        <v>61308.08908698798</v>
      </c>
      <c r="AG48" s="33">
        <f t="shared" si="20"/>
        <v>62200.100670487082</v>
      </c>
      <c r="AH48" s="33">
        <f t="shared" si="20"/>
        <v>63105.090715343344</v>
      </c>
      <c r="AI48" s="33">
        <f t="shared" si="20"/>
        <v>64023.248053700103</v>
      </c>
      <c r="AJ48" s="33">
        <f t="shared" ref="AJ48:BE48" si="21">IF(((AJ50-$C$50)&gt;=$D$1),AI48*(1+$D$46),AI48)</f>
        <v>64954.764265143363</v>
      </c>
      <c r="AK48" s="33">
        <f t="shared" si="21"/>
        <v>65899.833716676119</v>
      </c>
      <c r="AL48" s="33">
        <f t="shared" si="21"/>
        <v>66858.653603274346</v>
      </c>
      <c r="AM48" s="33">
        <f t="shared" si="21"/>
        <v>67831.423989032992</v>
      </c>
      <c r="AN48" s="33">
        <f t="shared" si="21"/>
        <v>68818.347848910693</v>
      </c>
      <c r="AO48" s="33">
        <f t="shared" si="21"/>
        <v>69819.63111108185</v>
      </c>
      <c r="AP48" s="33">
        <f t="shared" si="21"/>
        <v>70835.482699904853</v>
      </c>
      <c r="AQ48" s="33">
        <f t="shared" si="21"/>
        <v>71866.114579515604</v>
      </c>
      <c r="AR48" s="33">
        <f t="shared" si="21"/>
        <v>72911.74179805514</v>
      </c>
      <c r="AS48" s="33">
        <f t="shared" si="21"/>
        <v>73972.582532540939</v>
      </c>
      <c r="AT48" s="33">
        <f t="shared" si="21"/>
        <v>75048.858134390917</v>
      </c>
      <c r="AU48" s="33">
        <f t="shared" si="21"/>
        <v>76140.793175609899</v>
      </c>
      <c r="AV48" s="33">
        <f t="shared" si="21"/>
        <v>77248.61549564806</v>
      </c>
      <c r="AW48" s="33">
        <f t="shared" si="21"/>
        <v>78372.55624894111</v>
      </c>
      <c r="AX48" s="33">
        <f t="shared" si="21"/>
        <v>79512.849953142169</v>
      </c>
      <c r="AY48" s="33">
        <f t="shared" si="21"/>
        <v>80669.734538055491</v>
      </c>
      <c r="AZ48" s="33">
        <f t="shared" si="21"/>
        <v>81843.451395282013</v>
      </c>
      <c r="BA48" s="33">
        <f t="shared" si="21"/>
        <v>83034.245428587354</v>
      </c>
      <c r="BB48" s="33">
        <f t="shared" si="21"/>
        <v>84242.365105002566</v>
      </c>
      <c r="BC48" s="33">
        <f t="shared" si="21"/>
        <v>85468.062506668473</v>
      </c>
      <c r="BD48" s="33">
        <f t="shared" si="21"/>
        <v>86711.593383434199</v>
      </c>
      <c r="BE48" s="33">
        <f t="shared" si="21"/>
        <v>87973.217206221132</v>
      </c>
    </row>
    <row r="49" spans="2:58" x14ac:dyDescent="0.3">
      <c r="B49" s="32"/>
      <c r="D49" s="33"/>
      <c r="E49" s="33"/>
      <c r="F49" s="33"/>
      <c r="G49" s="33"/>
    </row>
    <row r="50" spans="2:58" x14ac:dyDescent="0.3">
      <c r="B50" t="s">
        <v>49</v>
      </c>
      <c r="C50">
        <v>2020</v>
      </c>
      <c r="D50">
        <v>2021</v>
      </c>
      <c r="E50">
        <v>2022</v>
      </c>
      <c r="F50">
        <v>2023</v>
      </c>
      <c r="G50">
        <v>2024</v>
      </c>
      <c r="H50">
        <v>2025</v>
      </c>
      <c r="I50">
        <v>2026</v>
      </c>
      <c r="J50">
        <v>2027</v>
      </c>
      <c r="K50">
        <v>2028</v>
      </c>
      <c r="L50">
        <v>2029</v>
      </c>
      <c r="M50">
        <v>2030</v>
      </c>
      <c r="N50">
        <v>2031</v>
      </c>
      <c r="O50">
        <v>2032</v>
      </c>
      <c r="P50">
        <v>2033</v>
      </c>
      <c r="Q50">
        <v>2034</v>
      </c>
      <c r="R50">
        <v>2035</v>
      </c>
      <c r="S50">
        <v>2036</v>
      </c>
      <c r="T50">
        <v>2037</v>
      </c>
      <c r="U50">
        <v>2038</v>
      </c>
      <c r="V50">
        <v>2039</v>
      </c>
      <c r="W50">
        <v>2040</v>
      </c>
      <c r="X50">
        <v>2041</v>
      </c>
      <c r="Y50">
        <v>2042</v>
      </c>
      <c r="Z50">
        <v>2043</v>
      </c>
      <c r="AA50">
        <v>2044</v>
      </c>
      <c r="AB50">
        <v>2045</v>
      </c>
      <c r="AC50">
        <v>2046</v>
      </c>
      <c r="AD50">
        <v>2047</v>
      </c>
      <c r="AE50">
        <v>2048</v>
      </c>
      <c r="AF50">
        <v>2049</v>
      </c>
      <c r="AG50">
        <v>2050</v>
      </c>
      <c r="AH50">
        <v>2051</v>
      </c>
      <c r="AI50">
        <v>2052</v>
      </c>
      <c r="AJ50">
        <v>2053</v>
      </c>
      <c r="AK50">
        <v>2054</v>
      </c>
      <c r="AL50">
        <v>2055</v>
      </c>
      <c r="AM50">
        <v>2056</v>
      </c>
      <c r="AN50">
        <v>2057</v>
      </c>
      <c r="AO50">
        <v>2058</v>
      </c>
      <c r="AP50">
        <v>2059</v>
      </c>
      <c r="AQ50">
        <v>2060</v>
      </c>
      <c r="AR50">
        <v>2061</v>
      </c>
      <c r="AS50">
        <v>2062</v>
      </c>
      <c r="AT50">
        <v>2063</v>
      </c>
      <c r="AU50">
        <v>2064</v>
      </c>
      <c r="AV50">
        <v>2065</v>
      </c>
      <c r="AW50">
        <v>2066</v>
      </c>
      <c r="AX50">
        <v>2067</v>
      </c>
      <c r="AY50">
        <v>2068</v>
      </c>
      <c r="AZ50">
        <v>2069</v>
      </c>
      <c r="BA50">
        <v>2070</v>
      </c>
      <c r="BB50">
        <v>2071</v>
      </c>
      <c r="BC50">
        <v>2072</v>
      </c>
      <c r="BD50">
        <v>2073</v>
      </c>
      <c r="BE50">
        <v>2074</v>
      </c>
    </row>
    <row r="51" spans="2:58" x14ac:dyDescent="0.3">
      <c r="B51" s="33" t="s">
        <v>111</v>
      </c>
      <c r="C51" s="38">
        <f>-'Tables and Outputs'!G101/'Tables and Outputs'!G120</f>
        <v>-0.80915782951821003</v>
      </c>
      <c r="D51" s="38">
        <f>D48-D47</f>
        <v>0</v>
      </c>
      <c r="E51" s="38">
        <f t="shared" ref="E51:BE51" si="22">E48-E47</f>
        <v>0</v>
      </c>
      <c r="F51" s="38">
        <f t="shared" si="22"/>
        <v>0</v>
      </c>
      <c r="G51" s="38">
        <f t="shared" si="22"/>
        <v>0</v>
      </c>
      <c r="H51" s="38">
        <f t="shared" si="22"/>
        <v>0</v>
      </c>
      <c r="I51" s="38">
        <f t="shared" si="22"/>
        <v>0</v>
      </c>
      <c r="J51" s="38">
        <f t="shared" si="22"/>
        <v>0</v>
      </c>
      <c r="K51" s="38">
        <f t="shared" si="22"/>
        <v>4.1030271473573521E-2</v>
      </c>
      <c r="L51" s="38">
        <f t="shared" si="22"/>
        <v>8.3254457858856767E-2</v>
      </c>
      <c r="M51" s="38">
        <f t="shared" si="22"/>
        <v>0.12669861490576295</v>
      </c>
      <c r="N51" s="38">
        <f t="shared" si="22"/>
        <v>0.17138930381770479</v>
      </c>
      <c r="O51" s="38">
        <f t="shared" si="22"/>
        <v>0.2173536004484049</v>
      </c>
      <c r="P51" s="38">
        <f t="shared" si="22"/>
        <v>0.2646191046515014</v>
      </c>
      <c r="Q51" s="38">
        <f t="shared" si="22"/>
        <v>0.31321394979750039</v>
      </c>
      <c r="R51" s="38">
        <f t="shared" si="22"/>
        <v>0.36316681244352367</v>
      </c>
      <c r="S51" s="38">
        <f t="shared" si="22"/>
        <v>0.4145069222067832</v>
      </c>
      <c r="T51" s="38">
        <f t="shared" si="22"/>
        <v>0.46726407176902285</v>
      </c>
      <c r="U51" s="38">
        <f t="shared" si="22"/>
        <v>0.52146862707741093</v>
      </c>
      <c r="V51" s="38">
        <f t="shared" si="22"/>
        <v>0.57715153772733174</v>
      </c>
      <c r="W51" s="38">
        <f t="shared" si="22"/>
        <v>0.63434434751252411</v>
      </c>
      <c r="X51" s="38">
        <f t="shared" si="22"/>
        <v>0.69307920516439481</v>
      </c>
      <c r="Y51" s="38">
        <f t="shared" si="22"/>
        <v>0.75338887526595499</v>
      </c>
      <c r="Z51" s="38">
        <f t="shared" si="22"/>
        <v>0.81530674939131131</v>
      </c>
      <c r="AA51" s="38">
        <f t="shared" si="22"/>
        <v>0.8788668573834002</v>
      </c>
      <c r="AB51" s="38">
        <f t="shared" si="22"/>
        <v>0.94410387889365666</v>
      </c>
      <c r="AC51" s="38">
        <f t="shared" si="22"/>
        <v>1.0110531550599262</v>
      </c>
      <c r="AD51" s="38">
        <f t="shared" si="22"/>
        <v>1.0797507004317595</v>
      </c>
      <c r="AE51" s="38">
        <f t="shared" si="22"/>
        <v>1.1502332150630536</v>
      </c>
      <c r="AF51" s="38">
        <f t="shared" si="22"/>
        <v>1.2225380968520767</v>
      </c>
      <c r="AG51" s="38">
        <f t="shared" si="22"/>
        <v>1.2967034540779423</v>
      </c>
      <c r="AH51" s="38">
        <f t="shared" si="22"/>
        <v>1.3727681181553635</v>
      </c>
      <c r="AI51" s="38">
        <f t="shared" si="22"/>
        <v>1.4507716566004092</v>
      </c>
      <c r="AJ51" s="38">
        <f t="shared" si="22"/>
        <v>1.5307543862436432</v>
      </c>
      <c r="AK51" s="38">
        <f t="shared" si="22"/>
        <v>1.6127573866251623</v>
      </c>
      <c r="AL51" s="38">
        <f t="shared" si="22"/>
        <v>1.6968225137388799</v>
      </c>
      <c r="AM51" s="38">
        <f t="shared" si="22"/>
        <v>1.7829924138059141</v>
      </c>
      <c r="AN51" s="38">
        <f t="shared" si="22"/>
        <v>1.8713105375063606</v>
      </c>
      <c r="AO51" s="38">
        <f t="shared" si="22"/>
        <v>1.961821154342033</v>
      </c>
      <c r="AP51" s="38">
        <f t="shared" si="22"/>
        <v>2.0545693672174821</v>
      </c>
      <c r="AQ51" s="38">
        <f t="shared" si="22"/>
        <v>2.1496011273993645</v>
      </c>
      <c r="AR51" s="38">
        <f t="shared" si="22"/>
        <v>2.2469632495485712</v>
      </c>
      <c r="AS51" s="38">
        <f t="shared" si="22"/>
        <v>2.346703427247121</v>
      </c>
      <c r="AT51" s="38">
        <f t="shared" si="22"/>
        <v>2.4488702485396061</v>
      </c>
      <c r="AU51" s="38">
        <f t="shared" si="22"/>
        <v>2.5535132119402988</v>
      </c>
      <c r="AV51" s="38">
        <f t="shared" si="22"/>
        <v>2.6606827426294331</v>
      </c>
      <c r="AW51" s="38">
        <f t="shared" si="22"/>
        <v>2.7704302089259727</v>
      </c>
      <c r="AX51" s="38">
        <f t="shared" si="22"/>
        <v>2.8828079390514176</v>
      </c>
      <c r="AY51" s="38">
        <f t="shared" si="22"/>
        <v>2.9978692382137524</v>
      </c>
      <c r="AZ51" s="38">
        <f t="shared" si="22"/>
        <v>3.1156684059387771</v>
      </c>
      <c r="BA51" s="38">
        <f t="shared" si="22"/>
        <v>3.2362607537215808</v>
      </c>
      <c r="BB51" s="38">
        <f t="shared" si="22"/>
        <v>3.3597026229836047</v>
      </c>
      <c r="BC51" s="38">
        <f t="shared" si="22"/>
        <v>3.4860514033498475</v>
      </c>
      <c r="BD51" s="38">
        <f t="shared" si="22"/>
        <v>3.6153655511734542</v>
      </c>
      <c r="BE51" s="38">
        <f t="shared" si="22"/>
        <v>3.7477046085114125</v>
      </c>
    </row>
    <row r="52" spans="2:58" ht="28.8" x14ac:dyDescent="0.3">
      <c r="B52" s="39" t="s">
        <v>112</v>
      </c>
      <c r="C52" s="40">
        <f t="shared" ref="C52:AH52" si="23">IFERROR(C51/(1+$D$2)^(C50-$C$50),"")</f>
        <v>-0.80915782951821003</v>
      </c>
      <c r="D52" s="40">
        <f t="shared" si="23"/>
        <v>0</v>
      </c>
      <c r="E52" s="40">
        <f t="shared" si="23"/>
        <v>0</v>
      </c>
      <c r="F52" s="40">
        <f t="shared" si="23"/>
        <v>0</v>
      </c>
      <c r="G52" s="40">
        <f t="shared" si="23"/>
        <v>0</v>
      </c>
      <c r="H52" s="40">
        <f t="shared" si="23"/>
        <v>0</v>
      </c>
      <c r="I52" s="40">
        <f t="shared" si="23"/>
        <v>0</v>
      </c>
      <c r="J52" s="40">
        <f t="shared" si="23"/>
        <v>0</v>
      </c>
      <c r="K52" s="40">
        <f t="shared" si="23"/>
        <v>2.7770902768037346E-2</v>
      </c>
      <c r="L52" s="40">
        <f t="shared" si="23"/>
        <v>5.3666565850697935E-2</v>
      </c>
      <c r="M52" s="40">
        <f t="shared" si="23"/>
        <v>7.7781958895904682E-2</v>
      </c>
      <c r="N52" s="40">
        <f t="shared" si="23"/>
        <v>0.10020777631315507</v>
      </c>
      <c r="O52" s="40">
        <f t="shared" si="23"/>
        <v>0.12103061770528663</v>
      </c>
      <c r="P52" s="40">
        <f t="shared" si="23"/>
        <v>0.1403331609853328</v>
      </c>
      <c r="Q52" s="40">
        <f t="shared" si="23"/>
        <v>0.15819432847386472</v>
      </c>
      <c r="R52" s="40">
        <f t="shared" si="23"/>
        <v>0.17468944624453139</v>
      </c>
      <c r="S52" s="40">
        <f t="shared" si="23"/>
        <v>0.18989039700812038</v>
      </c>
      <c r="T52" s="40">
        <f t="shared" si="23"/>
        <v>0.20386576675238657</v>
      </c>
      <c r="U52" s="40">
        <f t="shared" si="23"/>
        <v>0.21668098541605313</v>
      </c>
      <c r="V52" s="40">
        <f t="shared" si="23"/>
        <v>0.22839846182308171</v>
      </c>
      <c r="W52" s="40">
        <f t="shared" si="23"/>
        <v>0.23907771309740619</v>
      </c>
      <c r="X52" s="40">
        <f t="shared" si="23"/>
        <v>0.24877548878518005</v>
      </c>
      <c r="Y52" s="40">
        <f t="shared" si="23"/>
        <v>0.25754588988776178</v>
      </c>
      <c r="Z52" s="40">
        <f t="shared" si="23"/>
        <v>0.26544048302425949</v>
      </c>
      <c r="AA52" s="40">
        <f t="shared" si="23"/>
        <v>0.27250840988555086</v>
      </c>
      <c r="AB52" s="40">
        <f t="shared" si="23"/>
        <v>0.27879649220790514</v>
      </c>
      <c r="AC52" s="40">
        <f t="shared" si="23"/>
        <v>0.28434933240282234</v>
      </c>
      <c r="AD52" s="40">
        <f t="shared" si="23"/>
        <v>0.28920941004997602</v>
      </c>
      <c r="AE52" s="40">
        <f t="shared" si="23"/>
        <v>0.29341717439321702</v>
      </c>
      <c r="AF52" s="40">
        <f t="shared" si="23"/>
        <v>0.2970111330209329</v>
      </c>
      <c r="AG52" s="40">
        <f t="shared" si="23"/>
        <v>0.300027936867793</v>
      </c>
      <c r="AH52" s="40">
        <f t="shared" si="23"/>
        <v>0.30250246169037287</v>
      </c>
      <c r="AI52" s="40">
        <f t="shared" ref="AI52:BE52" si="24">IFERROR(AI51/(1+$D$2)^(AI50-$C$50),"")</f>
        <v>0.30446788615549691</v>
      </c>
      <c r="AJ52" s="40">
        <f t="shared" si="24"/>
        <v>0.3059557666842182</v>
      </c>
      <c r="AK52" s="40">
        <f t="shared" si="24"/>
        <v>0.30699610916703995</v>
      </c>
      <c r="AL52" s="40">
        <f t="shared" si="24"/>
        <v>0.30761743770839883</v>
      </c>
      <c r="AM52" s="40">
        <f t="shared" si="24"/>
        <v>0.3078468604574805</v>
      </c>
      <c r="AN52" s="40">
        <f t="shared" si="24"/>
        <v>0.30771013272363962</v>
      </c>
      <c r="AO52" s="40">
        <f t="shared" si="24"/>
        <v>0.3072317174226451</v>
      </c>
      <c r="AP52" s="40">
        <f t="shared" si="24"/>
        <v>0.30643484297964013</v>
      </c>
      <c r="AQ52" s="40">
        <f t="shared" si="24"/>
        <v>0.30534155881488917</v>
      </c>
      <c r="AR52" s="40">
        <f t="shared" si="24"/>
        <v>0.30397278846264403</v>
      </c>
      <c r="AS52" s="40">
        <f t="shared" si="24"/>
        <v>0.30234838048046953</v>
      </c>
      <c r="AT52" s="40">
        <f t="shared" si="24"/>
        <v>0.30048715716977364</v>
      </c>
      <c r="AU52" s="40">
        <f t="shared" si="24"/>
        <v>0.29840696125818661</v>
      </c>
      <c r="AV52" s="40">
        <f t="shared" si="24"/>
        <v>0.29612470058805873</v>
      </c>
      <c r="AW52" s="40">
        <f t="shared" si="24"/>
        <v>0.29365639090405204</v>
      </c>
      <c r="AX52" s="40">
        <f t="shared" si="24"/>
        <v>0.29101719681826388</v>
      </c>
      <c r="AY52" s="40">
        <f t="shared" si="24"/>
        <v>0.28822147102926998</v>
      </c>
      <c r="AZ52" s="40">
        <f t="shared" si="24"/>
        <v>0.28528279185835526</v>
      </c>
      <c r="BA52" s="40">
        <f t="shared" si="24"/>
        <v>0.28221399917896733</v>
      </c>
      <c r="BB52" s="40">
        <f t="shared" si="24"/>
        <v>0.27902722880290781</v>
      </c>
      <c r="BC52" s="40">
        <f t="shared" si="24"/>
        <v>0.2757339453872148</v>
      </c>
      <c r="BD52" s="40">
        <f t="shared" si="24"/>
        <v>0.27234497391632023</v>
      </c>
      <c r="BE52" s="40">
        <f t="shared" si="24"/>
        <v>0.26887052983377235</v>
      </c>
      <c r="BF52" s="41"/>
    </row>
    <row r="53" spans="2:58" x14ac:dyDescent="0.3">
      <c r="B53" s="39"/>
      <c r="C53" s="40" t="s">
        <v>113</v>
      </c>
      <c r="D53" s="40">
        <f>NPV(D2,C52:BE52)</f>
        <v>1.773898412454997</v>
      </c>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1"/>
      <c r="AZ53" s="41"/>
      <c r="BA53" s="41"/>
      <c r="BB53" s="41"/>
      <c r="BC53" s="41"/>
      <c r="BD53" s="41"/>
      <c r="BE53" s="41"/>
      <c r="BF53" s="41"/>
    </row>
    <row r="54" spans="2:58" x14ac:dyDescent="0.3">
      <c r="B54" s="39"/>
      <c r="C54" s="40" t="s">
        <v>114</v>
      </c>
      <c r="D54" s="40">
        <f>D53/-C52</f>
        <v>2.1922773873562025</v>
      </c>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1"/>
      <c r="AZ54" s="41"/>
      <c r="BA54" s="41"/>
      <c r="BB54" s="41"/>
      <c r="BC54" s="41"/>
      <c r="BD54" s="41"/>
      <c r="BE54" s="41"/>
      <c r="BF54" s="41"/>
    </row>
    <row r="55" spans="2:58" x14ac:dyDescent="0.3">
      <c r="B55" s="39"/>
      <c r="C55" s="40" t="s">
        <v>78</v>
      </c>
      <c r="D55" s="42">
        <f>D54*'Tables and Outputs'!G101</f>
        <v>2192277387.3562026</v>
      </c>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1"/>
      <c r="AZ55" s="41"/>
      <c r="BA55" s="41"/>
      <c r="BB55" s="41"/>
      <c r="BC55" s="41"/>
      <c r="BD55" s="41"/>
      <c r="BE55" s="41"/>
      <c r="BF55"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Tables and Outputs</vt:lpstr>
      <vt:lpstr>GDP NPV 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Alasdair Mackintosh</dc:creator>
  <cp:lastModifiedBy>Alasdair Mackintosh</cp:lastModifiedBy>
  <dcterms:created xsi:type="dcterms:W3CDTF">2021-02-22T13:51:38Z</dcterms:created>
  <dcterms:modified xsi:type="dcterms:W3CDTF">2021-06-16T10:08:29Z</dcterms:modified>
</cp:coreProperties>
</file>