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/>
  <mc:AlternateContent xmlns:mc="http://schemas.openxmlformats.org/markup-compatibility/2006">
    <mc:Choice Requires="x15">
      <x15ac:absPath xmlns:x15ac="http://schemas.microsoft.com/office/spreadsheetml/2010/11/ac" url="C:\Users\ADMIN\Downloads\Versão Final\"/>
    </mc:Choice>
  </mc:AlternateContent>
  <xr:revisionPtr revIDLastSave="1" documentId="11_C45487D036218094348B443537950B7E94611F1A" xr6:coauthVersionLast="47" xr6:coauthVersionMax="47" xr10:uidLastSave="{80408A6E-A22E-4514-8B95-327542E4EAB7}"/>
  <bookViews>
    <workbookView xWindow="0" yWindow="0" windowWidth="28800" windowHeight="12000" tabRatio="835" activeTab="2" xr2:uid="{00000000-000D-0000-FFFF-FFFF00000000}"/>
  </bookViews>
  <sheets>
    <sheet name="ONSV_2013" sheetId="44" r:id="rId1"/>
    <sheet name="ONSV_AUX_2013" sheetId="37" r:id="rId2"/>
    <sheet name="AC" sheetId="3" r:id="rId3"/>
    <sheet name="AL" sheetId="7" r:id="rId4"/>
    <sheet name="AP" sheetId="8" r:id="rId5"/>
    <sheet name="AM" sheetId="9" r:id="rId6"/>
    <sheet name="BA" sheetId="10" r:id="rId7"/>
    <sheet name="CE" sheetId="11" r:id="rId8"/>
    <sheet name="DF" sheetId="12" r:id="rId9"/>
    <sheet name="ES" sheetId="13" r:id="rId10"/>
    <sheet name="GO" sheetId="14" r:id="rId11"/>
    <sheet name="MA" sheetId="15" r:id="rId12"/>
    <sheet name="MT" sheetId="16" r:id="rId13"/>
    <sheet name="MS" sheetId="17" r:id="rId14"/>
    <sheet name="MG" sheetId="18" r:id="rId15"/>
    <sheet name="PA" sheetId="19" r:id="rId16"/>
    <sheet name="PB" sheetId="20" r:id="rId17"/>
    <sheet name="PR" sheetId="21" r:id="rId18"/>
    <sheet name="PE" sheetId="22" r:id="rId19"/>
    <sheet name="PI" sheetId="23" r:id="rId20"/>
    <sheet name="RJ" sheetId="24" r:id="rId21"/>
    <sheet name="RN" sheetId="25" r:id="rId22"/>
    <sheet name="RS" sheetId="26" r:id="rId23"/>
    <sheet name="RO" sheetId="27" r:id="rId24"/>
    <sheet name="RR" sheetId="28" r:id="rId25"/>
    <sheet name="SC" sheetId="29" r:id="rId26"/>
    <sheet name="SP" sheetId="30" r:id="rId27"/>
    <sheet name="SE" sheetId="31" r:id="rId28"/>
    <sheet name="TO" sheetId="32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37" l="1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AB32" i="37"/>
  <c r="B32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AB31" i="37"/>
  <c r="B31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Z30" i="37"/>
  <c r="AA30" i="37"/>
  <c r="AB30" i="37"/>
  <c r="B30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AB29" i="37"/>
  <c r="B29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Z28" i="37"/>
  <c r="AA28" i="37"/>
  <c r="AB28" i="37"/>
  <c r="B28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Z27" i="37"/>
  <c r="AA27" i="37"/>
  <c r="AB27" i="37"/>
  <c r="B27" i="37"/>
  <c r="C23" i="37" l="1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B23" i="37"/>
  <c r="A1" i="17"/>
  <c r="A1" i="32"/>
  <c r="A1" i="31"/>
  <c r="A1" i="30"/>
  <c r="A1" i="29"/>
  <c r="A1" i="28"/>
  <c r="A1" i="27"/>
  <c r="A1" i="26"/>
  <c r="A1" i="25"/>
  <c r="A1" i="24"/>
  <c r="A1" i="23"/>
  <c r="A1" i="22"/>
  <c r="A1" i="21"/>
  <c r="A1" i="19"/>
  <c r="A1" i="18"/>
  <c r="A1" i="16"/>
  <c r="A1" i="15"/>
  <c r="A1" i="14"/>
  <c r="A1" i="13"/>
  <c r="A1" i="12"/>
  <c r="A1" i="11"/>
  <c r="A1" i="10"/>
  <c r="A1" i="9"/>
  <c r="A1" i="8"/>
  <c r="A1" i="7"/>
  <c r="A1" i="3"/>
  <c r="A2" i="44"/>
  <c r="I5" i="7" l="1"/>
  <c r="O17" i="7" s="1"/>
  <c r="U12" i="7" s="1"/>
  <c r="I14" i="44" s="1"/>
  <c r="I5" i="8"/>
  <c r="O17" i="8" s="1"/>
  <c r="U12" i="8" s="1"/>
  <c r="I7" i="44" s="1"/>
  <c r="I5" i="9"/>
  <c r="O17" i="9" s="1"/>
  <c r="U12" i="9" s="1"/>
  <c r="I8" i="44" s="1"/>
  <c r="I5" i="10"/>
  <c r="O17" i="10" s="1"/>
  <c r="U12" i="10" s="1"/>
  <c r="I15" i="44" s="1"/>
  <c r="I5" i="11"/>
  <c r="O17" i="11" s="1"/>
  <c r="U12" i="11" s="1"/>
  <c r="I16" i="44" s="1"/>
  <c r="I5" i="12"/>
  <c r="O17" i="12" s="1"/>
  <c r="U12" i="12" s="1"/>
  <c r="I33" i="44" s="1"/>
  <c r="I5" i="13"/>
  <c r="O17" i="13" s="1"/>
  <c r="U12" i="13" s="1"/>
  <c r="I24" i="44" s="1"/>
  <c r="I5" i="14"/>
  <c r="O17" i="14" s="1"/>
  <c r="U12" i="14" s="1"/>
  <c r="I34" i="44" s="1"/>
  <c r="I5" i="15"/>
  <c r="O17" i="15" s="1"/>
  <c r="U12" i="15" s="1"/>
  <c r="I17" i="44" s="1"/>
  <c r="I5" i="16"/>
  <c r="O17" i="16" s="1"/>
  <c r="U12" i="16" s="1"/>
  <c r="I35" i="44" s="1"/>
  <c r="I5" i="17"/>
  <c r="O17" i="17" s="1"/>
  <c r="U12" i="17" s="1"/>
  <c r="I36" i="44" s="1"/>
  <c r="I5" i="18"/>
  <c r="O17" i="18" s="1"/>
  <c r="U12" i="18" s="1"/>
  <c r="I25" i="44" s="1"/>
  <c r="I5" i="19"/>
  <c r="O17" i="19" s="1"/>
  <c r="U12" i="19" s="1"/>
  <c r="I9" i="44" s="1"/>
  <c r="I5" i="20"/>
  <c r="O17" i="20" s="1"/>
  <c r="U12" i="20" s="1"/>
  <c r="I18" i="44" s="1"/>
  <c r="I5" i="21"/>
  <c r="O17" i="21" s="1"/>
  <c r="U12" i="21" s="1"/>
  <c r="I29" i="44" s="1"/>
  <c r="I5" i="22"/>
  <c r="O17" i="22" s="1"/>
  <c r="U12" i="22" s="1"/>
  <c r="I19" i="44" s="1"/>
  <c r="I5" i="23"/>
  <c r="O17" i="23" s="1"/>
  <c r="U12" i="23" s="1"/>
  <c r="I20" i="44" s="1"/>
  <c r="I5" i="24"/>
  <c r="O17" i="24" s="1"/>
  <c r="U12" i="24" s="1"/>
  <c r="I26" i="44" s="1"/>
  <c r="I5" i="25"/>
  <c r="O17" i="25" s="1"/>
  <c r="U12" i="25" s="1"/>
  <c r="I21" i="44" s="1"/>
  <c r="I5" i="27"/>
  <c r="O17" i="27" s="1"/>
  <c r="U12" i="27" s="1"/>
  <c r="I10" i="44" s="1"/>
  <c r="I5" i="28"/>
  <c r="O17" i="28" s="1"/>
  <c r="U12" i="28" s="1"/>
  <c r="I11" i="44" s="1"/>
  <c r="I5" i="29"/>
  <c r="O17" i="29" s="1"/>
  <c r="U12" i="29" s="1"/>
  <c r="I31" i="44" s="1"/>
  <c r="I5" i="31"/>
  <c r="O17" i="31" s="1"/>
  <c r="U12" i="31" s="1"/>
  <c r="I22" i="44" s="1"/>
  <c r="I5" i="32"/>
  <c r="O17" i="32" s="1"/>
  <c r="U12" i="32" s="1"/>
  <c r="I12" i="44" s="1"/>
  <c r="I6" i="3"/>
  <c r="I6" i="7"/>
  <c r="I6" i="8"/>
  <c r="I6" i="9"/>
  <c r="I6" i="10"/>
  <c r="I6" i="12"/>
  <c r="I6" i="13"/>
  <c r="I6" i="14"/>
  <c r="I6" i="15"/>
  <c r="I6" i="16"/>
  <c r="I6" i="17"/>
  <c r="I6" i="18"/>
  <c r="I6" i="20"/>
  <c r="I6" i="21"/>
  <c r="I6" i="22"/>
  <c r="I6" i="23"/>
  <c r="I6" i="24"/>
  <c r="I6" i="25"/>
  <c r="I6" i="26"/>
  <c r="I6" i="27"/>
  <c r="I6" i="28"/>
  <c r="I6" i="29"/>
  <c r="I6" i="30"/>
  <c r="I6" i="31"/>
  <c r="I6" i="32"/>
  <c r="I7" i="3"/>
  <c r="I7" i="7"/>
  <c r="I7" i="8"/>
  <c r="I7" i="10"/>
  <c r="I7" i="12"/>
  <c r="I7" i="14"/>
  <c r="I7" i="18"/>
  <c r="I7" i="20"/>
  <c r="I7" i="21"/>
  <c r="I7" i="22"/>
  <c r="I7" i="24"/>
  <c r="I7" i="25"/>
  <c r="I7" i="26"/>
  <c r="I7" i="27"/>
  <c r="I7" i="28"/>
  <c r="I7" i="29"/>
  <c r="I7" i="30"/>
  <c r="I7" i="32"/>
  <c r="I8" i="3"/>
  <c r="I8" i="7"/>
  <c r="I8" i="8"/>
  <c r="I8" i="10"/>
  <c r="I8" i="11"/>
  <c r="I8" i="12"/>
  <c r="I8" i="13"/>
  <c r="I8" i="14"/>
  <c r="I8" i="15"/>
  <c r="I8" i="16"/>
  <c r="I8" i="17"/>
  <c r="I8" i="18"/>
  <c r="I8" i="19"/>
  <c r="I8" i="20"/>
  <c r="I8" i="22"/>
  <c r="I8" i="23"/>
  <c r="I8" i="24"/>
  <c r="I8" i="25"/>
  <c r="I8" i="26"/>
  <c r="I8" i="28"/>
  <c r="I8" i="29"/>
  <c r="I8" i="30"/>
  <c r="I8" i="31"/>
  <c r="I8" i="32"/>
  <c r="I9" i="7"/>
  <c r="O18" i="7" s="1"/>
  <c r="U13" i="7" s="1"/>
  <c r="J14" i="44" s="1"/>
  <c r="I9" i="8"/>
  <c r="O18" i="8" s="1"/>
  <c r="U13" i="8" s="1"/>
  <c r="J7" i="44" s="1"/>
  <c r="I9" i="9"/>
  <c r="O18" i="9" s="1"/>
  <c r="U13" i="9" s="1"/>
  <c r="J8" i="44" s="1"/>
  <c r="I9" i="10"/>
  <c r="O18" i="10" s="1"/>
  <c r="U13" i="10" s="1"/>
  <c r="J15" i="44" s="1"/>
  <c r="I9" i="11"/>
  <c r="O18" i="11" s="1"/>
  <c r="U13" i="11" s="1"/>
  <c r="J16" i="44" s="1"/>
  <c r="I9" i="12"/>
  <c r="O18" i="12" s="1"/>
  <c r="U13" i="12" s="1"/>
  <c r="J33" i="44" s="1"/>
  <c r="I9" i="13"/>
  <c r="O18" i="13" s="1"/>
  <c r="U13" i="13" s="1"/>
  <c r="J24" i="44" s="1"/>
  <c r="I9" i="15"/>
  <c r="O18" i="15" s="1"/>
  <c r="U13" i="15" s="1"/>
  <c r="J17" i="44" s="1"/>
  <c r="I9" i="16"/>
  <c r="O18" i="16" s="1"/>
  <c r="U13" i="16" s="1"/>
  <c r="J35" i="44" s="1"/>
  <c r="I9" i="17"/>
  <c r="O18" i="17" s="1"/>
  <c r="U13" i="17" s="1"/>
  <c r="J36" i="44" s="1"/>
  <c r="I9" i="19"/>
  <c r="O18" i="19" s="1"/>
  <c r="U13" i="19" s="1"/>
  <c r="J9" i="44" s="1"/>
  <c r="I9" i="20"/>
  <c r="O18" i="20" s="1"/>
  <c r="U13" i="20" s="1"/>
  <c r="J18" i="44" s="1"/>
  <c r="I9" i="21"/>
  <c r="O18" i="21" s="1"/>
  <c r="U13" i="21" s="1"/>
  <c r="J29" i="44" s="1"/>
  <c r="I9" i="22"/>
  <c r="O18" i="22" s="1"/>
  <c r="U13" i="22" s="1"/>
  <c r="J19" i="44" s="1"/>
  <c r="I9" i="23"/>
  <c r="O18" i="23" s="1"/>
  <c r="U13" i="23" s="1"/>
  <c r="J20" i="44" s="1"/>
  <c r="I9" i="24"/>
  <c r="O18" i="24" s="1"/>
  <c r="U13" i="24" s="1"/>
  <c r="J26" i="44" s="1"/>
  <c r="I9" i="25"/>
  <c r="O18" i="25" s="1"/>
  <c r="U13" i="25" s="1"/>
  <c r="J21" i="44" s="1"/>
  <c r="I9" i="26"/>
  <c r="O18" i="26" s="1"/>
  <c r="U13" i="26" s="1"/>
  <c r="J30" i="44" s="1"/>
  <c r="I9" i="27"/>
  <c r="O18" i="27" s="1"/>
  <c r="U13" i="27" s="1"/>
  <c r="J10" i="44" s="1"/>
  <c r="I9" i="28"/>
  <c r="O18" i="28" s="1"/>
  <c r="U13" i="28" s="1"/>
  <c r="J11" i="44" s="1"/>
  <c r="I9" i="29"/>
  <c r="O18" i="29" s="1"/>
  <c r="U13" i="29" s="1"/>
  <c r="J31" i="44" s="1"/>
  <c r="I9" i="30"/>
  <c r="O18" i="30" s="1"/>
  <c r="U13" i="30" s="1"/>
  <c r="J27" i="44" s="1"/>
  <c r="I9" i="31"/>
  <c r="O18" i="31" s="1"/>
  <c r="U13" i="31" s="1"/>
  <c r="J22" i="44" s="1"/>
  <c r="I9" i="32"/>
  <c r="O18" i="32" s="1"/>
  <c r="U13" i="32" s="1"/>
  <c r="J12" i="44" s="1"/>
  <c r="I10" i="3"/>
  <c r="I10" i="8"/>
  <c r="I10" i="9"/>
  <c r="I10" i="10"/>
  <c r="I10" i="12"/>
  <c r="I10" i="13"/>
  <c r="I10" i="14"/>
  <c r="I10" i="15"/>
  <c r="I10" i="16"/>
  <c r="I10" i="17"/>
  <c r="I10" i="18"/>
  <c r="I10" i="20"/>
  <c r="I10" i="21"/>
  <c r="I10" i="22"/>
  <c r="I10" i="23"/>
  <c r="I10" i="24"/>
  <c r="I10" i="25"/>
  <c r="I10" i="26"/>
  <c r="I10" i="27"/>
  <c r="I10" i="28"/>
  <c r="I10" i="29"/>
  <c r="I10" i="30"/>
  <c r="I10" i="31"/>
  <c r="I10" i="32"/>
  <c r="AD38" i="37"/>
  <c r="AD39" i="37"/>
  <c r="AD40" i="37"/>
  <c r="AD41" i="37"/>
  <c r="AD42" i="37"/>
  <c r="AD43" i="37"/>
  <c r="AD44" i="37"/>
  <c r="AD45" i="37"/>
  <c r="AD46" i="37"/>
  <c r="AD47" i="37"/>
  <c r="I5" i="30"/>
  <c r="O17" i="30" s="1"/>
  <c r="U12" i="30" s="1"/>
  <c r="I27" i="44" s="1"/>
  <c r="I8" i="27"/>
  <c r="I5" i="26"/>
  <c r="O17" i="26" s="1"/>
  <c r="U12" i="26" s="1"/>
  <c r="I30" i="44" s="1"/>
  <c r="I8" i="21"/>
  <c r="I6" i="19"/>
  <c r="I10" i="19"/>
  <c r="I9" i="18"/>
  <c r="O18" i="18" s="1"/>
  <c r="U13" i="18" s="1"/>
  <c r="J25" i="44" s="1"/>
  <c r="I7" i="16"/>
  <c r="I9" i="14"/>
  <c r="O18" i="14" s="1"/>
  <c r="U13" i="14" s="1"/>
  <c r="J34" i="44" s="1"/>
  <c r="I6" i="11"/>
  <c r="I10" i="11"/>
  <c r="I8" i="9"/>
  <c r="I10" i="7"/>
  <c r="I9" i="3"/>
  <c r="O18" i="3" s="1"/>
  <c r="U13" i="3" s="1"/>
  <c r="J6" i="44" s="1"/>
  <c r="I5" i="3"/>
  <c r="O17" i="3" s="1"/>
  <c r="U12" i="3" s="1"/>
  <c r="I6" i="44" s="1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4" i="37"/>
  <c r="AD23" i="37" s="1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J49" i="37"/>
  <c r="I49" i="37"/>
  <c r="H49" i="37"/>
  <c r="G49" i="37"/>
  <c r="F49" i="37"/>
  <c r="E49" i="37"/>
  <c r="D49" i="37"/>
  <c r="C49" i="37"/>
  <c r="B49" i="37"/>
  <c r="AD49" i="37" l="1"/>
  <c r="I34" i="37"/>
  <c r="M34" i="37"/>
  <c r="E34" i="37"/>
  <c r="Q34" i="37"/>
  <c r="I7" i="13"/>
  <c r="I7" i="17"/>
  <c r="U34" i="37"/>
  <c r="Y34" i="37"/>
  <c r="I7" i="9"/>
  <c r="D34" i="37"/>
  <c r="AA34" i="37"/>
  <c r="S34" i="37"/>
  <c r="O34" i="37"/>
  <c r="K34" i="37"/>
  <c r="G34" i="37"/>
  <c r="C34" i="37"/>
  <c r="R34" i="37"/>
  <c r="N34" i="37"/>
  <c r="J34" i="37"/>
  <c r="H34" i="37"/>
  <c r="L34" i="37"/>
  <c r="P34" i="37"/>
  <c r="T34" i="37"/>
  <c r="X34" i="37"/>
  <c r="AB34" i="37"/>
  <c r="I7" i="23"/>
  <c r="I7" i="31"/>
  <c r="AD27" i="37"/>
  <c r="B34" i="37"/>
  <c r="F34" i="37"/>
  <c r="V34" i="37"/>
  <c r="Z34" i="37"/>
  <c r="I7" i="11"/>
  <c r="I7" i="15"/>
  <c r="I7" i="19"/>
  <c r="W34" i="37"/>
  <c r="J28" i="44"/>
  <c r="J23" i="44"/>
  <c r="J32" i="44"/>
  <c r="J5" i="44"/>
  <c r="I28" i="44"/>
  <c r="AD30" i="37"/>
  <c r="AD32" i="37"/>
  <c r="AD29" i="37"/>
  <c r="AD31" i="37"/>
  <c r="AD28" i="37"/>
  <c r="AD34" i="37" l="1"/>
  <c r="AB57" i="37" s="1"/>
  <c r="I15" i="32" s="1"/>
  <c r="X11" i="32" s="1"/>
  <c r="Y12" i="44" s="1"/>
  <c r="J13" i="44"/>
  <c r="J4" i="44" s="1"/>
  <c r="I23" i="44"/>
  <c r="I32" i="44"/>
  <c r="I5" i="44"/>
  <c r="Z60" i="37" l="1"/>
  <c r="I18" i="30" s="1"/>
  <c r="D61" i="37"/>
  <c r="I19" i="8" s="1"/>
  <c r="X15" i="8" s="1"/>
  <c r="AE7" i="44" s="1"/>
  <c r="H60" i="37"/>
  <c r="I18" i="12" s="1"/>
  <c r="R59" i="37"/>
  <c r="I17" i="22" s="1"/>
  <c r="B62" i="37"/>
  <c r="I20" i="3" s="1"/>
  <c r="I62" i="37"/>
  <c r="I20" i="13" s="1"/>
  <c r="X17" i="13" s="1"/>
  <c r="AG24" i="44" s="1"/>
  <c r="S65" i="37"/>
  <c r="I23" i="23" s="1"/>
  <c r="H65" i="37"/>
  <c r="I23" i="12" s="1"/>
  <c r="J64" i="37"/>
  <c r="I22" i="14" s="1"/>
  <c r="X14" i="14" s="1"/>
  <c r="AC34" i="44" s="1"/>
  <c r="W62" i="37"/>
  <c r="I20" i="27" s="1"/>
  <c r="X17" i="27" s="1"/>
  <c r="AG10" i="44" s="1"/>
  <c r="E62" i="37"/>
  <c r="I20" i="9" s="1"/>
  <c r="X17" i="9" s="1"/>
  <c r="AG8" i="44" s="1"/>
  <c r="G64" i="37"/>
  <c r="I22" i="11" s="1"/>
  <c r="X14" i="11" s="1"/>
  <c r="AC16" i="44" s="1"/>
  <c r="H62" i="37"/>
  <c r="I20" i="12" s="1"/>
  <c r="X17" i="12" s="1"/>
  <c r="AG33" i="44" s="1"/>
  <c r="T60" i="37"/>
  <c r="I18" i="24" s="1"/>
  <c r="D58" i="37"/>
  <c r="I16" i="8" s="1"/>
  <c r="X12" i="8" s="1"/>
  <c r="AA7" i="44" s="1"/>
  <c r="E61" i="37"/>
  <c r="I19" i="9" s="1"/>
  <c r="X15" i="9" s="1"/>
  <c r="AE8" i="44" s="1"/>
  <c r="K58" i="37"/>
  <c r="I16" i="15" s="1"/>
  <c r="X12" i="15" s="1"/>
  <c r="AA17" i="44" s="1"/>
  <c r="L59" i="37"/>
  <c r="I17" i="16" s="1"/>
  <c r="G57" i="37"/>
  <c r="I15" i="11" s="1"/>
  <c r="X11" i="11" s="1"/>
  <c r="Y16" i="44" s="1"/>
  <c r="K57" i="37"/>
  <c r="I15" i="15" s="1"/>
  <c r="X11" i="15" s="1"/>
  <c r="Y17" i="44" s="1"/>
  <c r="F57" i="37"/>
  <c r="I15" i="10" s="1"/>
  <c r="X11" i="10" s="1"/>
  <c r="Y15" i="44" s="1"/>
  <c r="E64" i="37"/>
  <c r="I22" i="9" s="1"/>
  <c r="X14" i="9" s="1"/>
  <c r="AC8" i="44" s="1"/>
  <c r="J59" i="37"/>
  <c r="I17" i="14" s="1"/>
  <c r="O58" i="37"/>
  <c r="I16" i="19" s="1"/>
  <c r="X12" i="19" s="1"/>
  <c r="AA9" i="44" s="1"/>
  <c r="F62" i="37"/>
  <c r="I20" i="10" s="1"/>
  <c r="X17" i="10" s="1"/>
  <c r="AG15" i="44" s="1"/>
  <c r="I65" i="37"/>
  <c r="I23" i="13" s="1"/>
  <c r="Q57" i="37"/>
  <c r="I15" i="21" s="1"/>
  <c r="X11" i="21" s="1"/>
  <c r="Y29" i="44" s="1"/>
  <c r="M65" i="37"/>
  <c r="I23" i="17" s="1"/>
  <c r="V61" i="37"/>
  <c r="I19" i="26" s="1"/>
  <c r="X15" i="26" s="1"/>
  <c r="AE30" i="44" s="1"/>
  <c r="AA58" i="37"/>
  <c r="I16" i="31" s="1"/>
  <c r="X12" i="31" s="1"/>
  <c r="AA22" i="44" s="1"/>
  <c r="AA64" i="37"/>
  <c r="I22" i="31" s="1"/>
  <c r="X14" i="31" s="1"/>
  <c r="AC22" i="44" s="1"/>
  <c r="B61" i="37"/>
  <c r="I19" i="3" s="1"/>
  <c r="C62" i="37"/>
  <c r="I20" i="7" s="1"/>
  <c r="X17" i="7" s="1"/>
  <c r="AG14" i="44" s="1"/>
  <c r="C61" i="37"/>
  <c r="I19" i="7" s="1"/>
  <c r="X15" i="7" s="1"/>
  <c r="AE14" i="44" s="1"/>
  <c r="C64" i="37"/>
  <c r="I22" i="7" s="1"/>
  <c r="X14" i="7" s="1"/>
  <c r="AC14" i="44" s="1"/>
  <c r="S56" i="37"/>
  <c r="I14" i="23" s="1"/>
  <c r="L65" i="37"/>
  <c r="I23" i="16" s="1"/>
  <c r="K63" i="37"/>
  <c r="I21" i="15" s="1"/>
  <c r="X18" i="15" s="1"/>
  <c r="AI17" i="44" s="1"/>
  <c r="P61" i="37"/>
  <c r="I19" i="20" s="1"/>
  <c r="X15" i="20" s="1"/>
  <c r="AE18" i="44" s="1"/>
  <c r="L61" i="37"/>
  <c r="I19" i="16" s="1"/>
  <c r="X15" i="16" s="1"/>
  <c r="AE35" i="44" s="1"/>
  <c r="V60" i="37"/>
  <c r="I18" i="26" s="1"/>
  <c r="M62" i="37"/>
  <c r="I20" i="17" s="1"/>
  <c r="X17" i="17" s="1"/>
  <c r="AG36" i="44" s="1"/>
  <c r="Q60" i="37"/>
  <c r="I18" i="21" s="1"/>
  <c r="P62" i="37"/>
  <c r="I20" i="20" s="1"/>
  <c r="X17" i="20" s="1"/>
  <c r="AG18" i="44" s="1"/>
  <c r="AB56" i="37"/>
  <c r="I14" i="32" s="1"/>
  <c r="U56" i="37"/>
  <c r="I14" i="25" s="1"/>
  <c r="H61" i="37"/>
  <c r="I19" i="12" s="1"/>
  <c r="X15" i="12" s="1"/>
  <c r="AE33" i="44" s="1"/>
  <c r="D56" i="37"/>
  <c r="I14" i="8" s="1"/>
  <c r="G65" i="37"/>
  <c r="I23" i="11" s="1"/>
  <c r="X56" i="37"/>
  <c r="I14" i="28" s="1"/>
  <c r="X65" i="37"/>
  <c r="I23" i="28" s="1"/>
  <c r="M59" i="37"/>
  <c r="I17" i="17" s="1"/>
  <c r="D59" i="37"/>
  <c r="I17" i="8" s="1"/>
  <c r="G62" i="37"/>
  <c r="I20" i="11" s="1"/>
  <c r="X17" i="11" s="1"/>
  <c r="AG16" i="44" s="1"/>
  <c r="S58" i="37"/>
  <c r="I16" i="23" s="1"/>
  <c r="X12" i="23" s="1"/>
  <c r="AA20" i="44" s="1"/>
  <c r="P64" i="37"/>
  <c r="I22" i="20" s="1"/>
  <c r="X14" i="20" s="1"/>
  <c r="AC18" i="44" s="1"/>
  <c r="M58" i="37"/>
  <c r="I16" i="17" s="1"/>
  <c r="X12" i="17" s="1"/>
  <c r="AA36" i="44" s="1"/>
  <c r="R56" i="37"/>
  <c r="I14" i="22" s="1"/>
  <c r="V64" i="37"/>
  <c r="I22" i="26" s="1"/>
  <c r="X14" i="26" s="1"/>
  <c r="AC30" i="44" s="1"/>
  <c r="W57" i="37"/>
  <c r="I15" i="27" s="1"/>
  <c r="X11" i="27" s="1"/>
  <c r="Y10" i="44" s="1"/>
  <c r="F65" i="37"/>
  <c r="I23" i="10" s="1"/>
  <c r="X57" i="37"/>
  <c r="I15" i="28" s="1"/>
  <c r="X11" i="28" s="1"/>
  <c r="Y11" i="44" s="1"/>
  <c r="V63" i="37"/>
  <c r="I21" i="26" s="1"/>
  <c r="X18" i="26" s="1"/>
  <c r="AI30" i="44" s="1"/>
  <c r="Z61" i="37"/>
  <c r="I19" i="30" s="1"/>
  <c r="X15" i="30" s="1"/>
  <c r="AE27" i="44" s="1"/>
  <c r="U62" i="37"/>
  <c r="I20" i="25" s="1"/>
  <c r="X17" i="25" s="1"/>
  <c r="AG21" i="44" s="1"/>
  <c r="C63" i="37"/>
  <c r="I21" i="7" s="1"/>
  <c r="X18" i="7" s="1"/>
  <c r="AI14" i="44" s="1"/>
  <c r="B60" i="37"/>
  <c r="I18" i="3" s="1"/>
  <c r="B59" i="37"/>
  <c r="I17" i="3" s="1"/>
  <c r="B56" i="37"/>
  <c r="I14" i="3" s="1"/>
  <c r="D62" i="37"/>
  <c r="I20" i="8" s="1"/>
  <c r="X17" i="8" s="1"/>
  <c r="AG7" i="44" s="1"/>
  <c r="I59" i="37"/>
  <c r="I17" i="13" s="1"/>
  <c r="H64" i="37"/>
  <c r="I22" i="12" s="1"/>
  <c r="X14" i="12" s="1"/>
  <c r="AC33" i="44" s="1"/>
  <c r="R60" i="37"/>
  <c r="D63" i="37"/>
  <c r="I21" i="8" s="1"/>
  <c r="X18" i="8" s="1"/>
  <c r="AI7" i="44" s="1"/>
  <c r="L64" i="37"/>
  <c r="I22" i="16" s="1"/>
  <c r="X14" i="16" s="1"/>
  <c r="AC35" i="44" s="1"/>
  <c r="I61" i="37"/>
  <c r="I19" i="13" s="1"/>
  <c r="X15" i="13" s="1"/>
  <c r="AE24" i="44" s="1"/>
  <c r="H56" i="37"/>
  <c r="I14" i="12" s="1"/>
  <c r="N57" i="37"/>
  <c r="I15" i="18" s="1"/>
  <c r="X11" i="18" s="1"/>
  <c r="Y25" i="44" s="1"/>
  <c r="X62" i="37"/>
  <c r="I20" i="28" s="1"/>
  <c r="X17" i="28" s="1"/>
  <c r="AG11" i="44" s="1"/>
  <c r="AB59" i="37"/>
  <c r="I17" i="32" s="1"/>
  <c r="Z57" i="37"/>
  <c r="I15" i="30" s="1"/>
  <c r="X11" i="30" s="1"/>
  <c r="Y27" i="44" s="1"/>
  <c r="N59" i="37"/>
  <c r="I17" i="18" s="1"/>
  <c r="O57" i="37"/>
  <c r="I15" i="19" s="1"/>
  <c r="X11" i="19" s="1"/>
  <c r="Y9" i="44" s="1"/>
  <c r="W61" i="37"/>
  <c r="I19" i="27" s="1"/>
  <c r="X15" i="27" s="1"/>
  <c r="AE10" i="44" s="1"/>
  <c r="P65" i="37"/>
  <c r="I23" i="20" s="1"/>
  <c r="Z63" i="37"/>
  <c r="I21" i="30" s="1"/>
  <c r="X18" i="30" s="1"/>
  <c r="AI27" i="44" s="1"/>
  <c r="B65" i="37"/>
  <c r="I23" i="3" s="1"/>
  <c r="K65" i="37"/>
  <c r="I23" i="15" s="1"/>
  <c r="E58" i="37"/>
  <c r="I16" i="9" s="1"/>
  <c r="X12" i="9" s="1"/>
  <c r="AA8" i="44" s="1"/>
  <c r="B63" i="37"/>
  <c r="I21" i="3" s="1"/>
  <c r="D57" i="37"/>
  <c r="I15" i="8" s="1"/>
  <c r="X11" i="8" s="1"/>
  <c r="Y7" i="44" s="1"/>
  <c r="B58" i="37"/>
  <c r="I16" i="3" s="1"/>
  <c r="I64" i="37"/>
  <c r="I22" i="13" s="1"/>
  <c r="X14" i="13" s="1"/>
  <c r="AC24" i="44" s="1"/>
  <c r="I63" i="37"/>
  <c r="I21" i="13" s="1"/>
  <c r="X18" i="13" s="1"/>
  <c r="AI24" i="44" s="1"/>
  <c r="D60" i="37"/>
  <c r="I18" i="8" s="1"/>
  <c r="J57" i="37"/>
  <c r="I15" i="14" s="1"/>
  <c r="X11" i="14" s="1"/>
  <c r="Y34" i="44" s="1"/>
  <c r="G63" i="37"/>
  <c r="I21" i="11" s="1"/>
  <c r="X18" i="11" s="1"/>
  <c r="AI16" i="44" s="1"/>
  <c r="K59" i="37"/>
  <c r="I17" i="15" s="1"/>
  <c r="H59" i="37"/>
  <c r="I17" i="12" s="1"/>
  <c r="G56" i="37"/>
  <c r="I14" i="11" s="1"/>
  <c r="I57" i="37"/>
  <c r="I15" i="13" s="1"/>
  <c r="X11" i="13" s="1"/>
  <c r="Y24" i="44" s="1"/>
  <c r="E63" i="37"/>
  <c r="I21" i="9" s="1"/>
  <c r="X18" i="9" s="1"/>
  <c r="AI8" i="44" s="1"/>
  <c r="Q58" i="37"/>
  <c r="I16" i="21" s="1"/>
  <c r="X12" i="21" s="1"/>
  <c r="AA29" i="44" s="1"/>
  <c r="Q65" i="37"/>
  <c r="I23" i="21" s="1"/>
  <c r="M56" i="37"/>
  <c r="I14" i="17" s="1"/>
  <c r="S61" i="37"/>
  <c r="I19" i="23" s="1"/>
  <c r="X15" i="23" s="1"/>
  <c r="AE20" i="44" s="1"/>
  <c r="P63" i="37"/>
  <c r="I21" i="20" s="1"/>
  <c r="X18" i="20" s="1"/>
  <c r="AI18" i="44" s="1"/>
  <c r="Y58" i="37"/>
  <c r="I16" i="29" s="1"/>
  <c r="X12" i="29" s="1"/>
  <c r="AA31" i="44" s="1"/>
  <c r="O62" i="37"/>
  <c r="I20" i="19" s="1"/>
  <c r="X17" i="19" s="1"/>
  <c r="AG9" i="44" s="1"/>
  <c r="L62" i="37"/>
  <c r="I20" i="16" s="1"/>
  <c r="X17" i="16" s="1"/>
  <c r="AG35" i="44" s="1"/>
  <c r="R61" i="37"/>
  <c r="I19" i="22" s="1"/>
  <c r="X15" i="22" s="1"/>
  <c r="AE19" i="44" s="1"/>
  <c r="O61" i="37"/>
  <c r="I19" i="19" s="1"/>
  <c r="X15" i="19" s="1"/>
  <c r="AE9" i="44" s="1"/>
  <c r="U65" i="37"/>
  <c r="I23" i="25" s="1"/>
  <c r="U64" i="37"/>
  <c r="I22" i="25" s="1"/>
  <c r="X14" i="25" s="1"/>
  <c r="AC21" i="44" s="1"/>
  <c r="Y57" i="37"/>
  <c r="I15" i="29" s="1"/>
  <c r="X11" i="29" s="1"/>
  <c r="Y31" i="44" s="1"/>
  <c r="W60" i="37"/>
  <c r="I18" i="27" s="1"/>
  <c r="P56" i="37"/>
  <c r="I14" i="20" s="1"/>
  <c r="C56" i="37"/>
  <c r="I14" i="7" s="1"/>
  <c r="C60" i="37"/>
  <c r="I18" i="7" s="1"/>
  <c r="N60" i="37"/>
  <c r="I18" i="18" s="1"/>
  <c r="R62" i="37"/>
  <c r="I20" i="22" s="1"/>
  <c r="X17" i="22" s="1"/>
  <c r="AG19" i="44" s="1"/>
  <c r="M57" i="37"/>
  <c r="I15" i="17" s="1"/>
  <c r="X11" i="17" s="1"/>
  <c r="Y36" i="44" s="1"/>
  <c r="L56" i="37"/>
  <c r="I14" i="16" s="1"/>
  <c r="Q59" i="37"/>
  <c r="I17" i="21" s="1"/>
  <c r="O65" i="37"/>
  <c r="I23" i="19" s="1"/>
  <c r="T58" i="37"/>
  <c r="I16" i="24" s="1"/>
  <c r="X12" i="24" s="1"/>
  <c r="AA26" i="44" s="1"/>
  <c r="AB58" i="37"/>
  <c r="I16" i="32" s="1"/>
  <c r="X12" i="32" s="1"/>
  <c r="AA12" i="44" s="1"/>
  <c r="V58" i="37"/>
  <c r="I16" i="26" s="1"/>
  <c r="X12" i="26" s="1"/>
  <c r="AA30" i="44" s="1"/>
  <c r="W64" i="37"/>
  <c r="I22" i="27" s="1"/>
  <c r="X14" i="27" s="1"/>
  <c r="AC10" i="44" s="1"/>
  <c r="V57" i="37"/>
  <c r="I15" i="26" s="1"/>
  <c r="X11" i="26" s="1"/>
  <c r="Y30" i="44" s="1"/>
  <c r="Y61" i="37"/>
  <c r="I19" i="29" s="1"/>
  <c r="X15" i="29" s="1"/>
  <c r="AE31" i="44" s="1"/>
  <c r="AA61" i="37"/>
  <c r="I19" i="31" s="1"/>
  <c r="X15" i="31" s="1"/>
  <c r="AE22" i="44" s="1"/>
  <c r="AB65" i="37"/>
  <c r="I23" i="32" s="1"/>
  <c r="J56" i="37"/>
  <c r="I14" i="14" s="1"/>
  <c r="B57" i="37"/>
  <c r="I15" i="3" s="1"/>
  <c r="X11" i="3" s="1"/>
  <c r="Y6" i="44" s="1"/>
  <c r="N56" i="37"/>
  <c r="I14" i="18" s="1"/>
  <c r="H57" i="37"/>
  <c r="I15" i="12" s="1"/>
  <c r="X11" i="12" s="1"/>
  <c r="Y33" i="44" s="1"/>
  <c r="L60" i="37"/>
  <c r="I18" i="16" s="1"/>
  <c r="L57" i="37"/>
  <c r="I15" i="16" s="1"/>
  <c r="X11" i="16" s="1"/>
  <c r="Y35" i="44" s="1"/>
  <c r="J58" i="37"/>
  <c r="I16" i="14" s="1"/>
  <c r="X12" i="14" s="1"/>
  <c r="AA34" i="44" s="1"/>
  <c r="F58" i="37"/>
  <c r="I16" i="10" s="1"/>
  <c r="X12" i="10" s="1"/>
  <c r="AA15" i="44" s="1"/>
  <c r="G61" i="37"/>
  <c r="I19" i="11" s="1"/>
  <c r="X15" i="11" s="1"/>
  <c r="AE16" i="44" s="1"/>
  <c r="G60" i="37"/>
  <c r="I18" i="11" s="1"/>
  <c r="K60" i="37"/>
  <c r="I18" i="15" s="1"/>
  <c r="E65" i="37"/>
  <c r="I23" i="9" s="1"/>
  <c r="J65" i="37"/>
  <c r="I23" i="14" s="1"/>
  <c r="Q56" i="37"/>
  <c r="I14" i="21" s="1"/>
  <c r="I56" i="37"/>
  <c r="I14" i="13" s="1"/>
  <c r="O64" i="37"/>
  <c r="I22" i="19" s="1"/>
  <c r="X14" i="19" s="1"/>
  <c r="AC9" i="44" s="1"/>
  <c r="H63" i="37"/>
  <c r="I21" i="12" s="1"/>
  <c r="X18" i="12" s="1"/>
  <c r="AI33" i="44" s="1"/>
  <c r="N58" i="37"/>
  <c r="I16" i="18" s="1"/>
  <c r="X12" i="18" s="1"/>
  <c r="AA25" i="44" s="1"/>
  <c r="G58" i="37"/>
  <c r="I16" i="11" s="1"/>
  <c r="X12" i="11" s="1"/>
  <c r="AA16" i="44" s="1"/>
  <c r="K62" i="37"/>
  <c r="I20" i="15" s="1"/>
  <c r="X17" i="15" s="1"/>
  <c r="AG17" i="44" s="1"/>
  <c r="Y56" i="37"/>
  <c r="I14" i="29" s="1"/>
  <c r="H58" i="37"/>
  <c r="I16" i="12" s="1"/>
  <c r="X12" i="12" s="1"/>
  <c r="AA33" i="44" s="1"/>
  <c r="N61" i="37"/>
  <c r="I19" i="18" s="1"/>
  <c r="X15" i="18" s="1"/>
  <c r="AE25" i="44" s="1"/>
  <c r="Q61" i="37"/>
  <c r="I19" i="21" s="1"/>
  <c r="X15" i="21" s="1"/>
  <c r="AE29" i="44" s="1"/>
  <c r="Y65" i="37"/>
  <c r="I23" i="29" s="1"/>
  <c r="O59" i="37"/>
  <c r="I17" i="19" s="1"/>
  <c r="L63" i="37"/>
  <c r="I21" i="16" s="1"/>
  <c r="X18" i="16" s="1"/>
  <c r="AI35" i="44" s="1"/>
  <c r="P57" i="37"/>
  <c r="I15" i="20" s="1"/>
  <c r="X11" i="20" s="1"/>
  <c r="Y18" i="44" s="1"/>
  <c r="X58" i="37"/>
  <c r="I16" i="28" s="1"/>
  <c r="X12" i="28" s="1"/>
  <c r="AA11" i="44" s="1"/>
  <c r="M61" i="37"/>
  <c r="I19" i="17" s="1"/>
  <c r="X15" i="17" s="1"/>
  <c r="AE36" i="44" s="1"/>
  <c r="S64" i="37"/>
  <c r="I22" i="23" s="1"/>
  <c r="X14" i="23" s="1"/>
  <c r="AC20" i="44" s="1"/>
  <c r="N63" i="37"/>
  <c r="I21" i="18" s="1"/>
  <c r="X18" i="18" s="1"/>
  <c r="AI25" i="44" s="1"/>
  <c r="R65" i="37"/>
  <c r="M64" i="37"/>
  <c r="I22" i="17" s="1"/>
  <c r="X14" i="17" s="1"/>
  <c r="AC36" i="44" s="1"/>
  <c r="S59" i="37"/>
  <c r="I17" i="23" s="1"/>
  <c r="W56" i="37"/>
  <c r="I14" i="27" s="1"/>
  <c r="T57" i="37"/>
  <c r="I15" i="24" s="1"/>
  <c r="X11" i="24" s="1"/>
  <c r="Y26" i="44" s="1"/>
  <c r="V62" i="37"/>
  <c r="I20" i="26" s="1"/>
  <c r="X17" i="26" s="1"/>
  <c r="AG30" i="44" s="1"/>
  <c r="T64" i="37"/>
  <c r="I22" i="24" s="1"/>
  <c r="X14" i="24" s="1"/>
  <c r="AC26" i="44" s="1"/>
  <c r="AB62" i="37"/>
  <c r="I20" i="32" s="1"/>
  <c r="X17" i="32" s="1"/>
  <c r="AG12" i="44" s="1"/>
  <c r="AA62" i="37"/>
  <c r="I20" i="31" s="1"/>
  <c r="X17" i="31" s="1"/>
  <c r="AG22" i="44" s="1"/>
  <c r="W59" i="37"/>
  <c r="I17" i="27" s="1"/>
  <c r="AB60" i="37"/>
  <c r="I18" i="32" s="1"/>
  <c r="Y59" i="37"/>
  <c r="I17" i="29" s="1"/>
  <c r="T56" i="37"/>
  <c r="I14" i="24" s="1"/>
  <c r="U61" i="37"/>
  <c r="I19" i="25" s="1"/>
  <c r="X15" i="25" s="1"/>
  <c r="AE21" i="44" s="1"/>
  <c r="W58" i="37"/>
  <c r="I16" i="27" s="1"/>
  <c r="X12" i="27" s="1"/>
  <c r="AA10" i="44" s="1"/>
  <c r="T65" i="37"/>
  <c r="I23" i="24" s="1"/>
  <c r="U60" i="37"/>
  <c r="I18" i="25" s="1"/>
  <c r="Z62" i="37"/>
  <c r="I20" i="30" s="1"/>
  <c r="X17" i="30" s="1"/>
  <c r="AG27" i="44" s="1"/>
  <c r="X64" i="37"/>
  <c r="I22" i="28" s="1"/>
  <c r="X14" i="28" s="1"/>
  <c r="AC11" i="44" s="1"/>
  <c r="AB63" i="37"/>
  <c r="I21" i="32" s="1"/>
  <c r="X18" i="32" s="1"/>
  <c r="AI12" i="44" s="1"/>
  <c r="U63" i="37"/>
  <c r="I21" i="25" s="1"/>
  <c r="X18" i="25" s="1"/>
  <c r="AI21" i="44" s="1"/>
  <c r="Y62" i="37"/>
  <c r="I20" i="29" s="1"/>
  <c r="X17" i="29" s="1"/>
  <c r="AG31" i="44" s="1"/>
  <c r="S57" i="37"/>
  <c r="I15" i="23" s="1"/>
  <c r="X11" i="23" s="1"/>
  <c r="Y20" i="44" s="1"/>
  <c r="X63" i="37"/>
  <c r="I21" i="28" s="1"/>
  <c r="X18" i="28" s="1"/>
  <c r="AI11" i="44" s="1"/>
  <c r="T63" i="37"/>
  <c r="I21" i="24" s="1"/>
  <c r="X18" i="24" s="1"/>
  <c r="AI26" i="44" s="1"/>
  <c r="U58" i="37"/>
  <c r="I16" i="25" s="1"/>
  <c r="X12" i="25" s="1"/>
  <c r="AA21" i="44" s="1"/>
  <c r="Z56" i="37"/>
  <c r="I14" i="30" s="1"/>
  <c r="Z59" i="37"/>
  <c r="I17" i="30" s="1"/>
  <c r="Y60" i="37"/>
  <c r="I18" i="29" s="1"/>
  <c r="P60" i="37"/>
  <c r="I18" i="20" s="1"/>
  <c r="C59" i="37"/>
  <c r="I17" i="7" s="1"/>
  <c r="F56" i="37"/>
  <c r="I14" i="10" s="1"/>
  <c r="M63" i="37"/>
  <c r="I21" i="17" s="1"/>
  <c r="X18" i="17" s="1"/>
  <c r="AI36" i="44" s="1"/>
  <c r="I60" i="37"/>
  <c r="I18" i="13" s="1"/>
  <c r="C57" i="37"/>
  <c r="I15" i="7" s="1"/>
  <c r="X11" i="7" s="1"/>
  <c r="Y14" i="44" s="1"/>
  <c r="B64" i="37"/>
  <c r="I22" i="3" s="1"/>
  <c r="K61" i="37"/>
  <c r="I19" i="15" s="1"/>
  <c r="X15" i="15" s="1"/>
  <c r="AE17" i="44" s="1"/>
  <c r="J62" i="37"/>
  <c r="I20" i="14" s="1"/>
  <c r="X17" i="14" s="1"/>
  <c r="AG34" i="44" s="1"/>
  <c r="F64" i="37"/>
  <c r="I22" i="10" s="1"/>
  <c r="X14" i="10" s="1"/>
  <c r="AC15" i="44" s="1"/>
  <c r="D65" i="37"/>
  <c r="I23" i="8" s="1"/>
  <c r="V59" i="37"/>
  <c r="I17" i="26" s="1"/>
  <c r="E56" i="37"/>
  <c r="I14" i="9" s="1"/>
  <c r="C58" i="37"/>
  <c r="I16" i="7" s="1"/>
  <c r="X12" i="7" s="1"/>
  <c r="AA14" i="44" s="1"/>
  <c r="R64" i="37"/>
  <c r="I22" i="22" s="1"/>
  <c r="X14" i="22" s="1"/>
  <c r="AC19" i="44" s="1"/>
  <c r="F63" i="37"/>
  <c r="I21" i="10" s="1"/>
  <c r="X18" i="10" s="1"/>
  <c r="AI15" i="44" s="1"/>
  <c r="K64" i="37"/>
  <c r="I22" i="15" s="1"/>
  <c r="X14" i="15" s="1"/>
  <c r="AC17" i="44" s="1"/>
  <c r="D64" i="37"/>
  <c r="I22" i="8" s="1"/>
  <c r="X14" i="8" s="1"/>
  <c r="AC7" i="44" s="1"/>
  <c r="E57" i="37"/>
  <c r="I15" i="9" s="1"/>
  <c r="X11" i="9" s="1"/>
  <c r="Y8" i="44" s="1"/>
  <c r="J61" i="37"/>
  <c r="I19" i="14" s="1"/>
  <c r="X15" i="14" s="1"/>
  <c r="AE34" i="44" s="1"/>
  <c r="N62" i="37"/>
  <c r="I20" i="18" s="1"/>
  <c r="X17" i="18" s="1"/>
  <c r="AG25" i="44" s="1"/>
  <c r="G59" i="37"/>
  <c r="I17" i="11" s="1"/>
  <c r="I58" i="37"/>
  <c r="I16" i="13" s="1"/>
  <c r="X12" i="13" s="1"/>
  <c r="AA24" i="44" s="1"/>
  <c r="S62" i="37"/>
  <c r="I20" i="23" s="1"/>
  <c r="X17" i="23" s="1"/>
  <c r="AG20" i="44" s="1"/>
  <c r="E60" i="37"/>
  <c r="I18" i="9" s="1"/>
  <c r="J60" i="37"/>
  <c r="I18" i="14" s="1"/>
  <c r="Q62" i="37"/>
  <c r="I20" i="21" s="1"/>
  <c r="X17" i="21" s="1"/>
  <c r="AG29" i="44" s="1"/>
  <c r="F61" i="37"/>
  <c r="I19" i="10" s="1"/>
  <c r="X15" i="10" s="1"/>
  <c r="AE15" i="44" s="1"/>
  <c r="K56" i="37"/>
  <c r="I14" i="15" s="1"/>
  <c r="O60" i="37"/>
  <c r="I18" i="19" s="1"/>
  <c r="E59" i="37"/>
  <c r="I17" i="9" s="1"/>
  <c r="J63" i="37"/>
  <c r="I21" i="14" s="1"/>
  <c r="X18" i="14" s="1"/>
  <c r="AI34" i="44" s="1"/>
  <c r="N65" i="37"/>
  <c r="I23" i="18" s="1"/>
  <c r="P58" i="37"/>
  <c r="I16" i="20" s="1"/>
  <c r="X12" i="20" s="1"/>
  <c r="AA18" i="44" s="1"/>
  <c r="R63" i="37"/>
  <c r="Z65" i="37"/>
  <c r="I23" i="30" s="1"/>
  <c r="O63" i="37"/>
  <c r="I21" i="19" s="1"/>
  <c r="X18" i="19" s="1"/>
  <c r="AI9" i="44" s="1"/>
  <c r="X61" i="37"/>
  <c r="I19" i="28" s="1"/>
  <c r="X15" i="28" s="1"/>
  <c r="AE11" i="44" s="1"/>
  <c r="N64" i="37"/>
  <c r="I22" i="18" s="1"/>
  <c r="X14" i="18" s="1"/>
  <c r="AC25" i="44" s="1"/>
  <c r="Q64" i="37"/>
  <c r="I22" i="21" s="1"/>
  <c r="X14" i="21" s="1"/>
  <c r="AC29" i="44" s="1"/>
  <c r="R58" i="37"/>
  <c r="I16" i="22" s="1"/>
  <c r="X12" i="22" s="1"/>
  <c r="AA19" i="44" s="1"/>
  <c r="AA56" i="37"/>
  <c r="I14" i="31" s="1"/>
  <c r="O56" i="37"/>
  <c r="I14" i="19" s="1"/>
  <c r="S60" i="37"/>
  <c r="I18" i="23" s="1"/>
  <c r="L58" i="37"/>
  <c r="I16" i="16" s="1"/>
  <c r="X12" i="16" s="1"/>
  <c r="AA35" i="44" s="1"/>
  <c r="Q63" i="37"/>
  <c r="I21" i="21" s="1"/>
  <c r="X18" i="21" s="1"/>
  <c r="AI29" i="44" s="1"/>
  <c r="R57" i="37"/>
  <c r="I15" i="22" s="1"/>
  <c r="X11" i="22" s="1"/>
  <c r="Y19" i="44" s="1"/>
  <c r="M60" i="37"/>
  <c r="I18" i="17" s="1"/>
  <c r="S63" i="37"/>
  <c r="I21" i="23" s="1"/>
  <c r="X18" i="23" s="1"/>
  <c r="AI20" i="44" s="1"/>
  <c r="T62" i="37"/>
  <c r="I20" i="24" s="1"/>
  <c r="X17" i="24" s="1"/>
  <c r="AG26" i="44" s="1"/>
  <c r="U57" i="37"/>
  <c r="I15" i="25" s="1"/>
  <c r="X11" i="25" s="1"/>
  <c r="Y21" i="44" s="1"/>
  <c r="AA59" i="37"/>
  <c r="I17" i="31" s="1"/>
  <c r="T61" i="37"/>
  <c r="I19" i="24" s="1"/>
  <c r="X15" i="24" s="1"/>
  <c r="AE26" i="44" s="1"/>
  <c r="W65" i="37"/>
  <c r="I23" i="27" s="1"/>
  <c r="V56" i="37"/>
  <c r="I14" i="26" s="1"/>
  <c r="X60" i="37"/>
  <c r="I18" i="28" s="1"/>
  <c r="C65" i="37"/>
  <c r="I23" i="7" s="1"/>
  <c r="U59" i="37"/>
  <c r="I17" i="25" s="1"/>
  <c r="AA63" i="37"/>
  <c r="I21" i="31" s="1"/>
  <c r="X18" i="31" s="1"/>
  <c r="AI22" i="44" s="1"/>
  <c r="V65" i="37"/>
  <c r="I23" i="26" s="1"/>
  <c r="X59" i="37"/>
  <c r="I17" i="28" s="1"/>
  <c r="T59" i="37"/>
  <c r="I17" i="24" s="1"/>
  <c r="W63" i="37"/>
  <c r="I21" i="27" s="1"/>
  <c r="X18" i="27" s="1"/>
  <c r="AI10" i="44" s="1"/>
  <c r="Z58" i="37"/>
  <c r="I16" i="30" s="1"/>
  <c r="X12" i="30" s="1"/>
  <c r="AA27" i="44" s="1"/>
  <c r="AB64" i="37"/>
  <c r="I22" i="32" s="1"/>
  <c r="X14" i="32" s="1"/>
  <c r="AC12" i="44" s="1"/>
  <c r="AA65" i="37"/>
  <c r="I23" i="31" s="1"/>
  <c r="F60" i="37"/>
  <c r="I18" i="10" s="1"/>
  <c r="F59" i="37"/>
  <c r="I17" i="10" s="1"/>
  <c r="Y64" i="37"/>
  <c r="I22" i="29" s="1"/>
  <c r="X14" i="29" s="1"/>
  <c r="AC31" i="44" s="1"/>
  <c r="AA57" i="37"/>
  <c r="I15" i="31" s="1"/>
  <c r="X11" i="31" s="1"/>
  <c r="Y22" i="44" s="1"/>
  <c r="Y63" i="37"/>
  <c r="I21" i="29" s="1"/>
  <c r="X18" i="29" s="1"/>
  <c r="AI31" i="44" s="1"/>
  <c r="P59" i="37"/>
  <c r="I17" i="20" s="1"/>
  <c r="AB61" i="37"/>
  <c r="I19" i="32" s="1"/>
  <c r="X15" i="32" s="1"/>
  <c r="AE12" i="44" s="1"/>
  <c r="AA60" i="37"/>
  <c r="I18" i="31" s="1"/>
  <c r="Z64" i="37"/>
  <c r="I22" i="30" s="1"/>
  <c r="X14" i="30" s="1"/>
  <c r="AC27" i="44" s="1"/>
  <c r="J15" i="32"/>
  <c r="L7" i="3" l="1"/>
  <c r="L10" i="3"/>
  <c r="J17" i="3" s="1"/>
  <c r="L11" i="3"/>
  <c r="J19" i="8"/>
  <c r="J16" i="13"/>
  <c r="J15" i="10"/>
  <c r="J22" i="14"/>
  <c r="J20" i="12"/>
  <c r="J20" i="13"/>
  <c r="J20" i="9"/>
  <c r="J22" i="17"/>
  <c r="J15" i="11"/>
  <c r="J16" i="8"/>
  <c r="J20" i="27"/>
  <c r="J22" i="11"/>
  <c r="J22" i="16"/>
  <c r="J19" i="12"/>
  <c r="J16" i="25"/>
  <c r="J16" i="32"/>
  <c r="J15" i="28"/>
  <c r="J15" i="30"/>
  <c r="J16" i="15"/>
  <c r="J15" i="15"/>
  <c r="J19" i="9"/>
  <c r="J20" i="17"/>
  <c r="Y23" i="44"/>
  <c r="J16" i="19"/>
  <c r="J16" i="31"/>
  <c r="J21" i="7"/>
  <c r="J20" i="8"/>
  <c r="J21" i="8"/>
  <c r="J20" i="11"/>
  <c r="J21" i="15"/>
  <c r="J19" i="7"/>
  <c r="J21" i="30"/>
  <c r="J19" i="26"/>
  <c r="J20" i="10"/>
  <c r="J20" i="23"/>
  <c r="J15" i="18"/>
  <c r="J22" i="9"/>
  <c r="J19" i="32"/>
  <c r="J15" i="29"/>
  <c r="J19" i="29"/>
  <c r="J20" i="28"/>
  <c r="J20" i="26"/>
  <c r="J15" i="8"/>
  <c r="J15" i="21"/>
  <c r="J16" i="21"/>
  <c r="J22" i="31"/>
  <c r="J22" i="32"/>
  <c r="J22" i="20"/>
  <c r="J22" i="26"/>
  <c r="J15" i="27"/>
  <c r="J19" i="16"/>
  <c r="R11" i="16"/>
  <c r="J20" i="7"/>
  <c r="J16" i="17"/>
  <c r="J19" i="19"/>
  <c r="J20" i="20"/>
  <c r="J22" i="29"/>
  <c r="J22" i="7"/>
  <c r="J21" i="26"/>
  <c r="J21" i="23"/>
  <c r="J20" i="30"/>
  <c r="J19" i="20"/>
  <c r="J16" i="23"/>
  <c r="J21" i="25"/>
  <c r="J20" i="14"/>
  <c r="J15" i="19"/>
  <c r="J15" i="16"/>
  <c r="AG28" i="44"/>
  <c r="AE28" i="44"/>
  <c r="AA28" i="44"/>
  <c r="J20" i="19"/>
  <c r="J19" i="13"/>
  <c r="AC32" i="44"/>
  <c r="J20" i="25"/>
  <c r="J19" i="27"/>
  <c r="J15" i="14"/>
  <c r="J16" i="26"/>
  <c r="J22" i="12"/>
  <c r="J19" i="30"/>
  <c r="J16" i="11"/>
  <c r="J20" i="18"/>
  <c r="J16" i="29"/>
  <c r="J22" i="24"/>
  <c r="J19" i="24"/>
  <c r="J19" i="31"/>
  <c r="J16" i="18"/>
  <c r="I18" i="22"/>
  <c r="AC23" i="44"/>
  <c r="J22" i="15"/>
  <c r="J15" i="20"/>
  <c r="J20" i="29"/>
  <c r="J19" i="17"/>
  <c r="R11" i="9"/>
  <c r="R11" i="29"/>
  <c r="J16" i="12"/>
  <c r="J21" i="20"/>
  <c r="J16" i="9"/>
  <c r="J21" i="19"/>
  <c r="J16" i="10"/>
  <c r="J19" i="25"/>
  <c r="J15" i="13"/>
  <c r="R11" i="19"/>
  <c r="R11" i="32"/>
  <c r="I21" i="22"/>
  <c r="X18" i="22" s="1"/>
  <c r="AI19" i="44" s="1"/>
  <c r="AI13" i="44" s="1"/>
  <c r="AE32" i="44"/>
  <c r="AI23" i="44"/>
  <c r="J21" i="17"/>
  <c r="J15" i="12"/>
  <c r="J20" i="31"/>
  <c r="J15" i="24"/>
  <c r="J16" i="28"/>
  <c r="J22" i="13"/>
  <c r="R11" i="26"/>
  <c r="B67" i="37"/>
  <c r="J16" i="30"/>
  <c r="J19" i="15"/>
  <c r="J22" i="27"/>
  <c r="J16" i="24"/>
  <c r="J22" i="18"/>
  <c r="J19" i="10"/>
  <c r="J21" i="11"/>
  <c r="J20" i="32"/>
  <c r="W67" i="37"/>
  <c r="J15" i="26"/>
  <c r="R11" i="17"/>
  <c r="I23" i="22"/>
  <c r="J22" i="21"/>
  <c r="J19" i="14"/>
  <c r="J19" i="23"/>
  <c r="J20" i="16"/>
  <c r="J21" i="9"/>
  <c r="J21" i="13"/>
  <c r="V67" i="37"/>
  <c r="AA23" i="44"/>
  <c r="M67" i="37"/>
  <c r="J21" i="14"/>
  <c r="J21" i="10"/>
  <c r="J21" i="24"/>
  <c r="J22" i="25"/>
  <c r="J21" i="12"/>
  <c r="J15" i="17"/>
  <c r="J19" i="11"/>
  <c r="R11" i="24"/>
  <c r="AI32" i="44"/>
  <c r="AA32" i="44"/>
  <c r="AC28" i="44"/>
  <c r="AG32" i="44"/>
  <c r="J20" i="21"/>
  <c r="J21" i="31"/>
  <c r="J20" i="15"/>
  <c r="E67" i="37"/>
  <c r="J19" i="21"/>
  <c r="R11" i="25"/>
  <c r="AA67" i="37"/>
  <c r="AD56" i="37"/>
  <c r="AD65" i="37"/>
  <c r="J22" i="23"/>
  <c r="J16" i="14"/>
  <c r="J21" i="27"/>
  <c r="J19" i="18"/>
  <c r="K67" i="37"/>
  <c r="I67" i="37"/>
  <c r="AD62" i="37"/>
  <c r="N67" i="37"/>
  <c r="R11" i="11"/>
  <c r="R11" i="21"/>
  <c r="R11" i="30"/>
  <c r="AG13" i="44"/>
  <c r="AE23" i="44"/>
  <c r="AA13" i="44"/>
  <c r="AG23" i="44"/>
  <c r="J15" i="25"/>
  <c r="J15" i="9"/>
  <c r="J21" i="28"/>
  <c r="R11" i="13"/>
  <c r="R11" i="20"/>
  <c r="AI28" i="44"/>
  <c r="AB67" i="37"/>
  <c r="J22" i="8"/>
  <c r="J21" i="29"/>
  <c r="J22" i="19"/>
  <c r="J21" i="18"/>
  <c r="H67" i="37"/>
  <c r="J21" i="32"/>
  <c r="L67" i="37"/>
  <c r="J21" i="16"/>
  <c r="R11" i="8"/>
  <c r="R11" i="12"/>
  <c r="R11" i="14"/>
  <c r="R11" i="18"/>
  <c r="R11" i="28"/>
  <c r="R11" i="31"/>
  <c r="C67" i="37"/>
  <c r="J22" i="28"/>
  <c r="S67" i="37"/>
  <c r="F67" i="37"/>
  <c r="J19" i="28"/>
  <c r="U67" i="37"/>
  <c r="AD64" i="37"/>
  <c r="J16" i="20"/>
  <c r="J22" i="10"/>
  <c r="J15" i="23"/>
  <c r="T67" i="37"/>
  <c r="J67" i="37"/>
  <c r="AD57" i="37"/>
  <c r="J16" i="16"/>
  <c r="J15" i="31"/>
  <c r="R67" i="37"/>
  <c r="D67" i="37"/>
  <c r="AD61" i="37"/>
  <c r="R11" i="7"/>
  <c r="R11" i="23"/>
  <c r="R11" i="27"/>
  <c r="J15" i="7"/>
  <c r="J20" i="24"/>
  <c r="X67" i="37"/>
  <c r="J21" i="21"/>
  <c r="J16" i="7"/>
  <c r="J16" i="27"/>
  <c r="O67" i="37"/>
  <c r="G67" i="37"/>
  <c r="Q67" i="37"/>
  <c r="AD60" i="37"/>
  <c r="AD58" i="37"/>
  <c r="R11" i="10"/>
  <c r="R11" i="15"/>
  <c r="AD63" i="37"/>
  <c r="AD59" i="37"/>
  <c r="Y67" i="37"/>
  <c r="P67" i="37"/>
  <c r="Z67" i="37"/>
  <c r="J22" i="30"/>
  <c r="X14" i="3"/>
  <c r="AC6" i="44" s="1"/>
  <c r="AC5" i="44" s="1"/>
  <c r="X18" i="3"/>
  <c r="AI6" i="44" s="1"/>
  <c r="AI5" i="44" s="1"/>
  <c r="X12" i="3"/>
  <c r="AA6" i="44" s="1"/>
  <c r="AA5" i="44" s="1"/>
  <c r="X17" i="3"/>
  <c r="AG6" i="44" s="1"/>
  <c r="AG5" i="44" s="1"/>
  <c r="X15" i="3"/>
  <c r="AE6" i="44" s="1"/>
  <c r="AE5" i="44" s="1"/>
  <c r="J19" i="22"/>
  <c r="AE13" i="44"/>
  <c r="J16" i="22"/>
  <c r="J15" i="22"/>
  <c r="R11" i="22"/>
  <c r="J22" i="22"/>
  <c r="AC13" i="44"/>
  <c r="J20" i="22"/>
  <c r="Y28" i="44"/>
  <c r="Y13" i="44"/>
  <c r="Y32" i="44"/>
  <c r="Y5" i="44"/>
  <c r="R11" i="3"/>
  <c r="L7" i="32"/>
  <c r="L7" i="10"/>
  <c r="L9" i="10" s="1"/>
  <c r="J14" i="10" s="1"/>
  <c r="U14" i="10" s="1"/>
  <c r="K15" i="44" s="1"/>
  <c r="L7" i="16"/>
  <c r="L7" i="17"/>
  <c r="L7" i="12"/>
  <c r="L9" i="12" s="1"/>
  <c r="J14" i="12" s="1"/>
  <c r="U14" i="12" s="1"/>
  <c r="K33" i="44" s="1"/>
  <c r="J19" i="3"/>
  <c r="L7" i="28"/>
  <c r="L9" i="28" s="1"/>
  <c r="J14" i="28" s="1"/>
  <c r="U14" i="28" s="1"/>
  <c r="K11" i="44" s="1"/>
  <c r="L7" i="15"/>
  <c r="L9" i="15" s="1"/>
  <c r="J14" i="15" s="1"/>
  <c r="U14" i="15" s="1"/>
  <c r="K17" i="44" s="1"/>
  <c r="J21" i="3"/>
  <c r="L7" i="7"/>
  <c r="L9" i="7" s="1"/>
  <c r="J14" i="7" s="1"/>
  <c r="U14" i="7" s="1"/>
  <c r="K14" i="44" s="1"/>
  <c r="L7" i="25"/>
  <c r="L9" i="25" s="1"/>
  <c r="J14" i="25" s="1"/>
  <c r="U14" i="25" s="1"/>
  <c r="K21" i="44" s="1"/>
  <c r="J22" i="3"/>
  <c r="L7" i="24"/>
  <c r="L7" i="26"/>
  <c r="L9" i="26" s="1"/>
  <c r="J14" i="26" s="1"/>
  <c r="U14" i="26" s="1"/>
  <c r="K30" i="44" s="1"/>
  <c r="L7" i="20"/>
  <c r="L9" i="20" s="1"/>
  <c r="J14" i="20" s="1"/>
  <c r="U14" i="20" s="1"/>
  <c r="K18" i="44" s="1"/>
  <c r="L7" i="23"/>
  <c r="L9" i="23" s="1"/>
  <c r="J14" i="23" s="1"/>
  <c r="U14" i="23" s="1"/>
  <c r="K20" i="44" s="1"/>
  <c r="L7" i="19"/>
  <c r="L9" i="19" s="1"/>
  <c r="J14" i="19" s="1"/>
  <c r="U14" i="19" s="1"/>
  <c r="K9" i="44" s="1"/>
  <c r="L7" i="27"/>
  <c r="L7" i="21"/>
  <c r="L9" i="21" s="1"/>
  <c r="J14" i="21" s="1"/>
  <c r="U14" i="21" s="1"/>
  <c r="K29" i="44" s="1"/>
  <c r="J16" i="3"/>
  <c r="L7" i="30"/>
  <c r="L7" i="14"/>
  <c r="L9" i="14" s="1"/>
  <c r="J14" i="14" s="1"/>
  <c r="U14" i="14" s="1"/>
  <c r="K34" i="44" s="1"/>
  <c r="J15" i="3"/>
  <c r="L7" i="8"/>
  <c r="L7" i="11"/>
  <c r="L9" i="11" s="1"/>
  <c r="J14" i="11" s="1"/>
  <c r="U14" i="11" s="1"/>
  <c r="K16" i="44" s="1"/>
  <c r="L7" i="29"/>
  <c r="L9" i="29" s="1"/>
  <c r="J14" i="29" s="1"/>
  <c r="U14" i="29" s="1"/>
  <c r="K31" i="44" s="1"/>
  <c r="L7" i="13"/>
  <c r="L9" i="13" s="1"/>
  <c r="J14" i="13" s="1"/>
  <c r="U14" i="13" s="1"/>
  <c r="K24" i="44" s="1"/>
  <c r="L7" i="18"/>
  <c r="L9" i="18" s="1"/>
  <c r="J14" i="18" s="1"/>
  <c r="U14" i="18" s="1"/>
  <c r="K25" i="44" s="1"/>
  <c r="L7" i="31"/>
  <c r="L9" i="31" s="1"/>
  <c r="J14" i="31" s="1"/>
  <c r="U14" i="31" s="1"/>
  <c r="K22" i="44" s="1"/>
  <c r="L7" i="9"/>
  <c r="J20" i="3"/>
  <c r="L12" i="3" l="1"/>
  <c r="J23" i="3" s="1"/>
  <c r="U8" i="3" s="1"/>
  <c r="L9" i="3"/>
  <c r="J14" i="3" s="1"/>
  <c r="O7" i="3" s="1"/>
  <c r="AD67" i="37"/>
  <c r="D6" i="44"/>
  <c r="J21" i="22"/>
  <c r="L7" i="22"/>
  <c r="L12" i="22" s="1"/>
  <c r="J23" i="22" s="1"/>
  <c r="U8" i="22" s="1"/>
  <c r="AA4" i="44"/>
  <c r="AG4" i="44"/>
  <c r="AC4" i="44"/>
  <c r="AE4" i="44"/>
  <c r="AI4" i="44"/>
  <c r="Y4" i="44"/>
  <c r="U18" i="3"/>
  <c r="P6" i="44" s="1"/>
  <c r="J18" i="3"/>
  <c r="X8" i="3" s="1"/>
  <c r="U6" i="44" s="1"/>
  <c r="L10" i="29"/>
  <c r="J17" i="29" s="1"/>
  <c r="U18" i="29" s="1"/>
  <c r="P31" i="44" s="1"/>
  <c r="L12" i="29"/>
  <c r="J23" i="29" s="1"/>
  <c r="U8" i="29" s="1"/>
  <c r="L11" i="29"/>
  <c r="J18" i="29" s="1"/>
  <c r="X8" i="29" s="1"/>
  <c r="L11" i="17"/>
  <c r="J18" i="17" s="1"/>
  <c r="X8" i="17" s="1"/>
  <c r="L10" i="17"/>
  <c r="J17" i="17" s="1"/>
  <c r="U18" i="17" s="1"/>
  <c r="P36" i="44" s="1"/>
  <c r="L12" i="17"/>
  <c r="J23" i="17" s="1"/>
  <c r="U8" i="17" s="1"/>
  <c r="L12" i="16"/>
  <c r="J23" i="16" s="1"/>
  <c r="U8" i="16" s="1"/>
  <c r="L10" i="16"/>
  <c r="J17" i="16" s="1"/>
  <c r="U18" i="16" s="1"/>
  <c r="P35" i="44" s="1"/>
  <c r="L11" i="16"/>
  <c r="J18" i="16" s="1"/>
  <c r="X8" i="16" s="1"/>
  <c r="L10" i="8"/>
  <c r="J17" i="8" s="1"/>
  <c r="U18" i="8" s="1"/>
  <c r="P7" i="44" s="1"/>
  <c r="L11" i="8"/>
  <c r="J18" i="8" s="1"/>
  <c r="X8" i="8" s="1"/>
  <c r="L12" i="8"/>
  <c r="J23" i="8" s="1"/>
  <c r="U8" i="8" s="1"/>
  <c r="L12" i="30"/>
  <c r="J23" i="30" s="1"/>
  <c r="U8" i="30" s="1"/>
  <c r="L10" i="30"/>
  <c r="J17" i="30" s="1"/>
  <c r="U18" i="30" s="1"/>
  <c r="P27" i="44" s="1"/>
  <c r="L11" i="30"/>
  <c r="J18" i="30" s="1"/>
  <c r="X8" i="30" s="1"/>
  <c r="L9" i="8"/>
  <c r="J14" i="8" s="1"/>
  <c r="U14" i="8" s="1"/>
  <c r="K7" i="44" s="1"/>
  <c r="L9" i="30"/>
  <c r="J14" i="30" s="1"/>
  <c r="U14" i="30" s="1"/>
  <c r="K27" i="44" s="1"/>
  <c r="L10" i="27"/>
  <c r="J17" i="27" s="1"/>
  <c r="U18" i="27" s="1"/>
  <c r="P10" i="44" s="1"/>
  <c r="L12" i="27"/>
  <c r="J23" i="27" s="1"/>
  <c r="U8" i="27" s="1"/>
  <c r="L11" i="27"/>
  <c r="J18" i="27" s="1"/>
  <c r="X8" i="27" s="1"/>
  <c r="L11" i="19"/>
  <c r="J18" i="19" s="1"/>
  <c r="X8" i="19" s="1"/>
  <c r="L10" i="19"/>
  <c r="J17" i="19" s="1"/>
  <c r="U18" i="19" s="1"/>
  <c r="P9" i="44" s="1"/>
  <c r="L12" i="19"/>
  <c r="J23" i="19" s="1"/>
  <c r="U8" i="19" s="1"/>
  <c r="L11" i="24"/>
  <c r="J18" i="24" s="1"/>
  <c r="X8" i="24" s="1"/>
  <c r="L12" i="24"/>
  <c r="J23" i="24" s="1"/>
  <c r="U8" i="24" s="1"/>
  <c r="L10" i="24"/>
  <c r="J17" i="24" s="1"/>
  <c r="U18" i="24" s="1"/>
  <c r="P26" i="44" s="1"/>
  <c r="L9" i="17"/>
  <c r="J14" i="17" s="1"/>
  <c r="U14" i="17" s="1"/>
  <c r="K36" i="44" s="1"/>
  <c r="L11" i="9"/>
  <c r="J18" i="9" s="1"/>
  <c r="X8" i="9" s="1"/>
  <c r="L10" i="9"/>
  <c r="J17" i="9" s="1"/>
  <c r="U18" i="9" s="1"/>
  <c r="P8" i="44" s="1"/>
  <c r="L12" i="9"/>
  <c r="J23" i="9" s="1"/>
  <c r="U8" i="9" s="1"/>
  <c r="L10" i="23"/>
  <c r="J17" i="23" s="1"/>
  <c r="U18" i="23" s="1"/>
  <c r="P20" i="44" s="1"/>
  <c r="L11" i="23"/>
  <c r="J18" i="23" s="1"/>
  <c r="X8" i="23" s="1"/>
  <c r="L12" i="23"/>
  <c r="J23" i="23" s="1"/>
  <c r="U8" i="23" s="1"/>
  <c r="L12" i="31"/>
  <c r="J23" i="31" s="1"/>
  <c r="U8" i="31" s="1"/>
  <c r="L11" i="31"/>
  <c r="J18" i="31" s="1"/>
  <c r="X8" i="31" s="1"/>
  <c r="L10" i="31"/>
  <c r="J17" i="31" s="1"/>
  <c r="U18" i="31" s="1"/>
  <c r="P22" i="44" s="1"/>
  <c r="L9" i="27"/>
  <c r="J14" i="27" s="1"/>
  <c r="U14" i="27" s="1"/>
  <c r="K10" i="44" s="1"/>
  <c r="L9" i="24"/>
  <c r="J14" i="24" s="1"/>
  <c r="U14" i="24" s="1"/>
  <c r="K26" i="44" s="1"/>
  <c r="L10" i="10"/>
  <c r="J17" i="10" s="1"/>
  <c r="U18" i="10" s="1"/>
  <c r="P15" i="44" s="1"/>
  <c r="L12" i="10"/>
  <c r="J23" i="10" s="1"/>
  <c r="L11" i="10"/>
  <c r="J18" i="10" s="1"/>
  <c r="X8" i="10" s="1"/>
  <c r="L10" i="32"/>
  <c r="J17" i="32" s="1"/>
  <c r="U18" i="32" s="1"/>
  <c r="P12" i="44" s="1"/>
  <c r="L11" i="32"/>
  <c r="J18" i="32" s="1"/>
  <c r="X8" i="32" s="1"/>
  <c r="L12" i="32"/>
  <c r="J23" i="32" s="1"/>
  <c r="U8" i="32" s="1"/>
  <c r="L9" i="9"/>
  <c r="J14" i="9" s="1"/>
  <c r="U14" i="9" s="1"/>
  <c r="K8" i="44" s="1"/>
  <c r="L12" i="11"/>
  <c r="J23" i="11" s="1"/>
  <c r="U8" i="11" s="1"/>
  <c r="L10" i="11"/>
  <c r="J17" i="11" s="1"/>
  <c r="U18" i="11" s="1"/>
  <c r="P16" i="44" s="1"/>
  <c r="L11" i="11"/>
  <c r="J18" i="11" s="1"/>
  <c r="X8" i="11" s="1"/>
  <c r="L11" i="14"/>
  <c r="J18" i="14" s="1"/>
  <c r="X8" i="14" s="1"/>
  <c r="L10" i="14"/>
  <c r="J17" i="14" s="1"/>
  <c r="U18" i="14" s="1"/>
  <c r="P34" i="44" s="1"/>
  <c r="L12" i="14"/>
  <c r="J23" i="14" s="1"/>
  <c r="U8" i="14" s="1"/>
  <c r="L11" i="26"/>
  <c r="J18" i="26" s="1"/>
  <c r="X8" i="26" s="1"/>
  <c r="L12" i="26"/>
  <c r="J23" i="26" s="1"/>
  <c r="U8" i="26" s="1"/>
  <c r="L10" i="26"/>
  <c r="J17" i="26" s="1"/>
  <c r="U18" i="26" s="1"/>
  <c r="P30" i="44" s="1"/>
  <c r="L12" i="7"/>
  <c r="J23" i="7" s="1"/>
  <c r="U8" i="7" s="1"/>
  <c r="L11" i="7"/>
  <c r="J18" i="7" s="1"/>
  <c r="X8" i="7" s="1"/>
  <c r="L10" i="7"/>
  <c r="J17" i="7" s="1"/>
  <c r="U18" i="7" s="1"/>
  <c r="P14" i="44" s="1"/>
  <c r="L9" i="32"/>
  <c r="J14" i="32" s="1"/>
  <c r="U14" i="32" s="1"/>
  <c r="K12" i="44" s="1"/>
  <c r="L10" i="18"/>
  <c r="J17" i="18" s="1"/>
  <c r="U18" i="18" s="1"/>
  <c r="P25" i="44" s="1"/>
  <c r="L12" i="18"/>
  <c r="J23" i="18" s="1"/>
  <c r="U8" i="18" s="1"/>
  <c r="L11" i="18"/>
  <c r="J18" i="18" s="1"/>
  <c r="X8" i="18" s="1"/>
  <c r="L10" i="13"/>
  <c r="J17" i="13" s="1"/>
  <c r="U18" i="13" s="1"/>
  <c r="P24" i="44" s="1"/>
  <c r="L11" i="13"/>
  <c r="J18" i="13" s="1"/>
  <c r="X8" i="13" s="1"/>
  <c r="L12" i="13"/>
  <c r="J23" i="13" s="1"/>
  <c r="U8" i="13" s="1"/>
  <c r="L10" i="20"/>
  <c r="J17" i="20" s="1"/>
  <c r="U18" i="20" s="1"/>
  <c r="P18" i="44" s="1"/>
  <c r="L12" i="20"/>
  <c r="J23" i="20" s="1"/>
  <c r="U8" i="20" s="1"/>
  <c r="L11" i="20"/>
  <c r="J18" i="20" s="1"/>
  <c r="X8" i="20" s="1"/>
  <c r="L10" i="25"/>
  <c r="J17" i="25" s="1"/>
  <c r="U18" i="25" s="1"/>
  <c r="P21" i="44" s="1"/>
  <c r="L12" i="25"/>
  <c r="J23" i="25" s="1"/>
  <c r="U8" i="25" s="1"/>
  <c r="L11" i="25"/>
  <c r="J18" i="25" s="1"/>
  <c r="X8" i="25" s="1"/>
  <c r="L11" i="15"/>
  <c r="J18" i="15" s="1"/>
  <c r="X8" i="15" s="1"/>
  <c r="L10" i="15"/>
  <c r="J17" i="15" s="1"/>
  <c r="U18" i="15" s="1"/>
  <c r="P17" i="44" s="1"/>
  <c r="L12" i="15"/>
  <c r="J23" i="15" s="1"/>
  <c r="U8" i="15" s="1"/>
  <c r="L12" i="12"/>
  <c r="J23" i="12" s="1"/>
  <c r="L11" i="12"/>
  <c r="J18" i="12" s="1"/>
  <c r="X8" i="12" s="1"/>
  <c r="L10" i="12"/>
  <c r="J17" i="12" s="1"/>
  <c r="U18" i="12" s="1"/>
  <c r="P33" i="44" s="1"/>
  <c r="L11" i="21"/>
  <c r="J18" i="21" s="1"/>
  <c r="X8" i="21" s="1"/>
  <c r="L10" i="21"/>
  <c r="J17" i="21" s="1"/>
  <c r="U18" i="21" s="1"/>
  <c r="P29" i="44" s="1"/>
  <c r="L12" i="21"/>
  <c r="J23" i="21" s="1"/>
  <c r="U8" i="21" s="1"/>
  <c r="L10" i="28"/>
  <c r="J17" i="28" s="1"/>
  <c r="U18" i="28" s="1"/>
  <c r="P11" i="44" s="1"/>
  <c r="L11" i="28"/>
  <c r="J18" i="28" s="1"/>
  <c r="X8" i="28" s="1"/>
  <c r="L12" i="28"/>
  <c r="J23" i="28" s="1"/>
  <c r="L9" i="16"/>
  <c r="J14" i="16" s="1"/>
  <c r="U14" i="16" s="1"/>
  <c r="K35" i="44" s="1"/>
  <c r="U8" i="12" l="1"/>
  <c r="K23" i="44"/>
  <c r="U14" i="3"/>
  <c r="K6" i="44" s="1"/>
  <c r="L9" i="22"/>
  <c r="J14" i="22" s="1"/>
  <c r="U14" i="22" s="1"/>
  <c r="K19" i="44" s="1"/>
  <c r="L11" i="22"/>
  <c r="J18" i="22" s="1"/>
  <c r="X8" i="22" s="1"/>
  <c r="L10" i="22"/>
  <c r="J17" i="22" s="1"/>
  <c r="U18" i="22" s="1"/>
  <c r="P19" i="44" s="1"/>
  <c r="K32" i="44"/>
  <c r="O7" i="28"/>
  <c r="O8" i="28" s="1"/>
  <c r="O19" i="28" s="1"/>
  <c r="U11" i="28" s="1"/>
  <c r="H11" i="44" s="1"/>
  <c r="U8" i="28"/>
  <c r="O7" i="10"/>
  <c r="O9" i="10" s="1"/>
  <c r="O11" i="10" s="1"/>
  <c r="U8" i="10"/>
  <c r="O7" i="7"/>
  <c r="O7" i="8"/>
  <c r="O8" i="8" s="1"/>
  <c r="O7" i="32"/>
  <c r="O9" i="32" s="1"/>
  <c r="O11" i="32" s="1"/>
  <c r="R7" i="32"/>
  <c r="R9" i="32" s="1"/>
  <c r="R13" i="32" s="1"/>
  <c r="R7" i="31"/>
  <c r="R9" i="31" s="1"/>
  <c r="R13" i="31" s="1"/>
  <c r="R16" i="31" s="1"/>
  <c r="O7" i="31"/>
  <c r="O7" i="30"/>
  <c r="O9" i="30" s="1"/>
  <c r="O11" i="30" s="1"/>
  <c r="R7" i="30"/>
  <c r="R9" i="30" s="1"/>
  <c r="R13" i="30" s="1"/>
  <c r="R7" i="29"/>
  <c r="R9" i="29" s="1"/>
  <c r="R13" i="29" s="1"/>
  <c r="O7" i="29"/>
  <c r="R7" i="28"/>
  <c r="R9" i="28" s="1"/>
  <c r="R13" i="28" s="1"/>
  <c r="O7" i="27"/>
  <c r="O9" i="27" s="1"/>
  <c r="O11" i="27" s="1"/>
  <c r="O13" i="27" s="1"/>
  <c r="R7" i="27"/>
  <c r="R9" i="27" s="1"/>
  <c r="R13" i="27" s="1"/>
  <c r="R7" i="26"/>
  <c r="R9" i="26" s="1"/>
  <c r="R13" i="26" s="1"/>
  <c r="R16" i="26" s="1"/>
  <c r="O7" i="26"/>
  <c r="R7" i="25"/>
  <c r="R9" i="25" s="1"/>
  <c r="R13" i="25" s="1"/>
  <c r="O7" i="25"/>
  <c r="R7" i="24"/>
  <c r="R9" i="24" s="1"/>
  <c r="R13" i="24" s="1"/>
  <c r="O7" i="24"/>
  <c r="O9" i="24" s="1"/>
  <c r="O11" i="24" s="1"/>
  <c r="R7" i="23"/>
  <c r="R9" i="23" s="1"/>
  <c r="R13" i="23" s="1"/>
  <c r="O7" i="23"/>
  <c r="R7" i="21"/>
  <c r="R9" i="21" s="1"/>
  <c r="R13" i="21" s="1"/>
  <c r="O7" i="21"/>
  <c r="R7" i="19"/>
  <c r="R9" i="19" s="1"/>
  <c r="R13" i="19" s="1"/>
  <c r="R16" i="19" s="1"/>
  <c r="O7" i="19"/>
  <c r="R7" i="18"/>
  <c r="R9" i="18" s="1"/>
  <c r="R13" i="18" s="1"/>
  <c r="O7" i="18"/>
  <c r="O7" i="17"/>
  <c r="O9" i="17" s="1"/>
  <c r="O11" i="17" s="1"/>
  <c r="R7" i="17"/>
  <c r="R9" i="17" s="1"/>
  <c r="R13" i="17" s="1"/>
  <c r="R16" i="17" s="1"/>
  <c r="O7" i="16"/>
  <c r="O9" i="16" s="1"/>
  <c r="O11" i="16" s="1"/>
  <c r="R7" i="16"/>
  <c r="R9" i="16" s="1"/>
  <c r="R13" i="16" s="1"/>
  <c r="O7" i="15"/>
  <c r="R7" i="15"/>
  <c r="R9" i="15" s="1"/>
  <c r="R13" i="15" s="1"/>
  <c r="R7" i="14"/>
  <c r="R9" i="14" s="1"/>
  <c r="R13" i="14" s="1"/>
  <c r="X7" i="14" s="1"/>
  <c r="O7" i="14"/>
  <c r="O7" i="13"/>
  <c r="R7" i="13"/>
  <c r="R9" i="13" s="1"/>
  <c r="R13" i="13" s="1"/>
  <c r="R7" i="12"/>
  <c r="R9" i="12" s="1"/>
  <c r="R13" i="12" s="1"/>
  <c r="R16" i="12" s="1"/>
  <c r="O7" i="12"/>
  <c r="O9" i="12" s="1"/>
  <c r="R7" i="11"/>
  <c r="R9" i="11" s="1"/>
  <c r="R13" i="11" s="1"/>
  <c r="O7" i="11"/>
  <c r="R7" i="10"/>
  <c r="R9" i="10" s="1"/>
  <c r="R13" i="10" s="1"/>
  <c r="R7" i="9"/>
  <c r="R9" i="9" s="1"/>
  <c r="R13" i="9" s="1"/>
  <c r="O7" i="9"/>
  <c r="O9" i="9" s="1"/>
  <c r="O11" i="9" s="1"/>
  <c r="R7" i="8"/>
  <c r="R9" i="8" s="1"/>
  <c r="R13" i="8" s="1"/>
  <c r="R7" i="7"/>
  <c r="R9" i="7" s="1"/>
  <c r="R13" i="7" s="1"/>
  <c r="X7" i="7" s="1"/>
  <c r="R7" i="3"/>
  <c r="R7" i="20"/>
  <c r="R9" i="20" s="1"/>
  <c r="R13" i="20" s="1"/>
  <c r="O7" i="20"/>
  <c r="O7" i="22" l="1"/>
  <c r="O8" i="22" s="1"/>
  <c r="O19" i="22" s="1"/>
  <c r="U11" i="22" s="1"/>
  <c r="H19" i="44" s="1"/>
  <c r="R7" i="22"/>
  <c r="R9" i="22" s="1"/>
  <c r="R13" i="22" s="1"/>
  <c r="X7" i="22" s="1"/>
  <c r="T19" i="44" s="1"/>
  <c r="O9" i="28"/>
  <c r="O11" i="28" s="1"/>
  <c r="O13" i="28" s="1"/>
  <c r="O8" i="10"/>
  <c r="O19" i="10" s="1"/>
  <c r="U11" i="10" s="1"/>
  <c r="H15" i="44" s="1"/>
  <c r="R8" i="21"/>
  <c r="R12" i="21" s="1"/>
  <c r="U17" i="21" s="1"/>
  <c r="O29" i="44" s="1"/>
  <c r="O9" i="8"/>
  <c r="O11" i="8" s="1"/>
  <c r="O13" i="8" s="1"/>
  <c r="R8" i="31"/>
  <c r="R12" i="31" s="1"/>
  <c r="U17" i="31" s="1"/>
  <c r="O22" i="44" s="1"/>
  <c r="O8" i="16"/>
  <c r="O19" i="16" s="1"/>
  <c r="U11" i="16" s="1"/>
  <c r="H35" i="44" s="1"/>
  <c r="R8" i="17"/>
  <c r="R12" i="17" s="1"/>
  <c r="U17" i="17" s="1"/>
  <c r="O36" i="44" s="1"/>
  <c r="X7" i="20"/>
  <c r="T18" i="44" s="1"/>
  <c r="X7" i="8"/>
  <c r="T7" i="44" s="1"/>
  <c r="U7" i="9"/>
  <c r="X7" i="9"/>
  <c r="T8" i="44" s="1"/>
  <c r="X7" i="10"/>
  <c r="T15" i="44" s="1"/>
  <c r="U7" i="10"/>
  <c r="X7" i="11"/>
  <c r="T16" i="44" s="1"/>
  <c r="U33" i="44"/>
  <c r="X9" i="12"/>
  <c r="V33" i="44" s="1"/>
  <c r="X7" i="12"/>
  <c r="T33" i="44" s="1"/>
  <c r="X7" i="13"/>
  <c r="T24" i="44" s="1"/>
  <c r="X7" i="15"/>
  <c r="T17" i="44" s="1"/>
  <c r="X7" i="16"/>
  <c r="T35" i="44" s="1"/>
  <c r="U7" i="16"/>
  <c r="U36" i="44"/>
  <c r="X9" i="17"/>
  <c r="V36" i="44" s="1"/>
  <c r="X7" i="17"/>
  <c r="T36" i="44" s="1"/>
  <c r="U7" i="17"/>
  <c r="X7" i="18"/>
  <c r="T25" i="44" s="1"/>
  <c r="U9" i="44"/>
  <c r="X9" i="19"/>
  <c r="V9" i="44" s="1"/>
  <c r="X7" i="19"/>
  <c r="T9" i="44" s="1"/>
  <c r="X7" i="21"/>
  <c r="T29" i="44" s="1"/>
  <c r="X7" i="23"/>
  <c r="T20" i="44" s="1"/>
  <c r="U7" i="24"/>
  <c r="X7" i="24"/>
  <c r="T26" i="44" s="1"/>
  <c r="X7" i="25"/>
  <c r="T21" i="44" s="1"/>
  <c r="U30" i="44"/>
  <c r="X9" i="26"/>
  <c r="V30" i="44" s="1"/>
  <c r="X7" i="26"/>
  <c r="T30" i="44" s="1"/>
  <c r="X7" i="27"/>
  <c r="T10" i="44" s="1"/>
  <c r="D10" i="44"/>
  <c r="U9" i="27"/>
  <c r="E10" i="44" s="1"/>
  <c r="U7" i="27"/>
  <c r="X7" i="28"/>
  <c r="T11" i="44" s="1"/>
  <c r="X7" i="29"/>
  <c r="T31" i="44" s="1"/>
  <c r="X7" i="30"/>
  <c r="T27" i="44" s="1"/>
  <c r="U7" i="30"/>
  <c r="U22" i="44"/>
  <c r="X9" i="31"/>
  <c r="V22" i="44" s="1"/>
  <c r="X7" i="31"/>
  <c r="T22" i="44" s="1"/>
  <c r="X7" i="32"/>
  <c r="T12" i="44" s="1"/>
  <c r="U7" i="32"/>
  <c r="U19" i="44"/>
  <c r="D19" i="44"/>
  <c r="O9" i="3"/>
  <c r="O11" i="3" s="1"/>
  <c r="U7" i="3" s="1"/>
  <c r="O8" i="3"/>
  <c r="O19" i="3" s="1"/>
  <c r="O8" i="7"/>
  <c r="O19" i="7" s="1"/>
  <c r="U11" i="7" s="1"/>
  <c r="H14" i="44" s="1"/>
  <c r="O9" i="7"/>
  <c r="O11" i="7" s="1"/>
  <c r="U7" i="7" s="1"/>
  <c r="R16" i="32"/>
  <c r="T14" i="44"/>
  <c r="R8" i="15"/>
  <c r="R12" i="15" s="1"/>
  <c r="U17" i="15" s="1"/>
  <c r="O17" i="44" s="1"/>
  <c r="R16" i="18"/>
  <c r="R8" i="18"/>
  <c r="R12" i="18" s="1"/>
  <c r="U17" i="18" s="1"/>
  <c r="O25" i="44" s="1"/>
  <c r="O8" i="30"/>
  <c r="O19" i="30" s="1"/>
  <c r="U11" i="30" s="1"/>
  <c r="H27" i="44" s="1"/>
  <c r="R8" i="32"/>
  <c r="R12" i="32" s="1"/>
  <c r="U17" i="32" s="1"/>
  <c r="O12" i="44" s="1"/>
  <c r="R16" i="24"/>
  <c r="R16" i="21"/>
  <c r="R8" i="14"/>
  <c r="R12" i="14" s="1"/>
  <c r="U17" i="14" s="1"/>
  <c r="O34" i="44" s="1"/>
  <c r="R8" i="11"/>
  <c r="R12" i="11" s="1"/>
  <c r="U17" i="11" s="1"/>
  <c r="O16" i="44" s="1"/>
  <c r="O13" i="9"/>
  <c r="R8" i="7"/>
  <c r="R12" i="7" s="1"/>
  <c r="U17" i="7" s="1"/>
  <c r="O14" i="44" s="1"/>
  <c r="R16" i="16"/>
  <c r="R16" i="13"/>
  <c r="R16" i="11"/>
  <c r="O13" i="10"/>
  <c r="O8" i="9"/>
  <c r="O19" i="9" s="1"/>
  <c r="U11" i="9" s="1"/>
  <c r="H8" i="44" s="1"/>
  <c r="O19" i="8"/>
  <c r="U11" i="8" s="1"/>
  <c r="H7" i="44" s="1"/>
  <c r="O13" i="32"/>
  <c r="O8" i="32"/>
  <c r="O19" i="32" s="1"/>
  <c r="U11" i="32" s="1"/>
  <c r="H12" i="44" s="1"/>
  <c r="O9" i="31"/>
  <c r="O11" i="31" s="1"/>
  <c r="U7" i="31" s="1"/>
  <c r="O8" i="31"/>
  <c r="O19" i="31" s="1"/>
  <c r="U11" i="31" s="1"/>
  <c r="H22" i="44" s="1"/>
  <c r="R8" i="30"/>
  <c r="R12" i="30" s="1"/>
  <c r="U17" i="30" s="1"/>
  <c r="O27" i="44" s="1"/>
  <c r="R16" i="30"/>
  <c r="O13" i="30"/>
  <c r="O9" i="29"/>
  <c r="O11" i="29" s="1"/>
  <c r="U7" i="29" s="1"/>
  <c r="O8" i="29"/>
  <c r="O19" i="29" s="1"/>
  <c r="U11" i="29" s="1"/>
  <c r="H31" i="44" s="1"/>
  <c r="R8" i="29"/>
  <c r="R12" i="29" s="1"/>
  <c r="U17" i="29" s="1"/>
  <c r="O31" i="44" s="1"/>
  <c r="R16" i="29"/>
  <c r="R8" i="28"/>
  <c r="R12" i="28" s="1"/>
  <c r="U17" i="28" s="1"/>
  <c r="O11" i="44" s="1"/>
  <c r="O20" i="28"/>
  <c r="U15" i="28" s="1"/>
  <c r="L11" i="44" s="1"/>
  <c r="M11" i="44" s="1"/>
  <c r="R16" i="28"/>
  <c r="O8" i="27"/>
  <c r="O19" i="27" s="1"/>
  <c r="U11" i="27" s="1"/>
  <c r="H10" i="44" s="1"/>
  <c r="R16" i="27"/>
  <c r="R8" i="27"/>
  <c r="R12" i="27" s="1"/>
  <c r="U17" i="27" s="1"/>
  <c r="O10" i="44" s="1"/>
  <c r="O9" i="26"/>
  <c r="O11" i="26" s="1"/>
  <c r="U7" i="26" s="1"/>
  <c r="O8" i="26"/>
  <c r="O19" i="26" s="1"/>
  <c r="U11" i="26" s="1"/>
  <c r="H30" i="44" s="1"/>
  <c r="R8" i="26"/>
  <c r="R12" i="26" s="1"/>
  <c r="U17" i="26" s="1"/>
  <c r="O30" i="44" s="1"/>
  <c r="O9" i="25"/>
  <c r="O11" i="25" s="1"/>
  <c r="U7" i="25" s="1"/>
  <c r="O8" i="25"/>
  <c r="O19" i="25" s="1"/>
  <c r="U11" i="25" s="1"/>
  <c r="H21" i="44" s="1"/>
  <c r="R16" i="25"/>
  <c r="R8" i="25"/>
  <c r="R12" i="25" s="1"/>
  <c r="U17" i="25" s="1"/>
  <c r="O21" i="44" s="1"/>
  <c r="O8" i="24"/>
  <c r="O19" i="24" s="1"/>
  <c r="U11" i="24" s="1"/>
  <c r="H26" i="44" s="1"/>
  <c r="O13" i="24"/>
  <c r="R8" i="24"/>
  <c r="R12" i="24" s="1"/>
  <c r="U17" i="24" s="1"/>
  <c r="O26" i="44" s="1"/>
  <c r="O9" i="23"/>
  <c r="O11" i="23" s="1"/>
  <c r="U7" i="23" s="1"/>
  <c r="O8" i="23"/>
  <c r="O19" i="23" s="1"/>
  <c r="U11" i="23" s="1"/>
  <c r="H20" i="44" s="1"/>
  <c r="R8" i="23"/>
  <c r="R12" i="23" s="1"/>
  <c r="U17" i="23" s="1"/>
  <c r="O20" i="44" s="1"/>
  <c r="R16" i="23"/>
  <c r="O9" i="21"/>
  <c r="O11" i="21" s="1"/>
  <c r="U7" i="21" s="1"/>
  <c r="O8" i="21"/>
  <c r="O19" i="21" s="1"/>
  <c r="U11" i="21" s="1"/>
  <c r="H29" i="44" s="1"/>
  <c r="R8" i="20"/>
  <c r="R12" i="20" s="1"/>
  <c r="U17" i="20" s="1"/>
  <c r="O18" i="44" s="1"/>
  <c r="O9" i="19"/>
  <c r="O11" i="19" s="1"/>
  <c r="U7" i="19" s="1"/>
  <c r="O8" i="19"/>
  <c r="O19" i="19" s="1"/>
  <c r="U11" i="19" s="1"/>
  <c r="H9" i="44" s="1"/>
  <c r="R8" i="19"/>
  <c r="R12" i="19" s="1"/>
  <c r="U17" i="19" s="1"/>
  <c r="O9" i="44" s="1"/>
  <c r="O9" i="18"/>
  <c r="O11" i="18" s="1"/>
  <c r="U7" i="18" s="1"/>
  <c r="O8" i="18"/>
  <c r="O19" i="18" s="1"/>
  <c r="U11" i="18" s="1"/>
  <c r="H25" i="44" s="1"/>
  <c r="O8" i="17"/>
  <c r="O19" i="17" s="1"/>
  <c r="U11" i="17" s="1"/>
  <c r="H36" i="44" s="1"/>
  <c r="O13" i="17"/>
  <c r="O13" i="16"/>
  <c r="R8" i="16"/>
  <c r="R12" i="16" s="1"/>
  <c r="U17" i="16" s="1"/>
  <c r="O35" i="44" s="1"/>
  <c r="O9" i="15"/>
  <c r="O11" i="15" s="1"/>
  <c r="U7" i="15" s="1"/>
  <c r="O8" i="15"/>
  <c r="O19" i="15" s="1"/>
  <c r="U11" i="15" s="1"/>
  <c r="H17" i="44" s="1"/>
  <c r="R16" i="15"/>
  <c r="O9" i="14"/>
  <c r="O11" i="14" s="1"/>
  <c r="U7" i="14" s="1"/>
  <c r="O8" i="14"/>
  <c r="O19" i="14" s="1"/>
  <c r="U11" i="14" s="1"/>
  <c r="H34" i="44" s="1"/>
  <c r="R16" i="14"/>
  <c r="T34" i="44"/>
  <c r="O9" i="13"/>
  <c r="O11" i="13" s="1"/>
  <c r="U7" i="13" s="1"/>
  <c r="O8" i="13"/>
  <c r="O19" i="13" s="1"/>
  <c r="U11" i="13" s="1"/>
  <c r="H24" i="44" s="1"/>
  <c r="R8" i="13"/>
  <c r="R12" i="13" s="1"/>
  <c r="U17" i="13" s="1"/>
  <c r="O24" i="44" s="1"/>
  <c r="O11" i="12"/>
  <c r="U7" i="12" s="1"/>
  <c r="O8" i="12"/>
  <c r="O19" i="12" s="1"/>
  <c r="U11" i="12" s="1"/>
  <c r="H33" i="44" s="1"/>
  <c r="R8" i="12"/>
  <c r="R12" i="12" s="1"/>
  <c r="U17" i="12" s="1"/>
  <c r="O33" i="44" s="1"/>
  <c r="O9" i="11"/>
  <c r="O11" i="11" s="1"/>
  <c r="U7" i="11" s="1"/>
  <c r="O8" i="11"/>
  <c r="O19" i="11" s="1"/>
  <c r="U11" i="11" s="1"/>
  <c r="H16" i="44" s="1"/>
  <c r="R8" i="10"/>
  <c r="R12" i="10" s="1"/>
  <c r="U17" i="10" s="1"/>
  <c r="O15" i="44" s="1"/>
  <c r="R16" i="10"/>
  <c r="R8" i="9"/>
  <c r="R12" i="9" s="1"/>
  <c r="U17" i="9" s="1"/>
  <c r="O8" i="44" s="1"/>
  <c r="R16" i="9"/>
  <c r="R8" i="8"/>
  <c r="R12" i="8" s="1"/>
  <c r="U17" i="8" s="1"/>
  <c r="O7" i="44" s="1"/>
  <c r="R16" i="8"/>
  <c r="R16" i="7"/>
  <c r="R9" i="3"/>
  <c r="R13" i="3" s="1"/>
  <c r="X7" i="3" s="1"/>
  <c r="T6" i="44" s="1"/>
  <c r="R8" i="3"/>
  <c r="R12" i="3" s="1"/>
  <c r="U17" i="3" s="1"/>
  <c r="O6" i="44" s="1"/>
  <c r="O9" i="20"/>
  <c r="O11" i="20" s="1"/>
  <c r="U7" i="20" s="1"/>
  <c r="O8" i="20"/>
  <c r="O19" i="20" s="1"/>
  <c r="U11" i="20" s="1"/>
  <c r="H18" i="44" s="1"/>
  <c r="R16" i="20"/>
  <c r="U11" i="3" l="1"/>
  <c r="H6" i="44" s="1"/>
  <c r="O20" i="3"/>
  <c r="U15" i="3" s="1"/>
  <c r="C6" i="44"/>
  <c r="O13" i="3"/>
  <c r="U9" i="3" s="1"/>
  <c r="O9" i="22"/>
  <c r="O11" i="22" s="1"/>
  <c r="U7" i="22" s="1"/>
  <c r="C19" i="44" s="1"/>
  <c r="O20" i="22"/>
  <c r="U15" i="22" s="1"/>
  <c r="L19" i="44" s="1"/>
  <c r="M19" i="44" s="1"/>
  <c r="U7" i="28"/>
  <c r="C11" i="44" s="1"/>
  <c r="R8" i="22"/>
  <c r="R12" i="22" s="1"/>
  <c r="U17" i="22" s="1"/>
  <c r="O19" i="44" s="1"/>
  <c r="R16" i="22"/>
  <c r="X9" i="22" s="1"/>
  <c r="V19" i="44" s="1"/>
  <c r="W19" i="44" s="1"/>
  <c r="O20" i="8"/>
  <c r="U15" i="8" s="1"/>
  <c r="L7" i="44" s="1"/>
  <c r="O20" i="10"/>
  <c r="U15" i="10" s="1"/>
  <c r="L15" i="44" s="1"/>
  <c r="M15" i="44" s="1"/>
  <c r="R15" i="31"/>
  <c r="U19" i="31" s="1"/>
  <c r="Q22" i="44" s="1"/>
  <c r="R22" i="44" s="1"/>
  <c r="O20" i="16"/>
  <c r="U15" i="16" s="1"/>
  <c r="L35" i="44" s="1"/>
  <c r="M35" i="44" s="1"/>
  <c r="R15" i="14"/>
  <c r="U19" i="14" s="1"/>
  <c r="Q34" i="44" s="1"/>
  <c r="R34" i="44" s="1"/>
  <c r="R15" i="21"/>
  <c r="U19" i="21" s="1"/>
  <c r="Q29" i="44" s="1"/>
  <c r="R29" i="44" s="1"/>
  <c r="W22" i="44"/>
  <c r="W9" i="44"/>
  <c r="R15" i="32"/>
  <c r="U19" i="32" s="1"/>
  <c r="Q12" i="44" s="1"/>
  <c r="R12" i="44" s="1"/>
  <c r="R15" i="15"/>
  <c r="U19" i="15" s="1"/>
  <c r="Q17" i="44" s="1"/>
  <c r="R17" i="44" s="1"/>
  <c r="U7" i="8"/>
  <c r="C7" i="44" s="1"/>
  <c r="T28" i="44"/>
  <c r="R15" i="18"/>
  <c r="U19" i="18" s="1"/>
  <c r="Q25" i="44" s="1"/>
  <c r="R25" i="44" s="1"/>
  <c r="T23" i="44"/>
  <c r="R15" i="17"/>
  <c r="U19" i="17" s="1"/>
  <c r="Q36" i="44" s="1"/>
  <c r="R36" i="44" s="1"/>
  <c r="W33" i="44"/>
  <c r="R15" i="11"/>
  <c r="U19" i="11" s="1"/>
  <c r="Q16" i="44" s="1"/>
  <c r="R16" i="44" s="1"/>
  <c r="R15" i="7"/>
  <c r="U19" i="7" s="1"/>
  <c r="Q14" i="44" s="1"/>
  <c r="R14" i="44" s="1"/>
  <c r="W30" i="44"/>
  <c r="W36" i="44"/>
  <c r="U18" i="44"/>
  <c r="X9" i="20"/>
  <c r="V18" i="44" s="1"/>
  <c r="U14" i="44"/>
  <c r="X9" i="7"/>
  <c r="V14" i="44" s="1"/>
  <c r="U7" i="44"/>
  <c r="X9" i="8"/>
  <c r="V7" i="44" s="1"/>
  <c r="U8" i="44"/>
  <c r="X9" i="9"/>
  <c r="V8" i="44" s="1"/>
  <c r="U15" i="44"/>
  <c r="X9" i="10"/>
  <c r="V15" i="44" s="1"/>
  <c r="U34" i="44"/>
  <c r="X9" i="14"/>
  <c r="V34" i="44" s="1"/>
  <c r="U17" i="44"/>
  <c r="X9" i="15"/>
  <c r="V17" i="44" s="1"/>
  <c r="D35" i="44"/>
  <c r="U9" i="16"/>
  <c r="E35" i="44" s="1"/>
  <c r="D36" i="44"/>
  <c r="U9" i="17"/>
  <c r="E36" i="44" s="1"/>
  <c r="U20" i="44"/>
  <c r="X9" i="23"/>
  <c r="V20" i="44" s="1"/>
  <c r="D26" i="44"/>
  <c r="U9" i="24"/>
  <c r="E26" i="44" s="1"/>
  <c r="U21" i="44"/>
  <c r="X9" i="25"/>
  <c r="V21" i="44" s="1"/>
  <c r="U10" i="44"/>
  <c r="X9" i="27"/>
  <c r="V10" i="44" s="1"/>
  <c r="U11" i="44"/>
  <c r="X9" i="28"/>
  <c r="V11" i="44" s="1"/>
  <c r="U31" i="44"/>
  <c r="X9" i="29"/>
  <c r="V31" i="44" s="1"/>
  <c r="D27" i="44"/>
  <c r="U9" i="30"/>
  <c r="E27" i="44" s="1"/>
  <c r="U27" i="44"/>
  <c r="X9" i="30"/>
  <c r="V27" i="44" s="1"/>
  <c r="D12" i="44"/>
  <c r="U9" i="32"/>
  <c r="E12" i="44" s="1"/>
  <c r="M7" i="44"/>
  <c r="D15" i="44"/>
  <c r="U9" i="10"/>
  <c r="E15" i="44" s="1"/>
  <c r="U16" i="44"/>
  <c r="X9" i="11"/>
  <c r="V16" i="44" s="1"/>
  <c r="U24" i="44"/>
  <c r="X9" i="13"/>
  <c r="V24" i="44" s="1"/>
  <c r="U35" i="44"/>
  <c r="X9" i="16"/>
  <c r="V35" i="44" s="1"/>
  <c r="D8" i="44"/>
  <c r="U9" i="9"/>
  <c r="E8" i="44" s="1"/>
  <c r="U29" i="44"/>
  <c r="X9" i="21"/>
  <c r="V29" i="44" s="1"/>
  <c r="U26" i="44"/>
  <c r="X9" i="24"/>
  <c r="V26" i="44" s="1"/>
  <c r="D11" i="44"/>
  <c r="U9" i="28"/>
  <c r="E11" i="44" s="1"/>
  <c r="U25" i="44"/>
  <c r="X9" i="18"/>
  <c r="V25" i="44" s="1"/>
  <c r="T13" i="44"/>
  <c r="U12" i="44"/>
  <c r="X9" i="32"/>
  <c r="V12" i="44" s="1"/>
  <c r="D7" i="44"/>
  <c r="U9" i="8"/>
  <c r="E7" i="44" s="1"/>
  <c r="C12" i="44"/>
  <c r="C27" i="44"/>
  <c r="C10" i="44"/>
  <c r="F10" i="44" s="1"/>
  <c r="C26" i="44"/>
  <c r="C36" i="44"/>
  <c r="C35" i="44"/>
  <c r="C15" i="44"/>
  <c r="C8" i="44"/>
  <c r="O20" i="30"/>
  <c r="U15" i="30" s="1"/>
  <c r="T32" i="44"/>
  <c r="O20" i="9"/>
  <c r="U15" i="9" s="1"/>
  <c r="O20" i="32"/>
  <c r="U15" i="32" s="1"/>
  <c r="O20" i="31"/>
  <c r="U15" i="31" s="1"/>
  <c r="L22" i="44" s="1"/>
  <c r="M22" i="44" s="1"/>
  <c r="C22" i="44"/>
  <c r="O13" i="31"/>
  <c r="R15" i="30"/>
  <c r="U19" i="30" s="1"/>
  <c r="Q27" i="44" s="1"/>
  <c r="O20" i="29"/>
  <c r="U15" i="29" s="1"/>
  <c r="L31" i="44" s="1"/>
  <c r="M31" i="44" s="1"/>
  <c r="R15" i="29"/>
  <c r="U19" i="29" s="1"/>
  <c r="Q31" i="44" s="1"/>
  <c r="R31" i="44" s="1"/>
  <c r="C31" i="44"/>
  <c r="O13" i="29"/>
  <c r="R15" i="28"/>
  <c r="U19" i="28" s="1"/>
  <c r="R15" i="27"/>
  <c r="U19" i="27" s="1"/>
  <c r="Q10" i="44" s="1"/>
  <c r="R10" i="44" s="1"/>
  <c r="O20" i="27"/>
  <c r="U15" i="27" s="1"/>
  <c r="O20" i="26"/>
  <c r="U15" i="26" s="1"/>
  <c r="L30" i="44" s="1"/>
  <c r="M30" i="44" s="1"/>
  <c r="R15" i="26"/>
  <c r="C30" i="44"/>
  <c r="O13" i="26"/>
  <c r="R15" i="25"/>
  <c r="U19" i="25" s="1"/>
  <c r="Q21" i="44" s="1"/>
  <c r="R21" i="44" s="1"/>
  <c r="C21" i="44"/>
  <c r="O13" i="25"/>
  <c r="O20" i="25"/>
  <c r="U15" i="25" s="1"/>
  <c r="L21" i="44" s="1"/>
  <c r="M21" i="44" s="1"/>
  <c r="R15" i="24"/>
  <c r="U19" i="24" s="1"/>
  <c r="Q26" i="44" s="1"/>
  <c r="R26" i="44" s="1"/>
  <c r="O20" i="24"/>
  <c r="U15" i="24" s="1"/>
  <c r="R15" i="23"/>
  <c r="U19" i="23" s="1"/>
  <c r="Q20" i="44" s="1"/>
  <c r="R20" i="44" s="1"/>
  <c r="O20" i="23"/>
  <c r="U15" i="23" s="1"/>
  <c r="L20" i="44" s="1"/>
  <c r="M20" i="44" s="1"/>
  <c r="C20" i="44"/>
  <c r="O13" i="23"/>
  <c r="O20" i="21"/>
  <c r="C29" i="44"/>
  <c r="O13" i="21"/>
  <c r="R15" i="20"/>
  <c r="U19" i="20" s="1"/>
  <c r="Q18" i="44" s="1"/>
  <c r="R18" i="44" s="1"/>
  <c r="R15" i="19"/>
  <c r="U19" i="19" s="1"/>
  <c r="Q9" i="44" s="1"/>
  <c r="R9" i="44" s="1"/>
  <c r="O20" i="19"/>
  <c r="U15" i="19" s="1"/>
  <c r="L9" i="44" s="1"/>
  <c r="M9" i="44" s="1"/>
  <c r="C9" i="44"/>
  <c r="O13" i="19"/>
  <c r="O20" i="18"/>
  <c r="U15" i="18" s="1"/>
  <c r="L25" i="44" s="1"/>
  <c r="M25" i="44" s="1"/>
  <c r="C25" i="44"/>
  <c r="O13" i="18"/>
  <c r="U9" i="18" s="1"/>
  <c r="O20" i="17"/>
  <c r="U15" i="17" s="1"/>
  <c r="R15" i="16"/>
  <c r="U19" i="16" s="1"/>
  <c r="O20" i="15"/>
  <c r="U15" i="15" s="1"/>
  <c r="L17" i="44" s="1"/>
  <c r="M17" i="44" s="1"/>
  <c r="C17" i="44"/>
  <c r="O13" i="15"/>
  <c r="O20" i="14"/>
  <c r="U15" i="14" s="1"/>
  <c r="L34" i="44" s="1"/>
  <c r="M34" i="44" s="1"/>
  <c r="C34" i="44"/>
  <c r="O13" i="14"/>
  <c r="R15" i="13"/>
  <c r="O20" i="13"/>
  <c r="U15" i="13" s="1"/>
  <c r="L24" i="44" s="1"/>
  <c r="C24" i="44"/>
  <c r="O13" i="13"/>
  <c r="O20" i="12"/>
  <c r="U15" i="12" s="1"/>
  <c r="L33" i="44" s="1"/>
  <c r="R15" i="12"/>
  <c r="U19" i="12" s="1"/>
  <c r="Q33" i="44" s="1"/>
  <c r="C33" i="44"/>
  <c r="O13" i="12"/>
  <c r="O20" i="11"/>
  <c r="U15" i="11" s="1"/>
  <c r="L16" i="44" s="1"/>
  <c r="M16" i="44" s="1"/>
  <c r="C16" i="44"/>
  <c r="O13" i="11"/>
  <c r="R15" i="10"/>
  <c r="U19" i="10" s="1"/>
  <c r="R15" i="9"/>
  <c r="U19" i="9" s="1"/>
  <c r="Q8" i="44" s="1"/>
  <c r="R8" i="44" s="1"/>
  <c r="R15" i="8"/>
  <c r="U19" i="8" s="1"/>
  <c r="O20" i="7"/>
  <c r="U15" i="7" s="1"/>
  <c r="L14" i="44" s="1"/>
  <c r="O13" i="7"/>
  <c r="R16" i="3"/>
  <c r="R15" i="3"/>
  <c r="U19" i="3" s="1"/>
  <c r="Q6" i="44" s="1"/>
  <c r="O20" i="20"/>
  <c r="U15" i="20" s="1"/>
  <c r="L18" i="44" s="1"/>
  <c r="M18" i="44" s="1"/>
  <c r="C18" i="44"/>
  <c r="O13" i="20"/>
  <c r="E6" i="44" l="1"/>
  <c r="O13" i="22"/>
  <c r="U9" i="22" s="1"/>
  <c r="E19" i="44" s="1"/>
  <c r="F19" i="44" s="1"/>
  <c r="W26" i="44"/>
  <c r="R15" i="22"/>
  <c r="U19" i="22" s="1"/>
  <c r="V32" i="44"/>
  <c r="U28" i="44"/>
  <c r="W31" i="44"/>
  <c r="W24" i="44"/>
  <c r="W11" i="44"/>
  <c r="W10" i="44"/>
  <c r="W21" i="44"/>
  <c r="U32" i="44"/>
  <c r="W15" i="44"/>
  <c r="W8" i="44"/>
  <c r="F6" i="44"/>
  <c r="W17" i="44"/>
  <c r="W25" i="44"/>
  <c r="F35" i="44"/>
  <c r="F36" i="44"/>
  <c r="F26" i="44"/>
  <c r="V28" i="44"/>
  <c r="W20" i="44"/>
  <c r="U23" i="44"/>
  <c r="W12" i="44"/>
  <c r="W16" i="44"/>
  <c r="W18" i="44"/>
  <c r="F27" i="44"/>
  <c r="F11" i="44"/>
  <c r="U13" i="44"/>
  <c r="W35" i="44"/>
  <c r="F8" i="44"/>
  <c r="W7" i="44"/>
  <c r="W14" i="44"/>
  <c r="F7" i="44"/>
  <c r="F15" i="44"/>
  <c r="W29" i="44"/>
  <c r="F12" i="44"/>
  <c r="W27" i="44"/>
  <c r="D18" i="44"/>
  <c r="U9" i="20"/>
  <c r="L6" i="44"/>
  <c r="R6" i="44"/>
  <c r="U5" i="44"/>
  <c r="X9" i="3"/>
  <c r="X21" i="3" s="1"/>
  <c r="D14" i="44"/>
  <c r="U9" i="7"/>
  <c r="L13" i="44"/>
  <c r="M14" i="44"/>
  <c r="Q7" i="44"/>
  <c r="X21" i="8"/>
  <c r="U21" i="8"/>
  <c r="Q15" i="44"/>
  <c r="X21" i="10"/>
  <c r="U21" i="10"/>
  <c r="D16" i="44"/>
  <c r="U9" i="11"/>
  <c r="D33" i="44"/>
  <c r="U9" i="12"/>
  <c r="R33" i="44"/>
  <c r="M33" i="44"/>
  <c r="D24" i="44"/>
  <c r="U9" i="13"/>
  <c r="M24" i="44"/>
  <c r="P23" i="44"/>
  <c r="U19" i="13"/>
  <c r="Q24" i="44" s="1"/>
  <c r="R24" i="44" s="1"/>
  <c r="D34" i="44"/>
  <c r="U9" i="14"/>
  <c r="D17" i="44"/>
  <c r="U9" i="15"/>
  <c r="Q35" i="44"/>
  <c r="X21" i="16"/>
  <c r="U21" i="16"/>
  <c r="L36" i="44"/>
  <c r="U21" i="17"/>
  <c r="X21" i="17"/>
  <c r="E25" i="44"/>
  <c r="X21" i="18"/>
  <c r="U21" i="18"/>
  <c r="D9" i="44"/>
  <c r="D5" i="44" s="1"/>
  <c r="U9" i="19"/>
  <c r="D29" i="44"/>
  <c r="U9" i="21"/>
  <c r="K28" i="44"/>
  <c r="U15" i="21"/>
  <c r="L29" i="44" s="1"/>
  <c r="D20" i="44"/>
  <c r="U9" i="23"/>
  <c r="L26" i="44"/>
  <c r="X21" i="24"/>
  <c r="U21" i="24"/>
  <c r="D21" i="44"/>
  <c r="U9" i="25"/>
  <c r="D30" i="44"/>
  <c r="U9" i="26"/>
  <c r="P28" i="44"/>
  <c r="U19" i="26"/>
  <c r="Q30" i="44" s="1"/>
  <c r="L10" i="44"/>
  <c r="M10" i="44" s="1"/>
  <c r="X21" i="27"/>
  <c r="U21" i="27"/>
  <c r="Q11" i="44"/>
  <c r="R11" i="44" s="1"/>
  <c r="X21" i="28"/>
  <c r="U21" i="28"/>
  <c r="D31" i="44"/>
  <c r="U9" i="29"/>
  <c r="R27" i="44"/>
  <c r="D22" i="44"/>
  <c r="U9" i="31"/>
  <c r="L12" i="44"/>
  <c r="M12" i="44" s="1"/>
  <c r="X21" i="32"/>
  <c r="U21" i="32"/>
  <c r="L8" i="44"/>
  <c r="M8" i="44" s="1"/>
  <c r="X21" i="9"/>
  <c r="U21" i="9"/>
  <c r="L27" i="44"/>
  <c r="M27" i="44" s="1"/>
  <c r="U21" i="30"/>
  <c r="X21" i="30"/>
  <c r="V23" i="44"/>
  <c r="W34" i="44"/>
  <c r="V13" i="44"/>
  <c r="C14" i="44"/>
  <c r="C13" i="44" s="1"/>
  <c r="O28" i="44"/>
  <c r="O13" i="44"/>
  <c r="C28" i="44"/>
  <c r="H28" i="44"/>
  <c r="C5" i="44"/>
  <c r="D25" i="44"/>
  <c r="P5" i="44"/>
  <c r="I13" i="44"/>
  <c r="I4" i="44" s="1"/>
  <c r="P32" i="44"/>
  <c r="K13" i="44"/>
  <c r="C23" i="44"/>
  <c r="O23" i="44"/>
  <c r="H23" i="44"/>
  <c r="O32" i="44"/>
  <c r="C32" i="44"/>
  <c r="H13" i="44"/>
  <c r="P13" i="44"/>
  <c r="H5" i="44"/>
  <c r="T5" i="44"/>
  <c r="AK11" i="44" l="1"/>
  <c r="W32" i="44"/>
  <c r="C4" i="44"/>
  <c r="Q19" i="44"/>
  <c r="R19" i="44" s="1"/>
  <c r="AK19" i="44" s="1"/>
  <c r="U21" i="22"/>
  <c r="X21" i="22"/>
  <c r="F25" i="44"/>
  <c r="AK25" i="44" s="1"/>
  <c r="AM25" i="44" s="1"/>
  <c r="U4" i="44"/>
  <c r="W28" i="44"/>
  <c r="W23" i="44"/>
  <c r="D32" i="44"/>
  <c r="W13" i="44"/>
  <c r="D28" i="44"/>
  <c r="D13" i="44"/>
  <c r="AM11" i="44"/>
  <c r="Q23" i="44"/>
  <c r="R23" i="44" s="1"/>
  <c r="E22" i="44"/>
  <c r="F22" i="44" s="1"/>
  <c r="AK22" i="44" s="1"/>
  <c r="U21" i="31"/>
  <c r="X21" i="31"/>
  <c r="E31" i="44"/>
  <c r="F31" i="44" s="1"/>
  <c r="AK31" i="44" s="1"/>
  <c r="X21" i="29"/>
  <c r="U21" i="29"/>
  <c r="R30" i="44"/>
  <c r="Q28" i="44"/>
  <c r="R28" i="44" s="1"/>
  <c r="E30" i="44"/>
  <c r="F30" i="44" s="1"/>
  <c r="X21" i="26"/>
  <c r="U21" i="26"/>
  <c r="E21" i="44"/>
  <c r="F21" i="44" s="1"/>
  <c r="AK21" i="44" s="1"/>
  <c r="X21" i="25"/>
  <c r="U21" i="25"/>
  <c r="M26" i="44"/>
  <c r="L23" i="44"/>
  <c r="M23" i="44" s="1"/>
  <c r="E20" i="44"/>
  <c r="F20" i="44" s="1"/>
  <c r="AK20" i="44" s="1"/>
  <c r="X21" i="23"/>
  <c r="U21" i="23"/>
  <c r="L28" i="44"/>
  <c r="M28" i="44" s="1"/>
  <c r="M29" i="44"/>
  <c r="E29" i="44"/>
  <c r="X21" i="21"/>
  <c r="U21" i="21"/>
  <c r="E9" i="44"/>
  <c r="X21" i="19"/>
  <c r="U21" i="19"/>
  <c r="M36" i="44"/>
  <c r="AK36" i="44" s="1"/>
  <c r="AM36" i="44" s="1"/>
  <c r="L32" i="44"/>
  <c r="R35" i="44"/>
  <c r="AK35" i="44" s="1"/>
  <c r="AM35" i="44" s="1"/>
  <c r="Q32" i="44"/>
  <c r="R32" i="44" s="1"/>
  <c r="E17" i="44"/>
  <c r="F17" i="44" s="1"/>
  <c r="AK17" i="44" s="1"/>
  <c r="X21" i="15"/>
  <c r="U21" i="15"/>
  <c r="E34" i="44"/>
  <c r="F34" i="44" s="1"/>
  <c r="AK34" i="44" s="1"/>
  <c r="X21" i="14"/>
  <c r="U21" i="14"/>
  <c r="E24" i="44"/>
  <c r="U21" i="13"/>
  <c r="X21" i="13"/>
  <c r="E33" i="44"/>
  <c r="U21" i="12"/>
  <c r="X21" i="12"/>
  <c r="E16" i="44"/>
  <c r="F16" i="44" s="1"/>
  <c r="AK16" i="44" s="1"/>
  <c r="X21" i="11"/>
  <c r="U21" i="11"/>
  <c r="R15" i="44"/>
  <c r="AK15" i="44" s="1"/>
  <c r="AM15" i="44" s="1"/>
  <c r="R7" i="44"/>
  <c r="AK7" i="44" s="1"/>
  <c r="AM7" i="44" s="1"/>
  <c r="Q5" i="44"/>
  <c r="M13" i="44"/>
  <c r="E14" i="44"/>
  <c r="U21" i="7"/>
  <c r="X21" i="7"/>
  <c r="V6" i="44"/>
  <c r="U21" i="3"/>
  <c r="L5" i="44"/>
  <c r="M6" i="44"/>
  <c r="E18" i="44"/>
  <c r="F18" i="44" s="1"/>
  <c r="AK18" i="44" s="1"/>
  <c r="X21" i="20"/>
  <c r="U21" i="20"/>
  <c r="AK27" i="44"/>
  <c r="AM27" i="44" s="1"/>
  <c r="AK26" i="44"/>
  <c r="AM26" i="44" s="1"/>
  <c r="AK8" i="44"/>
  <c r="AM8" i="44" s="1"/>
  <c r="D23" i="44"/>
  <c r="H32" i="44"/>
  <c r="AK12" i="44"/>
  <c r="AM12" i="44" s="1"/>
  <c r="K5" i="44"/>
  <c r="AK10" i="44"/>
  <c r="AM10" i="44" s="1"/>
  <c r="P4" i="44"/>
  <c r="W5" i="44"/>
  <c r="T4" i="44"/>
  <c r="O5" i="44"/>
  <c r="Q13" i="44" l="1"/>
  <c r="R13" i="44" s="1"/>
  <c r="AM31" i="44"/>
  <c r="AM19" i="44"/>
  <c r="AM17" i="44"/>
  <c r="W4" i="44"/>
  <c r="AK30" i="44"/>
  <c r="AM30" i="44" s="1"/>
  <c r="AM16" i="44"/>
  <c r="AM20" i="44"/>
  <c r="R5" i="44"/>
  <c r="AM21" i="44"/>
  <c r="D4" i="44"/>
  <c r="M32" i="44"/>
  <c r="L4" i="44"/>
  <c r="M5" i="44"/>
  <c r="AM18" i="44"/>
  <c r="V5" i="44"/>
  <c r="V4" i="44" s="1"/>
  <c r="W6" i="44"/>
  <c r="AK6" i="44" s="1"/>
  <c r="AM6" i="44" s="1"/>
  <c r="E13" i="44"/>
  <c r="F13" i="44" s="1"/>
  <c r="F14" i="44"/>
  <c r="AK14" i="44" s="1"/>
  <c r="AM14" i="44" s="1"/>
  <c r="E32" i="44"/>
  <c r="F32" i="44" s="1"/>
  <c r="F33" i="44"/>
  <c r="AK33" i="44" s="1"/>
  <c r="AM33" i="44" s="1"/>
  <c r="E23" i="44"/>
  <c r="F23" i="44" s="1"/>
  <c r="AK23" i="44" s="1"/>
  <c r="F24" i="44"/>
  <c r="AK24" i="44" s="1"/>
  <c r="AM24" i="44" s="1"/>
  <c r="AM34" i="44"/>
  <c r="F9" i="44"/>
  <c r="AK9" i="44" s="1"/>
  <c r="AM9" i="44" s="1"/>
  <c r="E5" i="44"/>
  <c r="E28" i="44"/>
  <c r="F28" i="44" s="1"/>
  <c r="AK28" i="44" s="1"/>
  <c r="F29" i="44"/>
  <c r="AK29" i="44" s="1"/>
  <c r="AM29" i="44" s="1"/>
  <c r="AM22" i="44"/>
  <c r="K4" i="44"/>
  <c r="H4" i="44"/>
  <c r="O4" i="44"/>
  <c r="AK13" i="44" l="1"/>
  <c r="Q4" i="44"/>
  <c r="R4" i="44" s="1"/>
  <c r="AK32" i="44"/>
  <c r="E4" i="44"/>
  <c r="F4" i="44" s="1"/>
  <c r="F5" i="44"/>
  <c r="AK5" i="44" s="1"/>
  <c r="M4" i="44"/>
  <c r="AK4" i="44" l="1"/>
</calcChain>
</file>

<file path=xl/sharedStrings.xml><?xml version="1.0" encoding="utf-8"?>
<sst xmlns="http://schemas.openxmlformats.org/spreadsheetml/2006/main" count="2044" uniqueCount="156">
  <si>
    <t>Utilitário</t>
  </si>
  <si>
    <t>Automóveis</t>
  </si>
  <si>
    <t>Caminhonete</t>
  </si>
  <si>
    <t>Camioneta</t>
  </si>
  <si>
    <t>Caminhão</t>
  </si>
  <si>
    <t xml:space="preserve">Caminhão Trator </t>
  </si>
  <si>
    <t>Ônibus</t>
  </si>
  <si>
    <t>Micro ônibus</t>
  </si>
  <si>
    <t>Motocicleta</t>
  </si>
  <si>
    <t>Motoneta</t>
  </si>
  <si>
    <t>Total</t>
  </si>
  <si>
    <t>Flex</t>
  </si>
  <si>
    <t>Elétrico</t>
  </si>
  <si>
    <t>Gasolina</t>
  </si>
  <si>
    <t>Soma</t>
  </si>
  <si>
    <t>Álcool</t>
  </si>
  <si>
    <t>GNV</t>
  </si>
  <si>
    <t>Diesel</t>
  </si>
  <si>
    <t>Verificação</t>
  </si>
  <si>
    <t>Brasil</t>
  </si>
  <si>
    <t>Região Norte</t>
  </si>
  <si>
    <t>Acre</t>
  </si>
  <si>
    <t>Amapá</t>
  </si>
  <si>
    <t>Amazonas</t>
  </si>
  <si>
    <t>Pará</t>
  </si>
  <si>
    <t>Rondônia</t>
  </si>
  <si>
    <t>Roraima</t>
  </si>
  <si>
    <t>Tocantins</t>
  </si>
  <si>
    <t>Região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</si>
  <si>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</si>
  <si>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</si>
  <si>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</si>
  <si>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</si>
  <si>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</si>
  <si>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</si>
  <si>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</si>
  <si>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</si>
  <si>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</si>
  <si>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Região Sudeste</t>
  </si>
  <si>
    <t>Espírito Santo</t>
  </si>
  <si>
    <t>Minas Gerais</t>
  </si>
  <si>
    <t>Rio de Janeiro</t>
  </si>
  <si>
    <t>São Paulo</t>
  </si>
  <si>
    <t>Região Sul</t>
  </si>
  <si>
    <t>Paraná</t>
  </si>
  <si>
    <t>Rio Grande do Sul</t>
  </si>
  <si>
    <t>Santa Catarina</t>
  </si>
  <si>
    <t>Região Centro-Oeste</t>
  </si>
  <si>
    <t>Distrito Federal</t>
  </si>
  <si>
    <t>Goiás</t>
  </si>
  <si>
    <t>Mato Grosso</t>
  </si>
  <si>
    <t>Mato Grosso do Sul</t>
  </si>
  <si>
    <t>Tabela 1 - Frota por tipo de combustível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</si>
  <si>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</si>
  <si>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</si>
  <si>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</si>
  <si>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</si>
  <si>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</si>
  <si>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</si>
  <si>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</si>
  <si>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</si>
  <si>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</si>
  <si>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</si>
  <si>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</si>
  <si>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</si>
  <si>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</si>
  <si>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</si>
  <si>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</si>
  <si>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</si>
  <si>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</si>
  <si>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</si>
  <si>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</si>
  <si>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</si>
  <si>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</si>
  <si>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</si>
  <si>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</si>
  <si>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</si>
  <si>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</si>
  <si>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</si>
  <si>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</si>
  <si>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Total Geral</t>
  </si>
  <si>
    <t>ALCOOL</t>
  </si>
  <si>
    <t>ALCOOL/GAS NATURAL COMBUSTIVEL</t>
  </si>
  <si>
    <t>ALCOOL/GAS NATURAL VEICULAR</t>
  </si>
  <si>
    <t>ALCOOL/GASOLINA</t>
  </si>
  <si>
    <t>DIESEL</t>
  </si>
  <si>
    <t>DIESEL/ELETRICO</t>
  </si>
  <si>
    <t>DIESEL/GAS NATURAL COMBUSTIVEL</t>
  </si>
  <si>
    <t>DIESEL/GAS NATURAL VEICULAR</t>
  </si>
  <si>
    <t>ELETRICO/FONTE EXTERNA</t>
  </si>
  <si>
    <t>ELETRICO/FONTE INTERNA</t>
  </si>
  <si>
    <t>ETANOL/ELETRICO</t>
  </si>
  <si>
    <t>GAS NATURAL VEICULAR</t>
  </si>
  <si>
    <t>GASOL/GAS NATURAL COMBUSTIVEL</t>
  </si>
  <si>
    <t>GASOLINA</t>
  </si>
  <si>
    <t>GASOLINA/ALCOOL/ELETRICO</t>
  </si>
  <si>
    <t>GASOLINA/ALCOOL/GAS NATURAL</t>
  </si>
  <si>
    <t>GASOLINA/ELETRICO</t>
  </si>
  <si>
    <t>GASOLINA/GAS NATURAL VEICULAR</t>
  </si>
  <si>
    <t>TOTAL GERAL</t>
  </si>
  <si>
    <t>Tabela 2 - Sintetização da Tabela 1</t>
  </si>
  <si>
    <t>ELÉTRICO</t>
  </si>
  <si>
    <t>Grand Total</t>
  </si>
  <si>
    <t>Tabela 3 - Frota por tipo de veículo</t>
  </si>
  <si>
    <t>AUTOMOVEL</t>
  </si>
  <si>
    <t>CAMINHAO</t>
  </si>
  <si>
    <t>CAMINHAO TRATOR</t>
  </si>
  <si>
    <t>CAMINHONETE</t>
  </si>
  <si>
    <t>CAMIONETA</t>
  </si>
  <si>
    <t>MICROONIBUS</t>
  </si>
  <si>
    <t>MOTOCICLETA</t>
  </si>
  <si>
    <t>MOTONETA</t>
  </si>
  <si>
    <t>ONIBUS</t>
  </si>
  <si>
    <t>UTILITARIO</t>
  </si>
  <si>
    <t>Fator de Correção</t>
  </si>
  <si>
    <t>Tabela 4 - Correção da Tabela 3 pelo Fator de Correção</t>
  </si>
  <si>
    <t>Tabela 5 - Proporção dos Combustíveis</t>
  </si>
  <si>
    <t>Tabela 7 - Veículos Elétricos</t>
  </si>
  <si>
    <t>Tabela 8 - Utilitários</t>
  </si>
  <si>
    <t>Tabela 10 - Camioneta e Caminhonetes</t>
  </si>
  <si>
    <t>Tabela 11 - Resumo</t>
  </si>
  <si>
    <t>Total de Veículos</t>
  </si>
  <si>
    <t>Automóveis + Utilitários</t>
  </si>
  <si>
    <t xml:space="preserve"> Camioneta + Caminhonetes</t>
  </si>
  <si>
    <t>Utilitário - Flex</t>
  </si>
  <si>
    <t>Camioneta - Diesel</t>
  </si>
  <si>
    <t>% Automóvel</t>
  </si>
  <si>
    <t>% Caminhonete</t>
  </si>
  <si>
    <t>Utilitário - Elétrico</t>
  </si>
  <si>
    <t>Camioneta - Elétrica</t>
  </si>
  <si>
    <t>Automóvel</t>
  </si>
  <si>
    <t>% Utilitário</t>
  </si>
  <si>
    <t>% Camioneta</t>
  </si>
  <si>
    <t>Utilitário - Gasolina</t>
  </si>
  <si>
    <t>Camioneta - Gasolina</t>
  </si>
  <si>
    <t>Utilitários - Flex</t>
  </si>
  <si>
    <t>Diesel Disponível</t>
  </si>
  <si>
    <t>Automóveis - Flex</t>
  </si>
  <si>
    <t>Caminhão - Diesel</t>
  </si>
  <si>
    <t>Tabela 6 - Quantidade real de veículos</t>
  </si>
  <si>
    <t>Caminhonete - Diesel</t>
  </si>
  <si>
    <t>Automóveis - Álcool</t>
  </si>
  <si>
    <t>Caminhão Trator - Diesel</t>
  </si>
  <si>
    <t>Utilitários - Gasolina</t>
  </si>
  <si>
    <t>Automóveis - GNV</t>
  </si>
  <si>
    <t>Automóvel - Elétrico</t>
  </si>
  <si>
    <t>Ônibus - Diesel</t>
  </si>
  <si>
    <t>Tabela 9 - Automóveis</t>
  </si>
  <si>
    <t>Caminhonete - Gasolina</t>
  </si>
  <si>
    <t>Automóveis - Gasolina</t>
  </si>
  <si>
    <t>Micro ônibus - Diesel</t>
  </si>
  <si>
    <t>Motocicleta - Gasolina</t>
  </si>
  <si>
    <t>Caminhonete - Elétrica</t>
  </si>
  <si>
    <t>Motoneta - Gasolina</t>
  </si>
  <si>
    <t>Erro</t>
  </si>
  <si>
    <t>PARAÍBA/14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</si>
</sst>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theme="5" tint="-0.249977111117893"/>
      <name val="Arial"/>
      <family val="2"/>
    </font>
    <font>
      <b/>
      <sz val="11"/>
      <name val="Arial"/>
      <family val="2"/>
    </font>
    <font>
      <b/>
      <sz val="12"/>
      <color rgb="FF7030A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2"/>
      <name val="Arial"/>
      <family val="2"/>
    </font>
    <font>
      <sz val="12"/>
      <color rgb="FF0000FF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2"/>
      <color theme="0"/>
      <name val="Arial"/>
      <family val="2"/>
    </font>
    <font>
      <b/>
      <sz val="11"/>
      <color rgb="FF00B050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5" fillId="0" borderId="0" xfId="2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4" borderId="0" xfId="0" applyFill="1"/>
    <xf numFmtId="0" fontId="9" fillId="4" borderId="0" xfId="0" applyFont="1" applyFill="1"/>
    <xf numFmtId="0" fontId="9" fillId="4" borderId="0" xfId="0" applyFont="1" applyFill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5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5" fillId="0" borderId="0" xfId="0" applyFont="1"/>
    <xf numFmtId="3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3" fontId="17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9" fontId="16" fillId="3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9" fontId="17" fillId="0" borderId="0" xfId="2" applyFont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9" fontId="6" fillId="3" borderId="0" xfId="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15" fillId="0" borderId="0" xfId="0" applyNumberFormat="1" applyFont="1"/>
    <xf numFmtId="0" fontId="17" fillId="0" borderId="0" xfId="0" applyFont="1" applyAlignment="1">
      <alignment horizontal="center"/>
    </xf>
    <xf numFmtId="9" fontId="15" fillId="0" borderId="1" xfId="2" applyFont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0" borderId="1" xfId="0" applyFont="1" applyBorder="1" applyAlignment="1">
      <alignment horizontal="left"/>
    </xf>
    <xf numFmtId="3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1" fontId="2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0" borderId="1" xfId="0" applyFont="1" applyBorder="1"/>
    <xf numFmtId="0" fontId="25" fillId="0" borderId="1" xfId="0" applyFont="1" applyBorder="1"/>
    <xf numFmtId="0" fontId="22" fillId="0" borderId="1" xfId="0" applyFont="1" applyBorder="1" applyAlignment="1">
      <alignment horizontal="left" vertical="center"/>
    </xf>
    <xf numFmtId="3" fontId="26" fillId="0" borderId="3" xfId="0" applyNumberFormat="1" applyFont="1" applyBorder="1" applyAlignment="1">
      <alignment horizontal="center" vertical="center"/>
    </xf>
    <xf numFmtId="165" fontId="20" fillId="0" borderId="1" xfId="1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7" fillId="0" borderId="0" xfId="0" applyFont="1"/>
    <xf numFmtId="0" fontId="23" fillId="0" borderId="1" xfId="0" applyFont="1" applyBorder="1" applyAlignment="1">
      <alignment horizontal="left"/>
    </xf>
    <xf numFmtId="3" fontId="20" fillId="0" borderId="3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1" xfId="0" applyFont="1" applyBorder="1" applyAlignment="1">
      <alignment horizontal="left"/>
    </xf>
    <xf numFmtId="3" fontId="27" fillId="0" borderId="3" xfId="0" applyNumberFormat="1" applyFont="1" applyBorder="1" applyAlignment="1">
      <alignment horizontal="center" vertical="center"/>
    </xf>
    <xf numFmtId="9" fontId="22" fillId="0" borderId="0" xfId="2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165" fontId="20" fillId="2" borderId="1" xfId="1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9" fontId="30" fillId="0" borderId="0" xfId="2" applyFont="1"/>
    <xf numFmtId="0" fontId="31" fillId="0" borderId="1" xfId="0" applyFont="1" applyBorder="1" applyAlignment="1">
      <alignment horizontal="left"/>
    </xf>
    <xf numFmtId="0" fontId="32" fillId="0" borderId="0" xfId="0" applyFont="1"/>
    <xf numFmtId="0" fontId="31" fillId="0" borderId="0" xfId="0" applyFont="1"/>
    <xf numFmtId="0" fontId="33" fillId="0" borderId="0" xfId="0" applyFont="1" applyAlignment="1">
      <alignment horizontal="left"/>
    </xf>
    <xf numFmtId="165" fontId="20" fillId="3" borderId="1" xfId="1" applyNumberFormat="1" applyFont="1" applyFill="1" applyBorder="1" applyAlignment="1">
      <alignment horizontal="center" vertical="center"/>
    </xf>
    <xf numFmtId="9" fontId="22" fillId="0" borderId="0" xfId="2" applyFont="1"/>
    <xf numFmtId="0" fontId="22" fillId="4" borderId="0" xfId="0" applyFont="1" applyFill="1"/>
    <xf numFmtId="0" fontId="22" fillId="3" borderId="0" xfId="0" applyFont="1" applyFill="1"/>
    <xf numFmtId="0" fontId="24" fillId="0" borderId="0" xfId="0" applyFont="1"/>
    <xf numFmtId="0" fontId="24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9" fontId="35" fillId="0" borderId="0" xfId="2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9" fontId="20" fillId="0" borderId="0" xfId="2" applyFont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" fontId="32" fillId="0" borderId="0" xfId="0" applyNumberFormat="1" applyFont="1" applyAlignment="1">
      <alignment horizontal="center" vertical="center"/>
    </xf>
    <xf numFmtId="3" fontId="32" fillId="0" borderId="1" xfId="0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9" fontId="29" fillId="3" borderId="1" xfId="2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9" fontId="20" fillId="0" borderId="1" xfId="2" applyFont="1" applyBorder="1" applyAlignment="1">
      <alignment horizontal="center" vertical="center"/>
    </xf>
    <xf numFmtId="9" fontId="32" fillId="0" borderId="0" xfId="2" applyFont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9" fontId="20" fillId="3" borderId="0" xfId="2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/>
    </xf>
    <xf numFmtId="1" fontId="27" fillId="0" borderId="0" xfId="0" applyNumberFormat="1" applyFont="1"/>
    <xf numFmtId="0" fontId="32" fillId="0" borderId="0" xfId="0" applyFont="1" applyAlignment="1">
      <alignment horizontal="center"/>
    </xf>
    <xf numFmtId="9" fontId="27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6">
    <cellStyle name="Comma" xfId="1" builtinId="3"/>
    <cellStyle name="Normal" xfId="0" builtinId="0"/>
    <cellStyle name="Normal 2" xfId="3" xr:uid="{00000000-0005-0000-0000-000001000000}"/>
    <cellStyle name="Percent" xfId="2" builtinId="5"/>
    <cellStyle name="Porcentagem 2" xfId="4" xr:uid="{00000000-0005-0000-0000-000003000000}"/>
    <cellStyle name="Vírgula 2" xfId="5" xr:uid="{00000000-0005-0000-0000-000005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285748</xdr:colOff>
      <xdr:row>49</xdr:row>
      <xdr:rowOff>179916</xdr:rowOff>
    </xdr:from>
    <xdr:to>
      <xdr:col>8</xdr:col>
      <xdr:colOff>571499</xdr:colOff>
      <xdr:row>52</xdr:row>
      <xdr:rowOff>21166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645831" y="9842499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42334</xdr:colOff>
      <xdr:row>2</xdr:row>
      <xdr:rowOff>95250</xdr:rowOff>
    </xdr:from>
    <xdr:to>
      <xdr:col>6</xdr:col>
      <xdr:colOff>423333</xdr:colOff>
      <xdr:row>21</xdr:row>
      <xdr:rowOff>76197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656167" y="486833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63501</xdr:colOff>
      <xdr:row>2</xdr:row>
      <xdr:rowOff>105834</xdr:rowOff>
    </xdr:from>
    <xdr:to>
      <xdr:col>6</xdr:col>
      <xdr:colOff>444500</xdr:colOff>
      <xdr:row>21</xdr:row>
      <xdr:rowOff>86781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677334" y="49741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 strike="sngStrike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42333</xdr:colOff>
      <xdr:row>2</xdr:row>
      <xdr:rowOff>158750</xdr:rowOff>
    </xdr:from>
    <xdr:to>
      <xdr:col>6</xdr:col>
      <xdr:colOff>423332</xdr:colOff>
      <xdr:row>21</xdr:row>
      <xdr:rowOff>139697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656166" y="550333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 strike="sngStrike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582083</xdr:colOff>
      <xdr:row>2</xdr:row>
      <xdr:rowOff>127000</xdr:rowOff>
    </xdr:from>
    <xdr:to>
      <xdr:col>6</xdr:col>
      <xdr:colOff>349249</xdr:colOff>
      <xdr:row>21</xdr:row>
      <xdr:rowOff>107947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582083" y="518583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31750</xdr:colOff>
      <xdr:row>2</xdr:row>
      <xdr:rowOff>42333</xdr:rowOff>
    </xdr:from>
    <xdr:to>
      <xdr:col>6</xdr:col>
      <xdr:colOff>412749</xdr:colOff>
      <xdr:row>21</xdr:row>
      <xdr:rowOff>23280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645583" y="433916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116417</xdr:colOff>
      <xdr:row>2</xdr:row>
      <xdr:rowOff>74084</xdr:rowOff>
    </xdr:from>
    <xdr:to>
      <xdr:col>6</xdr:col>
      <xdr:colOff>497416</xdr:colOff>
      <xdr:row>21</xdr:row>
      <xdr:rowOff>55031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730250" y="46566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444500</xdr:colOff>
      <xdr:row>2</xdr:row>
      <xdr:rowOff>169333</xdr:rowOff>
    </xdr:from>
    <xdr:to>
      <xdr:col>6</xdr:col>
      <xdr:colOff>211666</xdr:colOff>
      <xdr:row>21</xdr:row>
      <xdr:rowOff>150280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444500" y="560916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116418</xdr:colOff>
      <xdr:row>2</xdr:row>
      <xdr:rowOff>116417</xdr:rowOff>
    </xdr:from>
    <xdr:to>
      <xdr:col>6</xdr:col>
      <xdr:colOff>497417</xdr:colOff>
      <xdr:row>21</xdr:row>
      <xdr:rowOff>97364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730251" y="508000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84667</xdr:colOff>
      <xdr:row>2</xdr:row>
      <xdr:rowOff>31750</xdr:rowOff>
    </xdr:from>
    <xdr:to>
      <xdr:col>6</xdr:col>
      <xdr:colOff>465666</xdr:colOff>
      <xdr:row>21</xdr:row>
      <xdr:rowOff>12697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698500" y="423333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116417</xdr:colOff>
      <xdr:row>2</xdr:row>
      <xdr:rowOff>52917</xdr:rowOff>
    </xdr:from>
    <xdr:to>
      <xdr:col>6</xdr:col>
      <xdr:colOff>497416</xdr:colOff>
      <xdr:row>21</xdr:row>
      <xdr:rowOff>33864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730250" y="444500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 strike="sngStrike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377826</xdr:colOff>
      <xdr:row>8</xdr:row>
      <xdr:rowOff>136525</xdr:rowOff>
    </xdr:from>
    <xdr:to>
      <xdr:col>9</xdr:col>
      <xdr:colOff>613834</xdr:colOff>
      <xdr:row>10</xdr:row>
      <xdr:rowOff>154516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0800000">
          <a:off x="8188326" y="1724025"/>
          <a:ext cx="236008" cy="420158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380999</xdr:colOff>
      <xdr:row>21</xdr:row>
      <xdr:rowOff>44449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613833" y="15197667"/>
          <a:ext cx="4540249" cy="3865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Premissas:</a:t>
          </a:r>
        </a:p>
        <a:p>
          <a:endParaRPr lang="pt-BR" sz="12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COMBUSTÍVEL</a:t>
          </a:r>
        </a:p>
        <a:p>
          <a:endParaRPr lang="pt-BR" sz="12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Diesel</a:t>
          </a:r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Caminhão + Caminhão Trator + Micro ônibus + Ônibus + Camioneta + Caminhonete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Gasolina 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+ Motocicletas + Utilitários + Camioneta + Caminhonete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Álcool: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FLEX: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+ Utilitário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Álcool/Gasolina/Gás Natural: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</a:t>
          </a:r>
        </a:p>
        <a:p>
          <a:endParaRPr lang="pt-BR" sz="12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FROTA</a:t>
          </a:r>
        </a:p>
        <a:p>
          <a:endParaRPr lang="pt-BR" sz="12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Automóvel: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GNV + Flex + Álcool + Elétrico + </a:t>
          </a:r>
          <a:r>
            <a:rPr lang="pt-BR" sz="12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Caminhão + Caminhão Trator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: 100% Diesel 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Caminhonete:</a:t>
          </a:r>
          <a:r>
            <a:rPr lang="pt-BR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Gasolina</a:t>
          </a:r>
          <a:r>
            <a:rPr lang="pt-BR" sz="12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 Diesel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+ Elétrico </a:t>
          </a:r>
        </a:p>
        <a:p>
          <a:pPr marL="0" indent="0"/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Camioneta:</a:t>
          </a:r>
          <a:r>
            <a:rPr lang="pt-BR" sz="12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  <a:r>
            <a:rPr lang="pt-BR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 Diesel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+ Elétrico 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Micro ônibus + Ônibus: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100% Diesel 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Motocicleta + Motoneta: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100%  Gasolina</a:t>
          </a:r>
        </a:p>
        <a:p>
          <a:r>
            <a:rPr lang="pt-BR" sz="12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Utilitário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: Flex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+ Elétrico  </a:t>
          </a:r>
          <a:r>
            <a:rPr lang="pt-BR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 </a:t>
          </a:r>
          <a:r>
            <a:rPr lang="pt-BR" sz="12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  <a:endParaRPr lang="pt-BR" sz="12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2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2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200" baseline="0">
            <a:solidFill>
              <a:srgbClr val="FF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116417</xdr:colOff>
      <xdr:row>2</xdr:row>
      <xdr:rowOff>31750</xdr:rowOff>
    </xdr:from>
    <xdr:to>
      <xdr:col>6</xdr:col>
      <xdr:colOff>497416</xdr:colOff>
      <xdr:row>21</xdr:row>
      <xdr:rowOff>12697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/>
      </xdr:nvSpPr>
      <xdr:spPr>
        <a:xfrm>
          <a:off x="730250" y="423333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127001</xdr:colOff>
      <xdr:row>2</xdr:row>
      <xdr:rowOff>52917</xdr:rowOff>
    </xdr:from>
    <xdr:to>
      <xdr:col>6</xdr:col>
      <xdr:colOff>508000</xdr:colOff>
      <xdr:row>21</xdr:row>
      <xdr:rowOff>33864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/>
      </xdr:nvSpPr>
      <xdr:spPr>
        <a:xfrm>
          <a:off x="740834" y="444500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137583</xdr:colOff>
      <xdr:row>2</xdr:row>
      <xdr:rowOff>10584</xdr:rowOff>
    </xdr:from>
    <xdr:to>
      <xdr:col>6</xdr:col>
      <xdr:colOff>518582</xdr:colOff>
      <xdr:row>20</xdr:row>
      <xdr:rowOff>192615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/>
      </xdr:nvSpPr>
      <xdr:spPr>
        <a:xfrm>
          <a:off x="751416" y="40216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95250</xdr:colOff>
      <xdr:row>1</xdr:row>
      <xdr:rowOff>179917</xdr:rowOff>
    </xdr:from>
    <xdr:to>
      <xdr:col>6</xdr:col>
      <xdr:colOff>476249</xdr:colOff>
      <xdr:row>20</xdr:row>
      <xdr:rowOff>171448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 txBox="1"/>
      </xdr:nvSpPr>
      <xdr:spPr>
        <a:xfrm>
          <a:off x="709083" y="381000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95250</xdr:colOff>
      <xdr:row>2</xdr:row>
      <xdr:rowOff>21166</xdr:rowOff>
    </xdr:from>
    <xdr:to>
      <xdr:col>6</xdr:col>
      <xdr:colOff>476249</xdr:colOff>
      <xdr:row>21</xdr:row>
      <xdr:rowOff>2113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 txBox="1"/>
      </xdr:nvSpPr>
      <xdr:spPr>
        <a:xfrm>
          <a:off x="709083" y="412749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190501</xdr:colOff>
      <xdr:row>2</xdr:row>
      <xdr:rowOff>116417</xdr:rowOff>
    </xdr:from>
    <xdr:to>
      <xdr:col>6</xdr:col>
      <xdr:colOff>571500</xdr:colOff>
      <xdr:row>21</xdr:row>
      <xdr:rowOff>97364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 txBox="1"/>
      </xdr:nvSpPr>
      <xdr:spPr>
        <a:xfrm>
          <a:off x="804334" y="508000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169334</xdr:colOff>
      <xdr:row>2</xdr:row>
      <xdr:rowOff>169333</xdr:rowOff>
    </xdr:from>
    <xdr:to>
      <xdr:col>6</xdr:col>
      <xdr:colOff>550333</xdr:colOff>
      <xdr:row>21</xdr:row>
      <xdr:rowOff>150280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 txBox="1"/>
      </xdr:nvSpPr>
      <xdr:spPr>
        <a:xfrm>
          <a:off x="783167" y="560916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179917</xdr:colOff>
      <xdr:row>2</xdr:row>
      <xdr:rowOff>137584</xdr:rowOff>
    </xdr:from>
    <xdr:to>
      <xdr:col>6</xdr:col>
      <xdr:colOff>560916</xdr:colOff>
      <xdr:row>21</xdr:row>
      <xdr:rowOff>118531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 txBox="1"/>
      </xdr:nvSpPr>
      <xdr:spPr>
        <a:xfrm>
          <a:off x="793750" y="52916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137584</xdr:colOff>
      <xdr:row>2</xdr:row>
      <xdr:rowOff>42334</xdr:rowOff>
    </xdr:from>
    <xdr:to>
      <xdr:col>6</xdr:col>
      <xdr:colOff>518583</xdr:colOff>
      <xdr:row>21</xdr:row>
      <xdr:rowOff>23281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 txBox="1"/>
      </xdr:nvSpPr>
      <xdr:spPr>
        <a:xfrm>
          <a:off x="751417" y="43391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896409</xdr:colOff>
      <xdr:row>8</xdr:row>
      <xdr:rowOff>125942</xdr:rowOff>
    </xdr:from>
    <xdr:to>
      <xdr:col>9</xdr:col>
      <xdr:colOff>1132417</xdr:colOff>
      <xdr:row>10</xdr:row>
      <xdr:rowOff>143933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 rot="10800000">
          <a:off x="8230659" y="1713442"/>
          <a:ext cx="236008" cy="420158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3</xdr:row>
      <xdr:rowOff>0</xdr:rowOff>
    </xdr:from>
    <xdr:to>
      <xdr:col>5</xdr:col>
      <xdr:colOff>920751</xdr:colOff>
      <xdr:row>22</xdr:row>
      <xdr:rowOff>31750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16001" y="582083"/>
          <a:ext cx="4984750" cy="383116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Premissas:</a:t>
          </a:r>
        </a:p>
        <a:p>
          <a:endParaRPr lang="pt-BR" sz="11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COMBUSTÍVEL</a:t>
          </a:r>
        </a:p>
        <a:p>
          <a:endParaRPr lang="pt-BR" sz="11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100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Diesel</a:t>
          </a:r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Gasolina 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Álcool: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FLEX: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Álcool/Gasolina/Gás Natural: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Automóveis </a:t>
          </a:r>
        </a:p>
        <a:p>
          <a:endParaRPr lang="pt-BR" sz="11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FROTA</a:t>
          </a:r>
        </a:p>
        <a:p>
          <a:endParaRPr lang="pt-BR" sz="11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Automóvel: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GNV + Flex + Álcool + Elétrica + </a:t>
          </a:r>
          <a:r>
            <a:rPr lang="pt-B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Caminhão + Caminhão Trator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: 100% Diesel 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 Diesel +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Elétrica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+ Diesel +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Elétrica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Micro ônibus + Ônibus: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Motocicleta + Motoneta: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Utilitário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: Flex + 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Elétrica</a:t>
          </a:r>
          <a:r>
            <a:rPr lang="pt-BR" sz="11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+ </a:t>
          </a:r>
          <a:r>
            <a:rPr lang="pt-BR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Gasolina</a:t>
          </a:r>
          <a:endParaRPr lang="pt-BR" sz="11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1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100" baseline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1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0800000">
          <a:off x="8135409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380999</xdr:colOff>
      <xdr:row>21</xdr:row>
      <xdr:rowOff>118533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613833" y="15197667"/>
          <a:ext cx="4540249" cy="39391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Caminhonete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 Diesel + Elétrico </a:t>
          </a:r>
          <a:endParaRPr lang="pt-BR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Camioneta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+Diesel + Elétrico </a:t>
          </a:r>
          <a:endParaRPr lang="pt-BR">
            <a:solidFill>
              <a:srgbClr val="FF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+ Elétrico</a:t>
          </a:r>
          <a:r>
            <a:rPr lang="pt-BR" sz="1100" baseline="0">
              <a:solidFill>
                <a:srgbClr val="FF0000"/>
              </a:solidFill>
            </a:rPr>
            <a:t>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 rot="10800000">
          <a:off x="8135409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6</xdr:col>
      <xdr:colOff>380999</xdr:colOff>
      <xdr:row>21</xdr:row>
      <xdr:rowOff>118532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613833" y="15398750"/>
          <a:ext cx="4540249" cy="3738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0800000">
          <a:off x="817774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6</xdr:col>
      <xdr:colOff>380999</xdr:colOff>
      <xdr:row>21</xdr:row>
      <xdr:rowOff>182031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613833" y="1541991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444501</xdr:colOff>
      <xdr:row>2</xdr:row>
      <xdr:rowOff>190501</xdr:rowOff>
    </xdr:from>
    <xdr:to>
      <xdr:col>6</xdr:col>
      <xdr:colOff>211667</xdr:colOff>
      <xdr:row>21</xdr:row>
      <xdr:rowOff>171448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44501" y="582084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2</xdr:row>
      <xdr:rowOff>137583</xdr:rowOff>
    </xdr:from>
    <xdr:to>
      <xdr:col>6</xdr:col>
      <xdr:colOff>381000</xdr:colOff>
      <xdr:row>21</xdr:row>
      <xdr:rowOff>118530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13834" y="529166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</xdr:row>
      <xdr:rowOff>137584</xdr:rowOff>
    </xdr:from>
    <xdr:to>
      <xdr:col>6</xdr:col>
      <xdr:colOff>380999</xdr:colOff>
      <xdr:row>21</xdr:row>
      <xdr:rowOff>118531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613833" y="52916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AM37"/>
  <sheetViews>
    <sheetView showGridLines="0" zoomScaleNormal="100" workbookViewId="0">
      <pane xSplit="1" topLeftCell="B1" activePane="topRight" state="frozen"/>
      <selection pane="topRight" activeCell="I4" sqref="I4"/>
    </sheetView>
  </sheetViews>
  <sheetFormatPr defaultRowHeight="15"/>
  <cols>
    <col min="1" max="1" width="28.85546875" style="2" customWidth="1"/>
    <col min="2" max="2" width="2.5703125" customWidth="1"/>
    <col min="7" max="7" width="5.5703125" customWidth="1"/>
    <col min="8" max="9" width="10.140625" bestFit="1" customWidth="1"/>
    <col min="11" max="11" width="10.140625" bestFit="1" customWidth="1"/>
    <col min="12" max="12" width="10.140625" customWidth="1"/>
    <col min="13" max="13" width="10.140625" bestFit="1" customWidth="1"/>
    <col min="14" max="14" width="5.140625" customWidth="1"/>
    <col min="15" max="15" width="9.85546875" bestFit="1" customWidth="1"/>
    <col min="18" max="18" width="9.85546875" bestFit="1" customWidth="1"/>
    <col min="19" max="19" width="5.140625" customWidth="1"/>
    <col min="20" max="20" width="9.85546875" bestFit="1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  <col min="39" max="39" width="9.140625" style="115"/>
  </cols>
  <sheetData>
    <row r="1" spans="1:39" ht="15.75">
      <c r="A1" s="8"/>
    </row>
    <row r="2" spans="1:39" ht="15.75" customHeight="1">
      <c r="A2" s="118" t="str">
        <f>"Frota por tipo de veículo e combustível - Junho/"&amp;ONSV_AUX_2013!A1&amp;""</f>
        <v>Frota por tipo de veículo e combustível - Junho/2013</v>
      </c>
      <c r="C2" s="120" t="s">
        <v>0</v>
      </c>
      <c r="D2" s="120"/>
      <c r="E2" s="120"/>
      <c r="F2" s="120"/>
      <c r="H2" s="120" t="s">
        <v>1</v>
      </c>
      <c r="I2" s="120"/>
      <c r="J2" s="120"/>
      <c r="K2" s="120"/>
      <c r="L2" s="120"/>
      <c r="M2" s="120"/>
      <c r="O2" s="121" t="s">
        <v>2</v>
      </c>
      <c r="P2" s="122"/>
      <c r="Q2" s="122"/>
      <c r="R2" s="123"/>
      <c r="T2" s="121" t="s">
        <v>3</v>
      </c>
      <c r="U2" s="122"/>
      <c r="V2" s="122"/>
      <c r="W2" s="123"/>
      <c r="Y2" s="13" t="s">
        <v>4</v>
      </c>
      <c r="AA2" s="13" t="s">
        <v>5</v>
      </c>
      <c r="AC2" s="13" t="s">
        <v>6</v>
      </c>
      <c r="AE2" s="13" t="s">
        <v>7</v>
      </c>
      <c r="AG2" s="13" t="s">
        <v>8</v>
      </c>
      <c r="AI2" s="13" t="s">
        <v>9</v>
      </c>
      <c r="AK2" s="116" t="s">
        <v>10</v>
      </c>
    </row>
    <row r="3" spans="1:39" ht="15.75">
      <c r="A3" s="119"/>
      <c r="C3" s="13" t="s">
        <v>11</v>
      </c>
      <c r="D3" s="13" t="s">
        <v>12</v>
      </c>
      <c r="E3" s="13" t="s">
        <v>13</v>
      </c>
      <c r="F3" s="13" t="s">
        <v>14</v>
      </c>
      <c r="H3" s="13" t="s">
        <v>11</v>
      </c>
      <c r="I3" s="13" t="s">
        <v>15</v>
      </c>
      <c r="J3" s="13" t="s">
        <v>16</v>
      </c>
      <c r="K3" s="13" t="s">
        <v>12</v>
      </c>
      <c r="L3" s="13" t="s">
        <v>13</v>
      </c>
      <c r="M3" s="13" t="s">
        <v>14</v>
      </c>
      <c r="O3" s="13" t="s">
        <v>17</v>
      </c>
      <c r="P3" s="13" t="s">
        <v>12</v>
      </c>
      <c r="Q3" s="13" t="s">
        <v>13</v>
      </c>
      <c r="R3" s="13" t="s">
        <v>14</v>
      </c>
      <c r="T3" s="13" t="s">
        <v>17</v>
      </c>
      <c r="U3" s="13" t="s">
        <v>12</v>
      </c>
      <c r="V3" s="13" t="s">
        <v>13</v>
      </c>
      <c r="W3" s="13" t="s">
        <v>14</v>
      </c>
      <c r="Y3" s="13" t="s">
        <v>17</v>
      </c>
      <c r="AA3" s="13" t="s">
        <v>17</v>
      </c>
      <c r="AC3" s="13" t="s">
        <v>17</v>
      </c>
      <c r="AE3" s="13" t="s">
        <v>17</v>
      </c>
      <c r="AG3" s="13" t="s">
        <v>13</v>
      </c>
      <c r="AI3" s="13" t="s">
        <v>13</v>
      </c>
      <c r="AK3" s="117"/>
      <c r="AM3" s="115" t="s">
        <v>18</v>
      </c>
    </row>
    <row r="4" spans="1:39">
      <c r="A4" s="19" t="s">
        <v>19</v>
      </c>
      <c r="C4" s="23">
        <f>SUM(C5,C13,C32,C28,C23)</f>
        <v>220859.47397583624</v>
      </c>
      <c r="D4" s="23">
        <f t="shared" ref="D4" si="0">SUM(D5,D13,D32,D28,D23)</f>
        <v>23.166166912563881</v>
      </c>
      <c r="E4" s="23">
        <f t="shared" ref="E4" si="1">SUM(E5,E13,E32,E28,E23)</f>
        <v>203332.3598572512</v>
      </c>
      <c r="F4" s="23">
        <f>SUM(C4:E4)</f>
        <v>424215</v>
      </c>
      <c r="H4" s="23">
        <f>SUM(H5,H13,H32,H28,H23)</f>
        <v>21780472.358488586</v>
      </c>
      <c r="I4" s="23">
        <f t="shared" ref="I4:L4" si="2">SUM(I5,I13,I32,I28,I23)</f>
        <v>4156787</v>
      </c>
      <c r="J4" s="23">
        <f t="shared" si="2"/>
        <v>1715184</v>
      </c>
      <c r="K4" s="23">
        <f t="shared" si="2"/>
        <v>2368.6829263379987</v>
      </c>
      <c r="L4" s="23">
        <f t="shared" si="2"/>
        <v>16351923.958585076</v>
      </c>
      <c r="M4" s="23">
        <f>SUM(H4:L4)</f>
        <v>44006736</v>
      </c>
      <c r="O4" s="23">
        <f>SUM(O5,O13,O32,O28,O23)</f>
        <v>1366341.4906301657</v>
      </c>
      <c r="P4" s="23">
        <f t="shared" ref="P4" si="3">SUM(P5,P13,P32,P28,P23)</f>
        <v>262.53383447955639</v>
      </c>
      <c r="Q4" s="23">
        <f t="shared" ref="Q4" si="4">SUM(Q5,Q13,Q32,Q28,Q23)</f>
        <v>3413419.975535355</v>
      </c>
      <c r="R4" s="23">
        <f>SUM(O4:Q4)</f>
        <v>4780024</v>
      </c>
      <c r="T4" s="23">
        <f>SUM(T5,T13,T32,T28,T23)</f>
        <v>787646.50936983444</v>
      </c>
      <c r="U4" s="23">
        <f t="shared" ref="U4:W4" si="5">SUM(U5,U13,U32,U28,U23)</f>
        <v>172.61707226929957</v>
      </c>
      <c r="V4" s="23">
        <f>SUM(V5,V13,V32,V28,V23)</f>
        <v>2269356.8735578964</v>
      </c>
      <c r="W4" s="23">
        <f t="shared" si="5"/>
        <v>2986388.4275091062</v>
      </c>
      <c r="Y4" s="23">
        <f>SUM(Y5,Y13,Y32,Y28,Y23)</f>
        <v>2397831</v>
      </c>
      <c r="AA4" s="23">
        <f>SUM(AA5,AA13,AA32,AA28,AA23)</f>
        <v>548837</v>
      </c>
      <c r="AC4" s="23">
        <f>SUM(AC5,AC13,AC32,AC28,AC23)</f>
        <v>531705</v>
      </c>
      <c r="AE4" s="23">
        <f>SUM(AE5,AE13,AE32,AE28,AE23)</f>
        <v>326985</v>
      </c>
      <c r="AG4" s="23">
        <f>SUM(AG5,AG13,AG32,AG28,AG23)</f>
        <v>17483312</v>
      </c>
      <c r="AI4" s="23">
        <f>SUM(AI5,AI13,AI32,AI28,AI23)</f>
        <v>3166834</v>
      </c>
      <c r="AK4" s="23">
        <f>SUM(F4,M4,R4,W4,Y4,AA4,AC4,AE4,AG4,AI4)</f>
        <v>76652867.427509099</v>
      </c>
    </row>
    <row r="5" spans="1:39">
      <c r="A5" s="19" t="s">
        <v>20</v>
      </c>
      <c r="C5" s="23">
        <f>SUM(C6:C12)</f>
        <v>15777.154415445824</v>
      </c>
      <c r="D5" s="23">
        <f t="shared" ref="D5:AG5" si="6">SUM(D6:D12)</f>
        <v>1.5844469315667311</v>
      </c>
      <c r="E5" s="23">
        <f>SUM(E6:E12)</f>
        <v>2588.2611376226096</v>
      </c>
      <c r="F5" s="23">
        <f>SUM(C5:E5)</f>
        <v>18367</v>
      </c>
      <c r="H5" s="23">
        <f t="shared" si="6"/>
        <v>1094300.6187564014</v>
      </c>
      <c r="I5" s="23">
        <f t="shared" si="6"/>
        <v>67132</v>
      </c>
      <c r="J5" s="23">
        <f t="shared" si="6"/>
        <v>1775</v>
      </c>
      <c r="K5" s="23">
        <f t="shared" si="6"/>
        <v>113.38367802208086</v>
      </c>
      <c r="L5" s="23">
        <f t="shared" si="6"/>
        <v>122345.99756557666</v>
      </c>
      <c r="M5" s="23">
        <f>SUM(H5:L5)</f>
        <v>1285667</v>
      </c>
      <c r="O5" s="23">
        <f t="shared" si="6"/>
        <v>118643.60194845482</v>
      </c>
      <c r="P5" s="23">
        <f t="shared" si="6"/>
        <v>25.002417485349724</v>
      </c>
      <c r="Q5" s="23">
        <f t="shared" ref="Q5" si="7">SUM(Q6:Q12)</f>
        <v>165617.39563405985</v>
      </c>
      <c r="R5" s="23">
        <f>SUM(O5:Q5)</f>
        <v>284286</v>
      </c>
      <c r="T5" s="23">
        <f t="shared" si="6"/>
        <v>47419.398051545184</v>
      </c>
      <c r="U5" s="23">
        <f t="shared" si="6"/>
        <v>11.02945756099416</v>
      </c>
      <c r="V5" s="23">
        <f t="shared" si="6"/>
        <v>70787.572490893828</v>
      </c>
      <c r="W5" s="23">
        <f>SUM(T5:U5)</f>
        <v>47430.427509106179</v>
      </c>
      <c r="Y5" s="23">
        <f t="shared" si="6"/>
        <v>126340</v>
      </c>
      <c r="AA5" s="23">
        <f t="shared" si="6"/>
        <v>18666</v>
      </c>
      <c r="AC5" s="23">
        <f t="shared" si="6"/>
        <v>33815</v>
      </c>
      <c r="AE5" s="23">
        <f t="shared" si="6"/>
        <v>12324</v>
      </c>
      <c r="AG5" s="23">
        <f t="shared" si="6"/>
        <v>1411300</v>
      </c>
      <c r="AI5" s="23">
        <f>SUM(AI6:AI12)</f>
        <v>357403</v>
      </c>
      <c r="AK5" s="23">
        <f t="shared" ref="AK5:AK36" si="8">SUM(F5,M5,R5,W5,Y5,AA5,AC5,AE5,AG5,AI5)</f>
        <v>3595598.4275091062</v>
      </c>
    </row>
    <row r="6" spans="1:39">
      <c r="A6" s="20" t="s">
        <v>21</v>
      </c>
      <c r="C6" s="22">
        <f>AC!$U$7</f>
        <v>617.56355434997931</v>
      </c>
      <c r="D6" s="22">
        <f>AC!$U$8</f>
        <v>9.8016562957582209E-2</v>
      </c>
      <c r="E6" s="22">
        <f>AC!$U$9</f>
        <v>161.3384290870631</v>
      </c>
      <c r="F6" s="23">
        <f>SUM(C6:E6)</f>
        <v>779</v>
      </c>
      <c r="H6" s="22">
        <f>AC!$U$11</f>
        <v>51404.436445650019</v>
      </c>
      <c r="I6" s="22">
        <f>AC!U12</f>
        <v>3610</v>
      </c>
      <c r="J6" s="22">
        <f>AC!U13</f>
        <v>8</v>
      </c>
      <c r="K6" s="22">
        <f>AC!U14</f>
        <v>8.1586520863857004</v>
      </c>
      <c r="L6" s="22">
        <f>AC!U15</f>
        <v>9811.4049022635954</v>
      </c>
      <c r="M6" s="23">
        <f>SUM(H6:L6)</f>
        <v>64842</v>
      </c>
      <c r="O6" s="22">
        <f>AC!U17</f>
        <v>8253.3449525294673</v>
      </c>
      <c r="P6" s="22">
        <f>AC!U18</f>
        <v>1.9829795021960308</v>
      </c>
      <c r="Q6" s="22">
        <f>AC!U19</f>
        <v>7504.6720679683367</v>
      </c>
      <c r="R6" s="23">
        <f>SUM(O6:Q6)</f>
        <v>15760</v>
      </c>
      <c r="T6" s="22">
        <f>AC!X7</f>
        <v>3164.6550474705314</v>
      </c>
      <c r="U6" s="22">
        <f>AC!X8</f>
        <v>0.76035184846296033</v>
      </c>
      <c r="V6" s="22">
        <f>AC!$X$9</f>
        <v>2877.5846006810057</v>
      </c>
      <c r="W6" s="23">
        <f>SUM(T6:V6)</f>
        <v>6043</v>
      </c>
      <c r="Y6" s="22">
        <f>AC!X11</f>
        <v>6108</v>
      </c>
      <c r="AA6" s="22">
        <f>AC!X12</f>
        <v>548</v>
      </c>
      <c r="AC6" s="22">
        <f>AC!X14</f>
        <v>798</v>
      </c>
      <c r="AE6" s="22">
        <f>AC!X15</f>
        <v>270</v>
      </c>
      <c r="AG6" s="22">
        <f>AC!X17</f>
        <v>83285</v>
      </c>
      <c r="AI6" s="22">
        <f>AC!X18</f>
        <v>15846</v>
      </c>
      <c r="AK6" s="22">
        <f>SUM(F6,M6,R6,W6,Y6,AA6,AC6,AE6,AG6,AI6)</f>
        <v>194279</v>
      </c>
      <c r="AM6" s="115" t="str">
        <f>IF((AK6=AC!$X$21),"ok","erro")</f>
        <v>ok</v>
      </c>
    </row>
    <row r="7" spans="1:39">
      <c r="A7" s="20" t="s">
        <v>22</v>
      </c>
      <c r="C7" s="22">
        <f>AP!$U$7</f>
        <v>576.97985082934429</v>
      </c>
      <c r="D7" s="22">
        <f>AP!$U$8</f>
        <v>6.491208804618509E-2</v>
      </c>
      <c r="E7" s="22">
        <f>AP!$U$9</f>
        <v>87.955237082609528</v>
      </c>
      <c r="F7" s="23">
        <f>SUM(C7:E7)</f>
        <v>665</v>
      </c>
      <c r="H7" s="22">
        <f>AP!$U$11</f>
        <v>53981.020149170661</v>
      </c>
      <c r="I7" s="22">
        <f>AP!$U$12</f>
        <v>1418</v>
      </c>
      <c r="J7" s="22">
        <f>AP!$U$13</f>
        <v>6</v>
      </c>
      <c r="K7" s="22">
        <f>AP!$U$14</f>
        <v>6.0730383005720796</v>
      </c>
      <c r="L7" s="22">
        <f>AP!$U$15</f>
        <v>6804.9068125287667</v>
      </c>
      <c r="M7" s="23">
        <f>SUM(H7:L7)</f>
        <v>62216</v>
      </c>
      <c r="O7" s="22">
        <f>AP!$U$17</f>
        <v>4358.4680226462569</v>
      </c>
      <c r="P7" s="22">
        <f>AP!U18</f>
        <v>1.298925046061413</v>
      </c>
      <c r="Q7" s="22">
        <f>AP!U19</f>
        <v>8947.2330523076816</v>
      </c>
      <c r="R7" s="23">
        <f>SUM(O7:Q7)</f>
        <v>13307</v>
      </c>
      <c r="T7" s="22">
        <f>AP!$X$7</f>
        <v>1889.5319773537428</v>
      </c>
      <c r="U7" s="22">
        <f>AP!$X$8</f>
        <v>0.56312456532123178</v>
      </c>
      <c r="V7" s="22">
        <f>AP!$X$9</f>
        <v>3878.9048980809357</v>
      </c>
      <c r="W7" s="23">
        <f t="shared" ref="W7:W36" si="9">SUM(T7:V7)</f>
        <v>5769</v>
      </c>
      <c r="Y7" s="22">
        <f>AP!$X$11</f>
        <v>3482</v>
      </c>
      <c r="AA7" s="22">
        <f>AP!$X$12</f>
        <v>258</v>
      </c>
      <c r="AC7" s="22">
        <f>AP!$X$14</f>
        <v>931</v>
      </c>
      <c r="AE7" s="22">
        <f>AP!$X$15</f>
        <v>365</v>
      </c>
      <c r="AG7" s="22">
        <f>AP!$X$17</f>
        <v>49296</v>
      </c>
      <c r="AI7" s="22">
        <f>AP!$X$18</f>
        <v>8271</v>
      </c>
      <c r="AK7" s="22">
        <f>SUM(F7,M7,R7,W7,Y7,AA7,AC7,AE7,AG7,AI7)</f>
        <v>144560</v>
      </c>
      <c r="AM7" s="115" t="str">
        <f>IF((AK7=AP!$X$21),"ok","erro")</f>
        <v>ok</v>
      </c>
    </row>
    <row r="8" spans="1:39">
      <c r="A8" s="20" t="s">
        <v>23</v>
      </c>
      <c r="C8" s="22">
        <f>AM!$U$7</f>
        <v>2849.68462577631</v>
      </c>
      <c r="D8" s="22">
        <f>AM!$U$8</f>
        <v>0.41552303939215562</v>
      </c>
      <c r="E8" s="22">
        <f>AM!$U$9</f>
        <v>1126.8998511842979</v>
      </c>
      <c r="F8" s="23">
        <f t="shared" ref="F8:F36" si="10">SUM(C8:E8)</f>
        <v>3977</v>
      </c>
      <c r="H8" s="22">
        <f>AM!$U$11</f>
        <v>226287.31537422369</v>
      </c>
      <c r="I8" s="22">
        <f>AM!$U$12</f>
        <v>16229</v>
      </c>
      <c r="J8" s="22">
        <f>AM!$U$13</f>
        <v>1218</v>
      </c>
      <c r="K8" s="22">
        <f>AM!$U$14</f>
        <v>32.995789151405916</v>
      </c>
      <c r="L8" s="22">
        <f>AM!$U$15</f>
        <v>72037.688836624904</v>
      </c>
      <c r="M8" s="23">
        <f t="shared" ref="M8:M36" si="11">SUM(H8:L8)</f>
        <v>315805</v>
      </c>
      <c r="O8" s="22">
        <f>AM!$U$17</f>
        <v>15232.671301240001</v>
      </c>
      <c r="P8" s="22">
        <f>AM!U18</f>
        <v>6.2079789870622335</v>
      </c>
      <c r="Q8" s="22">
        <f>AM!$U$19</f>
        <v>44178.120719772938</v>
      </c>
      <c r="R8" s="23">
        <f t="shared" ref="R8:R36" si="12">SUM(O8:Q8)</f>
        <v>59417</v>
      </c>
      <c r="T8" s="22">
        <f>AM!$X$7</f>
        <v>8295.3286987599968</v>
      </c>
      <c r="U8" s="22">
        <f>AM!$X$8</f>
        <v>3.3807088221292361</v>
      </c>
      <c r="V8" s="22">
        <f>AM!$X$9</f>
        <v>24058.290592417874</v>
      </c>
      <c r="W8" s="23">
        <f t="shared" si="9"/>
        <v>32357</v>
      </c>
      <c r="Y8" s="22">
        <f>AM!$X$11</f>
        <v>18387</v>
      </c>
      <c r="AA8" s="22">
        <f>AM!$X$12</f>
        <v>2850</v>
      </c>
      <c r="AC8" s="22">
        <f>AM!$X$14</f>
        <v>8242</v>
      </c>
      <c r="AE8" s="22">
        <f>AM!$X$15</f>
        <v>3176</v>
      </c>
      <c r="AG8" s="22">
        <f>AM!$X$17</f>
        <v>173282</v>
      </c>
      <c r="AI8" s="22">
        <f>AM!$X$18</f>
        <v>39496</v>
      </c>
      <c r="AK8" s="22">
        <f t="shared" si="8"/>
        <v>656989</v>
      </c>
      <c r="AM8" s="115" t="str">
        <f>IF((AK8=AM!$X$21),"ok","erro")</f>
        <v>ok</v>
      </c>
    </row>
    <row r="9" spans="1:39">
      <c r="A9" s="20" t="s">
        <v>24</v>
      </c>
      <c r="C9" s="22">
        <f>PA!$U$7</f>
        <v>7635.1616888461131</v>
      </c>
      <c r="D9" s="22">
        <f>PA!$U$8</f>
        <v>0.57380857408497832</v>
      </c>
      <c r="E9" s="22">
        <f>PA!$U$9</f>
        <v>737.26450257980196</v>
      </c>
      <c r="F9" s="23">
        <f t="shared" si="10"/>
        <v>8373</v>
      </c>
      <c r="H9" s="22">
        <f>PA!$U$11</f>
        <v>397882.83831115387</v>
      </c>
      <c r="I9" s="22">
        <f>PA!$U$12</f>
        <v>23639</v>
      </c>
      <c r="J9" s="22">
        <f>PA!$U$13</f>
        <v>219</v>
      </c>
      <c r="K9" s="22">
        <f>PA!$U$14</f>
        <v>29.902259232767392</v>
      </c>
      <c r="L9" s="22">
        <f>PA!$U$15</f>
        <v>14562.259429613361</v>
      </c>
      <c r="M9" s="23">
        <f t="shared" si="11"/>
        <v>436333</v>
      </c>
      <c r="O9" s="22">
        <f>PA!$U$17</f>
        <v>44418.951222453587</v>
      </c>
      <c r="P9" s="22">
        <f>PA!U18</f>
        <v>6.3523275000188733</v>
      </c>
      <c r="Q9" s="22">
        <f>PA!$U$19</f>
        <v>48267.696450046395</v>
      </c>
      <c r="R9" s="23">
        <f t="shared" si="12"/>
        <v>92693</v>
      </c>
      <c r="T9" s="22">
        <f>PA!$X$7</f>
        <v>15185.04877754641</v>
      </c>
      <c r="U9" s="22">
        <f>PA!$X$8</f>
        <v>2.1716046931323945</v>
      </c>
      <c r="V9" s="22">
        <f>PA!$X$9</f>
        <v>16500.779617760458</v>
      </c>
      <c r="W9" s="23">
        <f>SUM(T9:V9)</f>
        <v>31688</v>
      </c>
      <c r="Y9" s="22">
        <f>PA!$X$11</f>
        <v>48173</v>
      </c>
      <c r="AA9" s="22">
        <f>PA!$X$12</f>
        <v>5854</v>
      </c>
      <c r="AC9" s="22">
        <f>PA!$X$14</f>
        <v>13997</v>
      </c>
      <c r="AE9" s="22">
        <f>PA!$X$15</f>
        <v>5674</v>
      </c>
      <c r="AG9" s="22">
        <f>PA!$X$17</f>
        <v>553232</v>
      </c>
      <c r="AI9" s="22">
        <f>PA!$X$18</f>
        <v>121342</v>
      </c>
      <c r="AK9" s="22">
        <f t="shared" si="8"/>
        <v>1317359</v>
      </c>
      <c r="AM9" s="115" t="str">
        <f>IF((AK9=PA!$X$21),"ok","erro")</f>
        <v>ok</v>
      </c>
    </row>
    <row r="10" spans="1:39">
      <c r="A10" s="20" t="s">
        <v>25</v>
      </c>
      <c r="C10" s="22">
        <f>RO!$U$7</f>
        <v>1857.0177894798201</v>
      </c>
      <c r="D10" s="22">
        <f>RO!$U$8</f>
        <v>0.12456567624622039</v>
      </c>
      <c r="E10" s="22">
        <f>RO!$U$9</f>
        <v>60.857644843933713</v>
      </c>
      <c r="F10" s="23">
        <f t="shared" si="10"/>
        <v>1918</v>
      </c>
      <c r="H10" s="22">
        <f>RO!$U$11</f>
        <v>193631.75538236726</v>
      </c>
      <c r="I10" s="22">
        <f>RO!$U$12</f>
        <v>10191</v>
      </c>
      <c r="J10" s="22">
        <f>RO!$U$13</f>
        <v>98</v>
      </c>
      <c r="K10" s="22">
        <f>RO!$U$14</f>
        <v>13.244617632735753</v>
      </c>
      <c r="L10" s="22">
        <f>RO!$U$15</f>
        <v>0</v>
      </c>
      <c r="M10" s="23">
        <f t="shared" si="11"/>
        <v>203934</v>
      </c>
      <c r="O10" s="22">
        <f>RO!$U$17</f>
        <v>24071.42734527299</v>
      </c>
      <c r="P10" s="22">
        <f>RO!U18</f>
        <v>3.4825783406413393</v>
      </c>
      <c r="Q10" s="22">
        <f>RO!$U$19</f>
        <v>29548.090076386368</v>
      </c>
      <c r="R10" s="23">
        <f t="shared" si="12"/>
        <v>53623</v>
      </c>
      <c r="T10" s="22">
        <f>RO!$X$7</f>
        <v>7936.5726547270106</v>
      </c>
      <c r="U10" s="22">
        <f>RO!$X$8</f>
        <v>1.1482383503825986</v>
      </c>
      <c r="V10" s="22">
        <f>RO!$X$9</f>
        <v>9742.2791069226078</v>
      </c>
      <c r="W10" s="23">
        <f t="shared" si="9"/>
        <v>17680</v>
      </c>
      <c r="Y10" s="22">
        <f>RO!$X$11</f>
        <v>26081</v>
      </c>
      <c r="AA10" s="22">
        <f>RO!$X$12</f>
        <v>5004</v>
      </c>
      <c r="AC10" s="22">
        <f>RO!$X$14</f>
        <v>4750</v>
      </c>
      <c r="AE10" s="22">
        <f>RO!$X$15</f>
        <v>949</v>
      </c>
      <c r="AG10" s="22">
        <f>RO!$X$17</f>
        <v>311397</v>
      </c>
      <c r="AI10" s="22">
        <f>RO!$X$18</f>
        <v>86739</v>
      </c>
      <c r="AK10" s="22">
        <f t="shared" si="8"/>
        <v>712075</v>
      </c>
      <c r="AM10" s="115" t="str">
        <f>IF((AK10=RO!$X$21),"ok","erro")</f>
        <v>ok</v>
      </c>
    </row>
    <row r="11" spans="1:39">
      <c r="A11" s="20" t="s">
        <v>26</v>
      </c>
      <c r="C11" s="22">
        <f>RR!$U$7</f>
        <v>585.99356568364612</v>
      </c>
      <c r="D11" s="22">
        <f>RR!$U$8</f>
        <v>0.14840728644242063</v>
      </c>
      <c r="E11" s="22">
        <f>RR!$U$9</f>
        <v>137.85802702991145</v>
      </c>
      <c r="F11" s="23">
        <f t="shared" si="10"/>
        <v>724</v>
      </c>
      <c r="H11" s="22">
        <f>RR!$U$11</f>
        <v>41680.006434316354</v>
      </c>
      <c r="I11" s="22">
        <f>RR!$U$12</f>
        <v>1417</v>
      </c>
      <c r="J11" s="22">
        <f>RR!$U$13</f>
        <v>28</v>
      </c>
      <c r="K11" s="22">
        <f>RR!$U$14</f>
        <v>10.555775721877581</v>
      </c>
      <c r="L11" s="22">
        <f>RR!$U$15</f>
        <v>8360.4377899617684</v>
      </c>
      <c r="M11" s="23">
        <f t="shared" si="11"/>
        <v>51496</v>
      </c>
      <c r="O11" s="22">
        <f>RR!$U$17</f>
        <v>4670.6015173927572</v>
      </c>
      <c r="P11" s="22">
        <f>RR!U18</f>
        <v>2.6723560681639356</v>
      </c>
      <c r="Q11" s="22">
        <f>RR!$U$19</f>
        <v>8363.7261265390789</v>
      </c>
      <c r="R11" s="23">
        <f t="shared" si="12"/>
        <v>13037</v>
      </c>
      <c r="T11" s="22">
        <f>RR!$X$7</f>
        <v>2837.3984826072433</v>
      </c>
      <c r="U11" s="22">
        <f>RR!$X$8</f>
        <v>1.623460923514358</v>
      </c>
      <c r="V11" s="22">
        <f>RR!$X$9</f>
        <v>5080.9780564692428</v>
      </c>
      <c r="W11" s="23">
        <f t="shared" si="9"/>
        <v>7920</v>
      </c>
      <c r="Y11" s="22">
        <f>RR!$X$11</f>
        <v>3671</v>
      </c>
      <c r="AA11" s="22">
        <f>RR!$X$12</f>
        <v>480</v>
      </c>
      <c r="AC11" s="22">
        <f>RR!$X$14</f>
        <v>785</v>
      </c>
      <c r="AE11" s="22">
        <f>RR!$X$15</f>
        <v>555</v>
      </c>
      <c r="AG11" s="22">
        <f>RR!$X$17</f>
        <v>63012</v>
      </c>
      <c r="AI11" s="22">
        <f>RR!$X$18</f>
        <v>14787</v>
      </c>
      <c r="AK11" s="22">
        <f t="shared" si="8"/>
        <v>156467</v>
      </c>
      <c r="AM11" s="115" t="str">
        <f>IF((AK11=RR!$X$21),"ok","erro")</f>
        <v>ok</v>
      </c>
    </row>
    <row r="12" spans="1:39">
      <c r="A12" s="20" t="s">
        <v>27</v>
      </c>
      <c r="C12" s="22">
        <f>TO!$U$7</f>
        <v>1654.7533404806106</v>
      </c>
      <c r="D12" s="22">
        <f>TO!$U$8</f>
        <v>0.15921370439718885</v>
      </c>
      <c r="E12" s="22">
        <f>TO!$U$9</f>
        <v>276.08744581499218</v>
      </c>
      <c r="F12" s="23">
        <f t="shared" si="10"/>
        <v>1931</v>
      </c>
      <c r="H12" s="22">
        <f>TO!$U$11</f>
        <v>129433.2466595194</v>
      </c>
      <c r="I12" s="22">
        <f>TO!$U$12</f>
        <v>10628</v>
      </c>
      <c r="J12" s="22">
        <f>TO!$U$13</f>
        <v>198</v>
      </c>
      <c r="K12" s="22">
        <f>TO!$U$14</f>
        <v>12.453545896336436</v>
      </c>
      <c r="L12" s="22">
        <f>TO!$U$15</f>
        <v>10769.299794584265</v>
      </c>
      <c r="M12" s="23">
        <f t="shared" si="11"/>
        <v>151041</v>
      </c>
      <c r="O12" s="22">
        <f>TO!$U$17</f>
        <v>17638.137586919751</v>
      </c>
      <c r="P12" s="22">
        <f>TO!$U$18</f>
        <v>3.0052720412058989</v>
      </c>
      <c r="Q12" s="22">
        <f>TO!$U$19</f>
        <v>18807.857141039043</v>
      </c>
      <c r="R12" s="23">
        <f t="shared" si="12"/>
        <v>36449</v>
      </c>
      <c r="T12" s="22">
        <f>TO!$X$7</f>
        <v>8110.8624130802491</v>
      </c>
      <c r="U12" s="22">
        <f>TO!$X$8</f>
        <v>1.3819683580513811</v>
      </c>
      <c r="V12" s="22">
        <f>TO!$X$9</f>
        <v>8648.7556185616995</v>
      </c>
      <c r="W12" s="23">
        <f t="shared" si="9"/>
        <v>16761</v>
      </c>
      <c r="Y12" s="22">
        <f>TO!$X$11</f>
        <v>20438</v>
      </c>
      <c r="AA12" s="22">
        <f>TO!$X$12</f>
        <v>3672</v>
      </c>
      <c r="AC12" s="22">
        <f>TO!$X$14</f>
        <v>4312</v>
      </c>
      <c r="AE12" s="22">
        <f>TO!$X$15</f>
        <v>1335</v>
      </c>
      <c r="AG12" s="22">
        <f>TO!$X$17</f>
        <v>177796</v>
      </c>
      <c r="AI12" s="22">
        <f>TO!$X$18</f>
        <v>70922</v>
      </c>
      <c r="AK12" s="22">
        <f t="shared" si="8"/>
        <v>484657</v>
      </c>
      <c r="AM12" s="115" t="str">
        <f>IF((AK12=TO!$X$21),"ok","erro")</f>
        <v>ok</v>
      </c>
    </row>
    <row r="13" spans="1:39">
      <c r="A13" s="19" t="s">
        <v>28</v>
      </c>
      <c r="C13" s="23">
        <f>SUM(C14:C22)</f>
        <v>52060.240314888317</v>
      </c>
      <c r="D13" s="23">
        <f t="shared" ref="D13:AE13" si="13">SUM(D14:D22)</f>
        <v>3.055007538724567</v>
      </c>
      <c r="E13" s="23">
        <f t="shared" si="13"/>
        <v>20019.704677572965</v>
      </c>
      <c r="F13" s="23">
        <f t="shared" si="10"/>
        <v>72083</v>
      </c>
      <c r="H13" s="23">
        <f t="shared" si="13"/>
        <v>3681363.8189776856</v>
      </c>
      <c r="I13" s="23">
        <f>SUM(I14:I22)</f>
        <v>384459</v>
      </c>
      <c r="J13" s="23">
        <f t="shared" si="13"/>
        <v>228055</v>
      </c>
      <c r="K13" s="23">
        <f t="shared" si="13"/>
        <v>227.89832878718153</v>
      </c>
      <c r="L13" s="23">
        <f t="shared" si="13"/>
        <v>846483.28269352729</v>
      </c>
      <c r="M13" s="23">
        <f t="shared" si="11"/>
        <v>5140589</v>
      </c>
      <c r="O13" s="23">
        <f t="shared" si="13"/>
        <v>275255.06757234194</v>
      </c>
      <c r="P13" s="23">
        <f t="shared" si="13"/>
        <v>36.325332341184549</v>
      </c>
      <c r="Q13" s="23">
        <f t="shared" ref="Q13" si="14">SUM(Q14:Q22)</f>
        <v>456626.60709531687</v>
      </c>
      <c r="R13" s="23">
        <f t="shared" si="12"/>
        <v>731918</v>
      </c>
      <c r="T13" s="23">
        <f t="shared" si="13"/>
        <v>148536.93242765806</v>
      </c>
      <c r="U13" s="23">
        <f t="shared" si="13"/>
        <v>17.72133133283387</v>
      </c>
      <c r="V13" s="23">
        <f t="shared" si="13"/>
        <v>242648.34624100913</v>
      </c>
      <c r="W13" s="23">
        <f t="shared" si="9"/>
        <v>391203</v>
      </c>
      <c r="Y13" s="23">
        <f t="shared" si="13"/>
        <v>381444</v>
      </c>
      <c r="AA13" s="23">
        <f>SUM(AA14:AA22)</f>
        <v>47112</v>
      </c>
      <c r="AC13" s="23">
        <f t="shared" si="13"/>
        <v>98429</v>
      </c>
      <c r="AE13" s="23">
        <f t="shared" si="13"/>
        <v>69258</v>
      </c>
      <c r="AG13" s="23">
        <f>SUM(AG14:AG22)</f>
        <v>4758242</v>
      </c>
      <c r="AI13" s="23">
        <f>SUM(AI14:AI22)</f>
        <v>625316</v>
      </c>
      <c r="AK13" s="23">
        <f t="shared" si="8"/>
        <v>12315594</v>
      </c>
    </row>
    <row r="14" spans="1:39">
      <c r="A14" s="20" t="s">
        <v>29</v>
      </c>
      <c r="C14" s="22">
        <f>AL!$U$7</f>
        <v>2338.0994228401014</v>
      </c>
      <c r="D14" s="22">
        <f>AL!$U$8</f>
        <v>0</v>
      </c>
      <c r="E14" s="22">
        <f>AL!$U$9</f>
        <v>892.9005771598986</v>
      </c>
      <c r="F14" s="23">
        <f t="shared" si="10"/>
        <v>3231</v>
      </c>
      <c r="H14" s="22">
        <f>AL!$U$11</f>
        <v>192753.90057715992</v>
      </c>
      <c r="I14" s="22">
        <f>AL!$U$12</f>
        <v>23813</v>
      </c>
      <c r="J14" s="22">
        <f>AL!$U$13</f>
        <v>18130</v>
      </c>
      <c r="K14" s="22">
        <f>AL!$U$14</f>
        <v>0</v>
      </c>
      <c r="L14" s="22">
        <f>AL!$U$15</f>
        <v>31668.099422840081</v>
      </c>
      <c r="M14" s="23">
        <f t="shared" si="11"/>
        <v>266365</v>
      </c>
      <c r="O14" s="22">
        <f>AL!$U$17</f>
        <v>11977.494867144113</v>
      </c>
      <c r="P14" s="22">
        <f>AL!$U$18</f>
        <v>0</v>
      </c>
      <c r="Q14" s="22">
        <f>AL!$U$19</f>
        <v>20623.505132855887</v>
      </c>
      <c r="R14" s="23">
        <f t="shared" si="12"/>
        <v>32601</v>
      </c>
      <c r="T14" s="22">
        <f>AL!$X$7</f>
        <v>7670.5051328558875</v>
      </c>
      <c r="U14" s="22">
        <f>AL!$X$8</f>
        <v>0</v>
      </c>
      <c r="V14" s="22">
        <f>AL!$X$9</f>
        <v>13207.494867144113</v>
      </c>
      <c r="W14" s="23">
        <f t="shared" si="9"/>
        <v>20878</v>
      </c>
      <c r="Y14" s="22">
        <f>AL!$X$11</f>
        <v>18251</v>
      </c>
      <c r="AA14" s="22">
        <f>AL!$X$12</f>
        <v>2034</v>
      </c>
      <c r="AC14" s="22">
        <f>AL!$X$14</f>
        <v>5916</v>
      </c>
      <c r="AE14" s="22">
        <f>AL!$X$15</f>
        <v>5264</v>
      </c>
      <c r="AG14" s="22">
        <f>AL!$X$17</f>
        <v>187254</v>
      </c>
      <c r="AI14" s="22">
        <f>AL!$X$18</f>
        <v>27678</v>
      </c>
      <c r="AK14" s="22">
        <f t="shared" si="8"/>
        <v>569472</v>
      </c>
      <c r="AM14" s="115" t="str">
        <f>IF((AK14=AL!$X$21),"ok","erro")</f>
        <v>ok</v>
      </c>
    </row>
    <row r="15" spans="1:39">
      <c r="A15" s="20" t="s">
        <v>30</v>
      </c>
      <c r="C15" s="22">
        <f>BA!$U$7</f>
        <v>10866.307788556309</v>
      </c>
      <c r="D15" s="22">
        <f>BA!$U$8</f>
        <v>0.62294191625369422</v>
      </c>
      <c r="E15" s="22">
        <f>BA!$U$9</f>
        <v>4917.0692695274374</v>
      </c>
      <c r="F15" s="23">
        <f t="shared" si="10"/>
        <v>15784</v>
      </c>
      <c r="H15" s="22">
        <f>BA!$U$11</f>
        <v>937692.69221144367</v>
      </c>
      <c r="I15" s="22">
        <f>BA!$U$12</f>
        <v>95131</v>
      </c>
      <c r="J15" s="22">
        <f>BA!$U$13</f>
        <v>46934</v>
      </c>
      <c r="K15" s="22">
        <f>BA!$U$14</f>
        <v>53.755893345689401</v>
      </c>
      <c r="L15" s="22">
        <f>BA!$U$15</f>
        <v>282246.55189521064</v>
      </c>
      <c r="M15" s="23">
        <f t="shared" si="11"/>
        <v>1362058</v>
      </c>
      <c r="O15" s="22">
        <f>BA!$U$17</f>
        <v>69796.410321676827</v>
      </c>
      <c r="P15" s="22">
        <f>BA!$U$18</f>
        <v>9.0092145838134456</v>
      </c>
      <c r="Q15" s="22">
        <f>BA!$U$19</f>
        <v>158468.58046373934</v>
      </c>
      <c r="R15" s="23">
        <f t="shared" si="12"/>
        <v>228274</v>
      </c>
      <c r="T15" s="22">
        <f>BA!$X$7</f>
        <v>27982.589678323162</v>
      </c>
      <c r="U15" s="22">
        <f>BA!$X$8</f>
        <v>3.6119501541834325</v>
      </c>
      <c r="V15" s="22">
        <f>BA!$X$9</f>
        <v>63532.798371522658</v>
      </c>
      <c r="W15" s="23">
        <f t="shared" si="9"/>
        <v>91519</v>
      </c>
      <c r="Y15" s="22">
        <f>BA!$X$11</f>
        <v>102086</v>
      </c>
      <c r="AA15" s="22">
        <f>BA!$X$12</f>
        <v>17255</v>
      </c>
      <c r="AC15" s="22">
        <f>BA!$X$14</f>
        <v>32813</v>
      </c>
      <c r="AE15" s="22">
        <f>BA!$X$15</f>
        <v>22881</v>
      </c>
      <c r="AG15" s="22">
        <f>BA!$X$17</f>
        <v>957123</v>
      </c>
      <c r="AI15" s="22">
        <f>BA!$X$18</f>
        <v>130129</v>
      </c>
      <c r="AK15" s="22">
        <f t="shared" si="8"/>
        <v>2959922</v>
      </c>
      <c r="AM15" s="115" t="str">
        <f>IF((AK15=BA!$X$21),"ok","erro")</f>
        <v>ok</v>
      </c>
    </row>
    <row r="16" spans="1:39">
      <c r="A16" s="20" t="s">
        <v>31</v>
      </c>
      <c r="C16" s="22">
        <f>CE!$U$7</f>
        <v>12854.636922097947</v>
      </c>
      <c r="D16" s="22">
        <f>CE!$U$8</f>
        <v>0.3573300012103573</v>
      </c>
      <c r="E16" s="22">
        <f>CE!$U$9</f>
        <v>4875.0057479008428</v>
      </c>
      <c r="F16" s="23">
        <f t="shared" si="10"/>
        <v>17730</v>
      </c>
      <c r="H16" s="22">
        <f>CE!$U$11</f>
        <v>609242.363077902</v>
      </c>
      <c r="I16" s="22">
        <f>CE!$U$12</f>
        <v>62708</v>
      </c>
      <c r="J16" s="22">
        <f>CE!$U$13</f>
        <v>35050</v>
      </c>
      <c r="K16" s="22">
        <f>CE!$U$14</f>
        <v>16.935567737556994</v>
      </c>
      <c r="L16" s="22">
        <f>CE!$U$15</f>
        <v>133291.70135436044</v>
      </c>
      <c r="M16" s="23">
        <f t="shared" si="11"/>
        <v>840309</v>
      </c>
      <c r="O16" s="22">
        <f>CE!$U$17</f>
        <v>53730.126699612367</v>
      </c>
      <c r="P16" s="22">
        <f>CE!$U$18</f>
        <v>2.2668184932845179</v>
      </c>
      <c r="Q16" s="22">
        <f>CE!$U$19</f>
        <v>58742.606481894349</v>
      </c>
      <c r="R16" s="23">
        <f t="shared" si="12"/>
        <v>112475</v>
      </c>
      <c r="T16" s="22">
        <f>CE!$X$7</f>
        <v>34138.873300387626</v>
      </c>
      <c r="U16" s="22">
        <f>CE!$X$8</f>
        <v>1.4402837679808727</v>
      </c>
      <c r="V16" s="22">
        <f>CE!$X$9</f>
        <v>37323.686415844393</v>
      </c>
      <c r="W16" s="23">
        <f t="shared" si="9"/>
        <v>71464</v>
      </c>
      <c r="Y16" s="22">
        <f>CE!$X$11</f>
        <v>58580</v>
      </c>
      <c r="AA16" s="22">
        <f>CE!$X$12</f>
        <v>6661</v>
      </c>
      <c r="AC16" s="22">
        <f>CE!$X$14</f>
        <v>13164</v>
      </c>
      <c r="AE16" s="22">
        <f>CE!$X$15</f>
        <v>9308</v>
      </c>
      <c r="AG16" s="22">
        <f>CE!$X$17</f>
        <v>990192</v>
      </c>
      <c r="AI16" s="22">
        <f>CE!$X$18</f>
        <v>111145</v>
      </c>
      <c r="AK16" s="22">
        <f t="shared" si="8"/>
        <v>2231028</v>
      </c>
      <c r="AM16" s="115" t="str">
        <f>IF((AK16=CE!$X$21),"ok","erro")</f>
        <v>ok</v>
      </c>
    </row>
    <row r="17" spans="1:39">
      <c r="A17" s="20" t="s">
        <v>32</v>
      </c>
      <c r="C17" s="22">
        <f>MA!$U$7</f>
        <v>5565.0679927172559</v>
      </c>
      <c r="D17" s="22">
        <f>MA!$U$8</f>
        <v>0.93200728274405265</v>
      </c>
      <c r="E17" s="22">
        <f>MA!$U$9</f>
        <v>0</v>
      </c>
      <c r="F17" s="23">
        <f t="shared" si="10"/>
        <v>5566</v>
      </c>
      <c r="H17" s="22">
        <f>MA!$U$11</f>
        <v>308745.99129985663</v>
      </c>
      <c r="I17" s="22">
        <f>MA!$U$12</f>
        <v>13573</v>
      </c>
      <c r="J17" s="22">
        <f>MA!$U$13</f>
        <v>170</v>
      </c>
      <c r="K17" s="22">
        <f>MA!$U$14</f>
        <v>54.008700143371243</v>
      </c>
      <c r="L17" s="22">
        <f>MA!$U$15</f>
        <v>0</v>
      </c>
      <c r="M17" s="23">
        <f t="shared" si="11"/>
        <v>322543</v>
      </c>
      <c r="O17" s="22">
        <f>MA!$U$17</f>
        <v>33719.436328943666</v>
      </c>
      <c r="P17" s="22">
        <f>MA!$U$18</f>
        <v>12.287225010382826</v>
      </c>
      <c r="Q17" s="22">
        <f>MA!$U$19</f>
        <v>39648.276446045951</v>
      </c>
      <c r="R17" s="23">
        <f t="shared" si="12"/>
        <v>73380</v>
      </c>
      <c r="T17" s="22">
        <f>MA!$X$7</f>
        <v>10351.563671056338</v>
      </c>
      <c r="U17" s="22">
        <f>MA!$X$8</f>
        <v>3.7720675634882355</v>
      </c>
      <c r="V17" s="22">
        <f>MA!$X$9</f>
        <v>12171.664261380174</v>
      </c>
      <c r="W17" s="23">
        <f t="shared" si="9"/>
        <v>22527</v>
      </c>
      <c r="Y17" s="22">
        <f>MA!$X$11</f>
        <v>31732</v>
      </c>
      <c r="AA17" s="22">
        <f>MA!$X$12</f>
        <v>2682</v>
      </c>
      <c r="AC17" s="22">
        <f>MA!$X$14</f>
        <v>6710</v>
      </c>
      <c r="AE17" s="22">
        <f>MA!$X$15</f>
        <v>4002</v>
      </c>
      <c r="AG17" s="22">
        <f>MA!$X$17</f>
        <v>576053</v>
      </c>
      <c r="AI17" s="22">
        <f>MA!$X$18</f>
        <v>87881</v>
      </c>
      <c r="AK17" s="22">
        <f>SUM(F17,M17,R17,W17,Y17,AA17,AC17,AE17,AG17,AI17)</f>
        <v>1133076</v>
      </c>
      <c r="AM17" s="115" t="str">
        <f>IF((AK17=MA!$X$21),"ok","erro")</f>
        <v>ok</v>
      </c>
    </row>
    <row r="18" spans="1:39">
      <c r="A18" s="20" t="s">
        <v>33</v>
      </c>
      <c r="C18" s="22">
        <f>PB!$U$7</f>
        <v>3543.9666020492937</v>
      </c>
      <c r="D18" s="22">
        <f>PB!$U$8</f>
        <v>2.0984882628908963E-2</v>
      </c>
      <c r="E18" s="22">
        <f>PB!$U$9</f>
        <v>1438.0124130680774</v>
      </c>
      <c r="F18" s="23">
        <f>SUM(C18:E18)</f>
        <v>4982</v>
      </c>
      <c r="H18" s="22">
        <f>PB!$U$11</f>
        <v>279013.0333979507</v>
      </c>
      <c r="I18" s="22">
        <f>PB!$U$12</f>
        <v>29183</v>
      </c>
      <c r="J18" s="22">
        <f>PB!$U$13</f>
        <v>20787</v>
      </c>
      <c r="K18" s="22">
        <f>PB!$U$14</f>
        <v>1.6521193383377977</v>
      </c>
      <c r="L18" s="22">
        <f>PB!$U$15</f>
        <v>63243.314482710965</v>
      </c>
      <c r="M18" s="23">
        <f t="shared" si="11"/>
        <v>392228</v>
      </c>
      <c r="O18" s="22">
        <f>PB!$U$17</f>
        <v>18425.927211112255</v>
      </c>
      <c r="P18" s="22">
        <f>PB!$U$18</f>
        <v>0.19814328858774388</v>
      </c>
      <c r="Q18" s="22">
        <f>PB!$U$19</f>
        <v>28614.874645599157</v>
      </c>
      <c r="R18" s="23">
        <f t="shared" si="12"/>
        <v>47041</v>
      </c>
      <c r="T18" s="22">
        <f>PB!$X$7</f>
        <v>11973.072788887743</v>
      </c>
      <c r="U18" s="22">
        <f>PB!$X$8</f>
        <v>0.12875249042917858</v>
      </c>
      <c r="V18" s="22">
        <f>PB!$X$9</f>
        <v>18593.79845862183</v>
      </c>
      <c r="W18" s="23">
        <f>SUM(T18:V18)</f>
        <v>30567</v>
      </c>
      <c r="Y18" s="22">
        <f>PB!$X$11</f>
        <v>24776</v>
      </c>
      <c r="AA18" s="22">
        <f>PB!$X$12</f>
        <v>2274</v>
      </c>
      <c r="AC18" s="22">
        <f>PB!$X$14</f>
        <v>6075</v>
      </c>
      <c r="AE18" s="22">
        <f>PB!$X$15</f>
        <v>3761</v>
      </c>
      <c r="AG18" s="22">
        <f>PB!$X$17</f>
        <v>352008</v>
      </c>
      <c r="AI18" s="22">
        <f>PB!$X$18</f>
        <v>49121</v>
      </c>
      <c r="AK18" s="22">
        <f t="shared" si="8"/>
        <v>912833</v>
      </c>
      <c r="AM18" s="115" t="str">
        <f>IF((AK18=PB!$X$21),"ok","erro")</f>
        <v>ok</v>
      </c>
    </row>
    <row r="19" spans="1:39">
      <c r="A19" s="20" t="s">
        <v>34</v>
      </c>
      <c r="C19" s="22">
        <f>PE!$U$7</f>
        <v>7315.3408454351729</v>
      </c>
      <c r="D19" s="22">
        <f>PE!$U$8</f>
        <v>0.73396854551720025</v>
      </c>
      <c r="E19" s="22">
        <f>PE!$U$9</f>
        <v>3339.9251860193099</v>
      </c>
      <c r="F19" s="23">
        <f t="shared" si="10"/>
        <v>10656</v>
      </c>
      <c r="H19" s="22">
        <f>PE!$U$11</f>
        <v>724319.65915456472</v>
      </c>
      <c r="I19" s="22">
        <f>PE!$U$12</f>
        <v>93746</v>
      </c>
      <c r="J19" s="22">
        <f>PE!$U$13</f>
        <v>43607</v>
      </c>
      <c r="K19" s="22">
        <f>PE!$U$14</f>
        <v>72.673011135309935</v>
      </c>
      <c r="L19" s="22">
        <f>PE!$U$15</f>
        <v>193345.66783429997</v>
      </c>
      <c r="M19" s="23">
        <f t="shared" si="11"/>
        <v>1055091</v>
      </c>
      <c r="O19" s="22">
        <f>PE!$U$17</f>
        <v>37339.893918357418</v>
      </c>
      <c r="P19" s="22">
        <f>PE!$U$18</f>
        <v>7.7415910917188739</v>
      </c>
      <c r="Q19" s="22">
        <f>PE!$U$19</f>
        <v>75047.364490550855</v>
      </c>
      <c r="R19" s="23">
        <f t="shared" si="12"/>
        <v>112395</v>
      </c>
      <c r="T19" s="22">
        <f>PE!$X$7</f>
        <v>28223.106081642578</v>
      </c>
      <c r="U19" s="22">
        <f>PE!$X$8</f>
        <v>5.8514292274194304</v>
      </c>
      <c r="V19" s="22">
        <f>PE!$X$9</f>
        <v>56724.042489130006</v>
      </c>
      <c r="W19" s="23">
        <f t="shared" si="9"/>
        <v>84953</v>
      </c>
      <c r="Y19" s="22">
        <f>PE!$X$11</f>
        <v>80435</v>
      </c>
      <c r="AA19" s="22">
        <f>PE!$X$12</f>
        <v>10147</v>
      </c>
      <c r="AC19" s="22">
        <f>PE!$X$14</f>
        <v>17475</v>
      </c>
      <c r="AE19" s="22">
        <f>PE!$X$15</f>
        <v>14563</v>
      </c>
      <c r="AG19" s="22">
        <f>PE!$X$17</f>
        <v>797313</v>
      </c>
      <c r="AI19" s="22">
        <f>PE!$X$18</f>
        <v>77933</v>
      </c>
      <c r="AK19" s="22">
        <f t="shared" si="8"/>
        <v>2260961</v>
      </c>
      <c r="AM19" s="115" t="str">
        <f>IF((AK19=PE!$X$21),"ok","erro")</f>
        <v>ok</v>
      </c>
    </row>
    <row r="20" spans="1:39">
      <c r="A20" s="20" t="s">
        <v>35</v>
      </c>
      <c r="C20" s="22">
        <f>PI!$U$7</f>
        <v>2657.1846479248552</v>
      </c>
      <c r="D20" s="22">
        <f>PI!$U$8</f>
        <v>0.2583111606327293</v>
      </c>
      <c r="E20" s="22">
        <f>PI!$U$9</f>
        <v>330.55704091451207</v>
      </c>
      <c r="F20" s="23">
        <f t="shared" si="10"/>
        <v>2988</v>
      </c>
      <c r="H20" s="22">
        <f>PI!$U$11</f>
        <v>210927.81535207515</v>
      </c>
      <c r="I20" s="22">
        <f>PI!$U$12</f>
        <v>18061</v>
      </c>
      <c r="J20" s="22">
        <f>PI!$U$13</f>
        <v>523</v>
      </c>
      <c r="K20" s="22">
        <f>PI!$U$14</f>
        <v>20.50478834277601</v>
      </c>
      <c r="L20" s="22">
        <f>PI!$U$15</f>
        <v>7655.6798595820728</v>
      </c>
      <c r="M20" s="23">
        <f t="shared" si="11"/>
        <v>237188</v>
      </c>
      <c r="O20" s="22">
        <f>PI!$U$17</f>
        <v>20202.042580913439</v>
      </c>
      <c r="P20" s="22">
        <f>PI!$U$18</f>
        <v>3.7976408887043362</v>
      </c>
      <c r="Q20" s="22">
        <f>PI!$U$19</f>
        <v>23723.159778197856</v>
      </c>
      <c r="R20" s="23">
        <f t="shared" si="12"/>
        <v>43929</v>
      </c>
      <c r="T20" s="22">
        <f>PI!$X$7</f>
        <v>12975.957419086564</v>
      </c>
      <c r="U20" s="22">
        <f>PI!$X$8</f>
        <v>2.4392596079051145</v>
      </c>
      <c r="V20" s="22">
        <f>PI!$X$9</f>
        <v>15237.603321305531</v>
      </c>
      <c r="W20" s="23">
        <f t="shared" si="9"/>
        <v>28216</v>
      </c>
      <c r="Y20" s="22">
        <f>PI!$X$11</f>
        <v>21063</v>
      </c>
      <c r="AA20" s="22">
        <f>PI!$X$12</f>
        <v>1861</v>
      </c>
      <c r="AC20" s="22">
        <f>PI!$X$14</f>
        <v>5110</v>
      </c>
      <c r="AE20" s="22">
        <f>PI!$X$15</f>
        <v>2388</v>
      </c>
      <c r="AG20" s="22">
        <f>PI!$X$17</f>
        <v>387918</v>
      </c>
      <c r="AI20" s="22">
        <f>PI!$X$18</f>
        <v>65911</v>
      </c>
      <c r="AK20" s="22">
        <f t="shared" si="8"/>
        <v>796572</v>
      </c>
      <c r="AM20" s="115" t="str">
        <f>IF((AK20=PI!$X$21),"ok","erro")</f>
        <v>ok</v>
      </c>
    </row>
    <row r="21" spans="1:39">
      <c r="A21" s="20" t="s">
        <v>36</v>
      </c>
      <c r="C21" s="22">
        <f>RN!$U$7</f>
        <v>5123.0959041837605</v>
      </c>
      <c r="D21" s="22">
        <f>RN!$U$8</f>
        <v>8.4068422935160925E-2</v>
      </c>
      <c r="E21" s="22">
        <f>RN!$U$9</f>
        <v>3339.8200273933044</v>
      </c>
      <c r="F21" s="23">
        <f t="shared" si="10"/>
        <v>8463</v>
      </c>
      <c r="H21" s="22">
        <f>RN!$U$11</f>
        <v>249561.90409581625</v>
      </c>
      <c r="I21" s="22">
        <f>RN!$U$12</f>
        <v>29879</v>
      </c>
      <c r="J21" s="22">
        <f>RN!$U$13</f>
        <v>43621</v>
      </c>
      <c r="K21" s="22">
        <f>RN!$U$14</f>
        <v>4.095233837957494</v>
      </c>
      <c r="L21" s="22">
        <f>RN!$U$15</f>
        <v>89193.000670345791</v>
      </c>
      <c r="M21" s="23">
        <f t="shared" si="11"/>
        <v>412259</v>
      </c>
      <c r="O21" s="22">
        <f>RN!$U$17</f>
        <v>19381.576871868117</v>
      </c>
      <c r="P21" s="22">
        <f>RN!$U$18</f>
        <v>0.5114932252545259</v>
      </c>
      <c r="Q21" s="22">
        <f>RN!$U$19</f>
        <v>32108.911634906628</v>
      </c>
      <c r="R21" s="23">
        <f t="shared" si="12"/>
        <v>51491</v>
      </c>
      <c r="T21" s="22">
        <f>RN!$X$7</f>
        <v>11716.423128131886</v>
      </c>
      <c r="U21" s="22">
        <f>RN!$X$8</f>
        <v>0.30920451384736225</v>
      </c>
      <c r="V21" s="22">
        <f>RN!$X$9</f>
        <v>19410.267667354266</v>
      </c>
      <c r="W21" s="23">
        <f t="shared" si="9"/>
        <v>31127</v>
      </c>
      <c r="Y21" s="22">
        <f>RN!$X$11</f>
        <v>26002</v>
      </c>
      <c r="AA21" s="22">
        <f>RN!$X$12</f>
        <v>2477</v>
      </c>
      <c r="AC21" s="22">
        <f>RN!$X$14</f>
        <v>5768</v>
      </c>
      <c r="AE21" s="22">
        <f>RN!$X$15</f>
        <v>4063</v>
      </c>
      <c r="AG21" s="22">
        <f>RN!$X$17</f>
        <v>327392</v>
      </c>
      <c r="AI21" s="22">
        <f>RN!$X$18</f>
        <v>44474</v>
      </c>
      <c r="AK21" s="22">
        <f t="shared" si="8"/>
        <v>913516</v>
      </c>
      <c r="AM21" s="115" t="str">
        <f>IF((AK21=RN!$X$21),"ok","erro")</f>
        <v>ok</v>
      </c>
    </row>
    <row r="22" spans="1:39">
      <c r="A22" s="20" t="s">
        <v>37</v>
      </c>
      <c r="C22" s="22">
        <f>SE!$U$7</f>
        <v>1796.5401890836145</v>
      </c>
      <c r="D22" s="22">
        <f>SE!$U$8</f>
        <v>4.5395326802463387E-2</v>
      </c>
      <c r="E22" s="22">
        <f>SE!$U$9</f>
        <v>886.41441558958309</v>
      </c>
      <c r="F22" s="23">
        <f t="shared" si="10"/>
        <v>2683</v>
      </c>
      <c r="H22" s="22">
        <f>SE!$U$11</f>
        <v>169106.45981091639</v>
      </c>
      <c r="I22" s="22">
        <f>SE!$U$12</f>
        <v>18365</v>
      </c>
      <c r="J22" s="22">
        <f>SE!$U$13</f>
        <v>19233</v>
      </c>
      <c r="K22" s="22">
        <f>SE!$U$14</f>
        <v>4.2730149061826523</v>
      </c>
      <c r="L22" s="22">
        <f>SE!$U$15</f>
        <v>45839.267174177425</v>
      </c>
      <c r="M22" s="23">
        <f t="shared" si="11"/>
        <v>252548</v>
      </c>
      <c r="O22" s="22">
        <f>SE!$U$17</f>
        <v>10682.158772713732</v>
      </c>
      <c r="P22" s="22">
        <f>SE!$U$18</f>
        <v>0.51320575943827862</v>
      </c>
      <c r="Q22" s="22">
        <f>SE!$U$19</f>
        <v>19649.328021526831</v>
      </c>
      <c r="R22" s="23">
        <f t="shared" si="12"/>
        <v>30332</v>
      </c>
      <c r="T22" s="22">
        <f>SE!$X$7</f>
        <v>3504.8412272862674</v>
      </c>
      <c r="U22" s="22">
        <f>SE!$X$8</f>
        <v>0.16838400758024363</v>
      </c>
      <c r="V22" s="22">
        <f>SE!$X$9</f>
        <v>6446.9903887061519</v>
      </c>
      <c r="W22" s="23">
        <f t="shared" si="9"/>
        <v>9952</v>
      </c>
      <c r="Y22" s="22">
        <f>SE!$X$11</f>
        <v>18519</v>
      </c>
      <c r="AA22" s="22">
        <f>SE!$X$12</f>
        <v>1721</v>
      </c>
      <c r="AC22" s="22">
        <f>SE!$X$14</f>
        <v>5398</v>
      </c>
      <c r="AE22" s="22">
        <f>SE!$X$15</f>
        <v>3028</v>
      </c>
      <c r="AG22" s="22">
        <f>SE!$X$17</f>
        <v>182989</v>
      </c>
      <c r="AI22" s="22">
        <f>SE!$X$18</f>
        <v>31044</v>
      </c>
      <c r="AK22" s="22">
        <f t="shared" si="8"/>
        <v>538214</v>
      </c>
      <c r="AM22" s="115" t="str">
        <f>IF((AK22=SE!$X$21),"ok","erro")</f>
        <v>ok</v>
      </c>
    </row>
    <row r="23" spans="1:39">
      <c r="A23" s="21" t="s">
        <v>38</v>
      </c>
      <c r="C23" s="23">
        <f>SUM(C24:C27)</f>
        <v>92809.698707089148</v>
      </c>
      <c r="D23" s="23">
        <f t="shared" ref="D23:AC23" si="15">SUM(D24:D27)</f>
        <v>12.871625383908395</v>
      </c>
      <c r="E23" s="23">
        <f t="shared" si="15"/>
        <v>117109.42966752694</v>
      </c>
      <c r="F23" s="23">
        <f t="shared" si="10"/>
        <v>209932</v>
      </c>
      <c r="H23" s="23">
        <f t="shared" si="15"/>
        <v>10866590.301292911</v>
      </c>
      <c r="I23" s="23">
        <f t="shared" si="15"/>
        <v>2637307</v>
      </c>
      <c r="J23" s="23">
        <f t="shared" si="15"/>
        <v>1284664</v>
      </c>
      <c r="K23" s="23">
        <f>SUM(K24:K27)</f>
        <v>1471.1454793957528</v>
      </c>
      <c r="L23" s="23">
        <f t="shared" ref="L23" si="16">SUM(L24:L27)</f>
        <v>9760421.5532276928</v>
      </c>
      <c r="M23" s="23">
        <f t="shared" si="11"/>
        <v>24550454</v>
      </c>
      <c r="O23" s="23">
        <f t="shared" si="15"/>
        <v>449901.07514266507</v>
      </c>
      <c r="P23" s="23">
        <f t="shared" si="15"/>
        <v>120.4898724869563</v>
      </c>
      <c r="Q23" s="23">
        <f t="shared" ref="Q23" si="17">SUM(Q24:Q27)</f>
        <v>1728724.4349848479</v>
      </c>
      <c r="R23" s="23">
        <f t="shared" si="12"/>
        <v>2178746</v>
      </c>
      <c r="T23" s="23">
        <f t="shared" si="15"/>
        <v>334705.92485733493</v>
      </c>
      <c r="U23" s="23">
        <f t="shared" si="15"/>
        <v>109.49302273252397</v>
      </c>
      <c r="V23" s="23">
        <f t="shared" si="15"/>
        <v>1386255.5821199324</v>
      </c>
      <c r="W23" s="23">
        <f t="shared" si="15"/>
        <v>1721071</v>
      </c>
      <c r="Y23" s="23">
        <f t="shared" si="15"/>
        <v>1103171</v>
      </c>
      <c r="AA23" s="23">
        <f t="shared" si="15"/>
        <v>241661</v>
      </c>
      <c r="AC23" s="23">
        <f t="shared" si="15"/>
        <v>266388</v>
      </c>
      <c r="AE23" s="23">
        <f>SUM(AE24:AE27)</f>
        <v>181383</v>
      </c>
      <c r="AG23" s="23">
        <f>SUM(AG24:AG27)</f>
        <v>6999059</v>
      </c>
      <c r="AI23" s="23">
        <f>SUM(AI24:AI27)</f>
        <v>1097270</v>
      </c>
      <c r="AK23" s="23">
        <f t="shared" si="8"/>
        <v>38549135</v>
      </c>
    </row>
    <row r="24" spans="1:39">
      <c r="A24" s="20" t="s">
        <v>39</v>
      </c>
      <c r="C24" s="22">
        <f>ES!$U$7</f>
        <v>5862.9188050362391</v>
      </c>
      <c r="D24" s="22">
        <f>ES!$U$8</f>
        <v>0.2160628408237244</v>
      </c>
      <c r="E24" s="22">
        <f>ES!$U$9</f>
        <v>3881.8651321229372</v>
      </c>
      <c r="F24" s="23">
        <f t="shared" si="10"/>
        <v>9745</v>
      </c>
      <c r="H24" s="22">
        <f>ES!$U$11</f>
        <v>459891.08119496377</v>
      </c>
      <c r="I24" s="22">
        <f>ES!$U$12</f>
        <v>53682</v>
      </c>
      <c r="J24" s="22">
        <f>ES!$U$13</f>
        <v>27769</v>
      </c>
      <c r="K24" s="22">
        <f>ES!$U$14</f>
        <v>16.948106698459014</v>
      </c>
      <c r="L24" s="22">
        <f>ES!$U$15</f>
        <v>223044.97069833777</v>
      </c>
      <c r="M24" s="23">
        <f t="shared" si="11"/>
        <v>764404</v>
      </c>
      <c r="O24" s="22">
        <f>ES!$U$17</f>
        <v>30779.08234396495</v>
      </c>
      <c r="P24" s="22">
        <f>ES!$U$18</f>
        <v>2.2810205299028894</v>
      </c>
      <c r="Q24" s="22">
        <f>ES!$U$19</f>
        <v>72098.636635505143</v>
      </c>
      <c r="R24" s="23">
        <f t="shared" si="12"/>
        <v>102880</v>
      </c>
      <c r="T24" s="22">
        <f>ES!$X$7</f>
        <v>20979.917656035053</v>
      </c>
      <c r="U24" s="22">
        <f>ES!$X$8</f>
        <v>1.554809930792544</v>
      </c>
      <c r="V24" s="22">
        <f>ES!$X$9</f>
        <v>49144.527534034154</v>
      </c>
      <c r="W24" s="23">
        <f t="shared" si="9"/>
        <v>70126</v>
      </c>
      <c r="Y24" s="22">
        <f>ES!$X$11</f>
        <v>62492</v>
      </c>
      <c r="AA24" s="22">
        <f>ES!$X$12</f>
        <v>16665</v>
      </c>
      <c r="AC24" s="22">
        <f>ES!$X$14</f>
        <v>13273</v>
      </c>
      <c r="AE24" s="22">
        <f>ES!$X$15</f>
        <v>6649</v>
      </c>
      <c r="AG24" s="22">
        <f>ES!$X$17</f>
        <v>363337</v>
      </c>
      <c r="AI24" s="22">
        <f>ES!$X$18</f>
        <v>80888</v>
      </c>
      <c r="AK24" s="22">
        <f t="shared" si="8"/>
        <v>1490459</v>
      </c>
      <c r="AM24" s="115" t="str">
        <f>IF((AK24=ES!$X$21),"ok","erro")</f>
        <v>ok</v>
      </c>
    </row>
    <row r="25" spans="1:39">
      <c r="A25" s="20" t="s">
        <v>40</v>
      </c>
      <c r="C25" s="22">
        <f>MG!$U$7</f>
        <v>16575.405938767559</v>
      </c>
      <c r="D25" s="22">
        <f>MG!$U$8</f>
        <v>0.6102552498523437</v>
      </c>
      <c r="E25" s="22">
        <f>MG!$U$9</f>
        <v>16015.983805982589</v>
      </c>
      <c r="F25" s="23">
        <f t="shared" si="10"/>
        <v>32592</v>
      </c>
      <c r="H25" s="22">
        <f>MG!$U$11</f>
        <v>2420473.5940612322</v>
      </c>
      <c r="I25" s="22">
        <f>MG!$U$12</f>
        <v>430856</v>
      </c>
      <c r="J25" s="22">
        <f>MG!$U$13</f>
        <v>35101</v>
      </c>
      <c r="K25" s="22">
        <f>MG!$U$14</f>
        <v>89.11436156462878</v>
      </c>
      <c r="L25" s="22">
        <f>MG!$U$15</f>
        <v>1872825.2915772032</v>
      </c>
      <c r="M25" s="23">
        <f t="shared" si="11"/>
        <v>4759345</v>
      </c>
      <c r="O25" s="22">
        <f>MG!$U$17</f>
        <v>158785.40025448045</v>
      </c>
      <c r="P25" s="22">
        <f>MG!$U$18</f>
        <v>12.418934002751485</v>
      </c>
      <c r="Q25" s="22">
        <f>MG!$U$19</f>
        <v>504462.18081151682</v>
      </c>
      <c r="R25" s="23">
        <f t="shared" si="12"/>
        <v>663260</v>
      </c>
      <c r="T25" s="22">
        <f>MG!$X$7</f>
        <v>49307.599745519561</v>
      </c>
      <c r="U25" s="22">
        <f>MG!$X$8</f>
        <v>3.8564491829311009</v>
      </c>
      <c r="V25" s="22">
        <f>MG!$X$9</f>
        <v>156650.54380529752</v>
      </c>
      <c r="W25" s="23">
        <f t="shared" si="9"/>
        <v>205962</v>
      </c>
      <c r="Y25" s="22">
        <f>MG!$X$11</f>
        <v>290348</v>
      </c>
      <c r="AA25" s="22">
        <f>MG!$X$12</f>
        <v>56445</v>
      </c>
      <c r="AC25" s="22">
        <f>MG!$X$14</f>
        <v>64784</v>
      </c>
      <c r="AE25" s="22">
        <f>MG!$X$15</f>
        <v>37601</v>
      </c>
      <c r="AG25" s="22">
        <f>MG!$X$17</f>
        <v>2043970</v>
      </c>
      <c r="AI25" s="22">
        <f>MG!$X$18</f>
        <v>217200</v>
      </c>
      <c r="AK25" s="22">
        <f t="shared" si="8"/>
        <v>8371507</v>
      </c>
      <c r="AM25" s="115" t="str">
        <f>IF((AK25=MG!$X$21),"ok","erro")</f>
        <v>ok</v>
      </c>
    </row>
    <row r="26" spans="1:39">
      <c r="A26" s="20" t="s">
        <v>41</v>
      </c>
      <c r="C26" s="22">
        <f>RJ!$U$7</f>
        <v>11523.754604187714</v>
      </c>
      <c r="D26" s="22">
        <f>RJ!$U$8</f>
        <v>0.55115373393709888</v>
      </c>
      <c r="E26" s="22">
        <f>RJ!$U$9</f>
        <v>21061.694242078349</v>
      </c>
      <c r="F26" s="23">
        <f t="shared" si="10"/>
        <v>32586</v>
      </c>
      <c r="H26" s="22">
        <f>RJ!$U$11</f>
        <v>1320683.2453958122</v>
      </c>
      <c r="I26" s="22">
        <f>RJ!$U$12</f>
        <v>310835</v>
      </c>
      <c r="J26" s="22">
        <f>RJ!$U$13</f>
        <v>927768</v>
      </c>
      <c r="K26" s="22">
        <f>RJ!$U$14</f>
        <v>63.165133851580322</v>
      </c>
      <c r="L26" s="22">
        <f>RJ!$U$15</f>
        <v>1175178.5894703362</v>
      </c>
      <c r="M26" s="23">
        <f t="shared" si="11"/>
        <v>3734528</v>
      </c>
      <c r="O26" s="22">
        <f>RJ!$U$17</f>
        <v>33489.464494854619</v>
      </c>
      <c r="P26" s="22">
        <f>RJ!$U$18</f>
        <v>3.5884191075456329</v>
      </c>
      <c r="Q26" s="22">
        <f>RJ!$U$19</f>
        <v>178665.94708603784</v>
      </c>
      <c r="R26" s="23">
        <f t="shared" si="12"/>
        <v>212159</v>
      </c>
      <c r="T26" s="22">
        <f>RJ!$X$7</f>
        <v>43819.535505145373</v>
      </c>
      <c r="U26" s="22">
        <f>RJ!$X$8</f>
        <v>4.6952933067805134</v>
      </c>
      <c r="V26" s="22">
        <f>RJ!$X$9</f>
        <v>233776.76920154784</v>
      </c>
      <c r="W26" s="23">
        <f t="shared" si="9"/>
        <v>277601</v>
      </c>
      <c r="Y26" s="22">
        <f>RJ!$X$11</f>
        <v>128277</v>
      </c>
      <c r="AA26" s="22">
        <f>RJ!$X$12</f>
        <v>15339</v>
      </c>
      <c r="AC26" s="22">
        <f>RJ!$X$14</f>
        <v>43703</v>
      </c>
      <c r="AE26" s="22">
        <f>RJ!$X$15</f>
        <v>35245</v>
      </c>
      <c r="AG26" s="22">
        <f>RJ!$X$17</f>
        <v>720285</v>
      </c>
      <c r="AI26" s="22">
        <f>RJ!$X$18</f>
        <v>127983</v>
      </c>
      <c r="AK26" s="22">
        <f t="shared" si="8"/>
        <v>5327706</v>
      </c>
      <c r="AM26" s="115" t="str">
        <f>IF((AK26=RJ!$X$21),"ok","erro")</f>
        <v>ok</v>
      </c>
    </row>
    <row r="27" spans="1:39">
      <c r="A27" s="20" t="s">
        <v>42</v>
      </c>
      <c r="C27" s="22">
        <f>SP!$U$7</f>
        <v>58847.619359097633</v>
      </c>
      <c r="D27" s="22">
        <f>SP!$U$8</f>
        <v>11.494153559295228</v>
      </c>
      <c r="E27" s="22">
        <f>SP!$U$9</f>
        <v>76149.886487343072</v>
      </c>
      <c r="F27" s="23">
        <f t="shared" si="10"/>
        <v>135009</v>
      </c>
      <c r="H27" s="22">
        <f>SP!$U$11</f>
        <v>6665542.3806409026</v>
      </c>
      <c r="I27" s="22">
        <f>SP!$U$12</f>
        <v>1841934</v>
      </c>
      <c r="J27" s="22">
        <f>SP!$U$13</f>
        <v>294026</v>
      </c>
      <c r="K27" s="22">
        <f>SP!$U$14</f>
        <v>1301.9178772810847</v>
      </c>
      <c r="L27" s="22">
        <f>SP!$U$15</f>
        <v>6489372.7014818164</v>
      </c>
      <c r="M27" s="23">
        <f>SUM(H27:L27)</f>
        <v>15292177</v>
      </c>
      <c r="O27" s="22">
        <f>SP!$U$17</f>
        <v>226847.12804936507</v>
      </c>
      <c r="P27" s="22">
        <f>SP!$U$18</f>
        <v>102.20149884675629</v>
      </c>
      <c r="Q27" s="22">
        <f>SP!$U$19</f>
        <v>973497.67045178823</v>
      </c>
      <c r="R27" s="23">
        <f t="shared" si="12"/>
        <v>1200447</v>
      </c>
      <c r="T27" s="22">
        <f>SP!$X$7</f>
        <v>220598.87195063496</v>
      </c>
      <c r="U27" s="22">
        <f>SP!$X$8</f>
        <v>99.38647031201981</v>
      </c>
      <c r="V27" s="22">
        <f>SP!$X$9</f>
        <v>946683.74157905299</v>
      </c>
      <c r="W27" s="23">
        <f t="shared" si="9"/>
        <v>1167382</v>
      </c>
      <c r="Y27" s="22">
        <f>SP!$X$11</f>
        <v>622054</v>
      </c>
      <c r="AA27" s="22">
        <f>SP!$X$12</f>
        <v>153212</v>
      </c>
      <c r="AC27" s="22">
        <f>SP!$X$14</f>
        <v>144628</v>
      </c>
      <c r="AE27" s="22">
        <f>SP!$X$15</f>
        <v>101888</v>
      </c>
      <c r="AG27" s="22">
        <f>SP!$X$17</f>
        <v>3871467</v>
      </c>
      <c r="AI27" s="22">
        <f>SP!$X$18</f>
        <v>671199</v>
      </c>
      <c r="AK27" s="22">
        <f t="shared" si="8"/>
        <v>23359463</v>
      </c>
      <c r="AM27" s="115" t="str">
        <f>IF((AK27=SP!$X$21),"ok","erro")</f>
        <v>ok</v>
      </c>
    </row>
    <row r="28" spans="1:39">
      <c r="A28" s="19" t="s">
        <v>43</v>
      </c>
      <c r="C28" s="23">
        <f>SUM(C29:C31)</f>
        <v>35453.616703681306</v>
      </c>
      <c r="D28" s="23">
        <f t="shared" ref="D28:AE28" si="18">SUM(D29:D31)</f>
        <v>3.0857662206581153</v>
      </c>
      <c r="E28" s="23">
        <f t="shared" si="18"/>
        <v>47382.29753009804</v>
      </c>
      <c r="F28" s="23">
        <f t="shared" si="10"/>
        <v>82839</v>
      </c>
      <c r="H28" s="23">
        <f t="shared" si="18"/>
        <v>3998847.3832963184</v>
      </c>
      <c r="I28" s="23">
        <f>SUM(I29:I31)</f>
        <v>750893</v>
      </c>
      <c r="J28" s="23">
        <f t="shared" si="18"/>
        <v>187825</v>
      </c>
      <c r="K28" s="23">
        <f t="shared" si="18"/>
        <v>356.56364039843902</v>
      </c>
      <c r="L28" s="23">
        <f t="shared" si="18"/>
        <v>4500375.0530632827</v>
      </c>
      <c r="M28" s="23">
        <f t="shared" si="11"/>
        <v>9438297</v>
      </c>
      <c r="O28" s="23">
        <f t="shared" si="18"/>
        <v>287249.36325115478</v>
      </c>
      <c r="P28" s="23">
        <f t="shared" si="18"/>
        <v>37.547943804296665</v>
      </c>
      <c r="Q28" s="23">
        <f>SUM(Q29:Q31)</f>
        <v>669728.08880504093</v>
      </c>
      <c r="R28" s="23">
        <f t="shared" si="12"/>
        <v>957015</v>
      </c>
      <c r="T28" s="23">
        <f t="shared" si="18"/>
        <v>194056.63674884522</v>
      </c>
      <c r="U28" s="23">
        <f t="shared" si="18"/>
        <v>23.802649576740805</v>
      </c>
      <c r="V28" s="23">
        <f t="shared" si="18"/>
        <v>450315.56060157798</v>
      </c>
      <c r="W28" s="23">
        <f>SUM(T28:V28)</f>
        <v>644396</v>
      </c>
      <c r="Y28" s="23">
        <f t="shared" si="18"/>
        <v>570087</v>
      </c>
      <c r="AA28" s="23">
        <f t="shared" si="18"/>
        <v>176838</v>
      </c>
      <c r="AC28" s="23">
        <f t="shared" si="18"/>
        <v>88196</v>
      </c>
      <c r="AE28" s="23">
        <f t="shared" si="18"/>
        <v>46104</v>
      </c>
      <c r="AG28" s="23">
        <f>SUM(AG29:AG31)</f>
        <v>2657962</v>
      </c>
      <c r="AI28" s="23">
        <f>SUM(AI29:AI31)</f>
        <v>624367</v>
      </c>
      <c r="AK28" s="23">
        <f t="shared" si="8"/>
        <v>15286101</v>
      </c>
    </row>
    <row r="29" spans="1:39">
      <c r="A29" s="20" t="s">
        <v>44</v>
      </c>
      <c r="C29" s="22">
        <f>PR!$U$7</f>
        <v>13319.33571583891</v>
      </c>
      <c r="D29" s="22">
        <f>PR!$U$8</f>
        <v>1.5087568605158594</v>
      </c>
      <c r="E29" s="22">
        <f>PR!$U$9</f>
        <v>16891.155527300572</v>
      </c>
      <c r="F29" s="23">
        <f t="shared" si="10"/>
        <v>30212</v>
      </c>
      <c r="H29" s="22">
        <f>PR!$U$11</f>
        <v>1594444.6642841611</v>
      </c>
      <c r="I29" s="22">
        <f>PR!$U$12</f>
        <v>418722</v>
      </c>
      <c r="J29" s="22">
        <f>PR!$U$13</f>
        <v>33575</v>
      </c>
      <c r="K29" s="22">
        <f>PR!$U$14</f>
        <v>180.61180957313627</v>
      </c>
      <c r="L29" s="22">
        <f>PR!$U$15</f>
        <v>1569726.7239062658</v>
      </c>
      <c r="M29" s="23">
        <f t="shared" si="11"/>
        <v>3616649</v>
      </c>
      <c r="O29" s="22">
        <f>PR!$U$17</f>
        <v>126536.27741224073</v>
      </c>
      <c r="P29" s="22">
        <f>PR!$U$18</f>
        <v>21.694047945609782</v>
      </c>
      <c r="Q29" s="22">
        <f>PR!$U$19</f>
        <v>307853.02853981365</v>
      </c>
      <c r="R29" s="23">
        <f t="shared" si="12"/>
        <v>434411</v>
      </c>
      <c r="T29" s="22">
        <f>PR!$X$7</f>
        <v>65241.722587759272</v>
      </c>
      <c r="U29" s="22">
        <f>PR!$X$8</f>
        <v>11.185385620774468</v>
      </c>
      <c r="V29" s="22">
        <f>PR!$X$9</f>
        <v>158728.09202661994</v>
      </c>
      <c r="W29" s="23">
        <f t="shared" si="9"/>
        <v>223981</v>
      </c>
      <c r="Y29" s="22">
        <f>PR!$X$11</f>
        <v>236137</v>
      </c>
      <c r="AA29" s="22">
        <f>PR!$X$12</f>
        <v>79639</v>
      </c>
      <c r="AC29" s="22">
        <f>PR!$X$14</f>
        <v>35011</v>
      </c>
      <c r="AE29" s="22">
        <f>PR!$X15</f>
        <v>18599</v>
      </c>
      <c r="AG29" s="22">
        <f>PR!$X$17</f>
        <v>983205</v>
      </c>
      <c r="AI29" s="22">
        <f>PR!$X$18</f>
        <v>240223</v>
      </c>
      <c r="AK29" s="22">
        <f t="shared" si="8"/>
        <v>5898067</v>
      </c>
      <c r="AM29" s="115" t="str">
        <f>IF((AK29=PR!$X$21),"ok","erro")</f>
        <v>ok</v>
      </c>
    </row>
    <row r="30" spans="1:39">
      <c r="A30" s="20" t="s">
        <v>45</v>
      </c>
      <c r="C30" s="22">
        <f>RS!$U$7</f>
        <v>10255.042890473747</v>
      </c>
      <c r="D30" s="22">
        <f>RS!$U$8</f>
        <v>0.88631430247551179</v>
      </c>
      <c r="E30" s="22">
        <f>RS!$U$9</f>
        <v>17642.070795223779</v>
      </c>
      <c r="F30" s="23">
        <f t="shared" si="10"/>
        <v>27898</v>
      </c>
      <c r="H30" s="22">
        <f>RS!$U$11</f>
        <v>1278191.9571095263</v>
      </c>
      <c r="I30" s="22">
        <f>RS!$U$12</f>
        <v>198022</v>
      </c>
      <c r="J30" s="22">
        <f>RS!$U$13</f>
        <v>59123</v>
      </c>
      <c r="K30" s="22">
        <f>RS!$U$14</f>
        <v>110.47050948441029</v>
      </c>
      <c r="L30" s="22">
        <f>RS!$U$15</f>
        <v>1941768.5723809893</v>
      </c>
      <c r="M30" s="23">
        <f t="shared" si="11"/>
        <v>3477216</v>
      </c>
      <c r="O30" s="22">
        <f>RS!$U$17</f>
        <v>102331.56783543174</v>
      </c>
      <c r="P30" s="22">
        <f>RS!$U$18</f>
        <v>10.403915518894792</v>
      </c>
      <c r="Q30" s="22">
        <f>RS!$U$19</f>
        <v>225136.02824904938</v>
      </c>
      <c r="R30" s="23">
        <f t="shared" si="12"/>
        <v>327478</v>
      </c>
      <c r="T30" s="22">
        <f>RS!$X$7</f>
        <v>71204.432164568265</v>
      </c>
      <c r="U30" s="22">
        <f>RS!$X$8</f>
        <v>7.2392606942448765</v>
      </c>
      <c r="V30" s="22">
        <f>RS!$X$9</f>
        <v>156654.32857473748</v>
      </c>
      <c r="W30" s="23">
        <f t="shared" si="9"/>
        <v>227866</v>
      </c>
      <c r="Y30" s="22">
        <f>RS!$X$11</f>
        <v>199426</v>
      </c>
      <c r="AA30" s="22">
        <f>RS!$X$12</f>
        <v>51625</v>
      </c>
      <c r="AC30" s="22">
        <f>RS!$X$14</f>
        <v>36367</v>
      </c>
      <c r="AE30" s="22">
        <f>RS!$X$15</f>
        <v>17153</v>
      </c>
      <c r="AG30" s="22">
        <f>RS!$X$17</f>
        <v>930717</v>
      </c>
      <c r="AI30" s="22">
        <f>RS!$X$18</f>
        <v>159897</v>
      </c>
      <c r="AK30" s="22">
        <f t="shared" si="8"/>
        <v>5455643</v>
      </c>
      <c r="AM30" s="115" t="str">
        <f>IF((AK30=RS!$X$21),"ok","erro")</f>
        <v>ok</v>
      </c>
    </row>
    <row r="31" spans="1:39">
      <c r="A31" s="20" t="s">
        <v>46</v>
      </c>
      <c r="C31" s="22">
        <f>SC!$U$7</f>
        <v>11879.238097368647</v>
      </c>
      <c r="D31" s="22">
        <f>SC!$U$8</f>
        <v>0.69069505766674411</v>
      </c>
      <c r="E31" s="22">
        <f>SC!$U$9</f>
        <v>12849.071207573686</v>
      </c>
      <c r="F31" s="23">
        <f>SUM(C31:E31)</f>
        <v>24729</v>
      </c>
      <c r="H31" s="22">
        <f>SC!$U$11</f>
        <v>1126210.7619026313</v>
      </c>
      <c r="I31" s="22">
        <f>SC!$U$12</f>
        <v>134149</v>
      </c>
      <c r="J31" s="22">
        <f>SC!$U$13</f>
        <v>95127</v>
      </c>
      <c r="K31" s="22">
        <f>SC!$U$14</f>
        <v>65.481321340892464</v>
      </c>
      <c r="L31" s="22">
        <f>SC!$U$15</f>
        <v>988879.75677602785</v>
      </c>
      <c r="M31" s="23">
        <f>SUM(H31:L31)</f>
        <v>2344432</v>
      </c>
      <c r="O31" s="22">
        <f>SC!$U$17</f>
        <v>58381.518003482292</v>
      </c>
      <c r="P31" s="22">
        <f>SC!$U$18</f>
        <v>5.4499803397920914</v>
      </c>
      <c r="Q31" s="22">
        <f>SC!$U$19</f>
        <v>136739.03201617792</v>
      </c>
      <c r="R31" s="23">
        <f>SUM(O31:Q31)</f>
        <v>195126</v>
      </c>
      <c r="T31" s="22">
        <f>SC!$X$7</f>
        <v>57610.481996517694</v>
      </c>
      <c r="U31" s="22">
        <f>SC!$X$8</f>
        <v>5.3780032617214601</v>
      </c>
      <c r="V31" s="22">
        <f>SC!$X$9</f>
        <v>134933.14000022059</v>
      </c>
      <c r="W31" s="23">
        <f>SUM(T31:V31)</f>
        <v>192549</v>
      </c>
      <c r="Y31" s="22">
        <f>SC!$X$11</f>
        <v>134524</v>
      </c>
      <c r="AA31" s="22">
        <f>SC!$X$12</f>
        <v>45574</v>
      </c>
      <c r="AC31" s="22">
        <f>SC!$X$14</f>
        <v>16818</v>
      </c>
      <c r="AE31" s="22">
        <f>SC!$X$15</f>
        <v>10352</v>
      </c>
      <c r="AG31" s="22">
        <f>SC!$X$17</f>
        <v>744040</v>
      </c>
      <c r="AI31" s="22">
        <f>SC!$X$18</f>
        <v>224247</v>
      </c>
      <c r="AK31" s="22">
        <f t="shared" si="8"/>
        <v>3932391</v>
      </c>
      <c r="AM31" s="115" t="str">
        <f>IF((AK31=SC!$X$21),"ok","erro")</f>
        <v>ok</v>
      </c>
    </row>
    <row r="32" spans="1:39">
      <c r="A32" s="19" t="s">
        <v>47</v>
      </c>
      <c r="C32" s="23">
        <f>SUM(C33:C36)</f>
        <v>24758.763834731642</v>
      </c>
      <c r="D32" s="23">
        <f t="shared" ref="D32:AI32" si="19">SUM(D33:D36)</f>
        <v>2.5693208377060728</v>
      </c>
      <c r="E32" s="23">
        <f t="shared" si="19"/>
        <v>16232.666844430649</v>
      </c>
      <c r="F32" s="23">
        <f t="shared" si="10"/>
        <v>40994</v>
      </c>
      <c r="H32" s="23">
        <f t="shared" si="19"/>
        <v>2139370.2361652683</v>
      </c>
      <c r="I32" s="23">
        <f t="shared" si="19"/>
        <v>316996</v>
      </c>
      <c r="J32" s="23">
        <f t="shared" si="19"/>
        <v>12865</v>
      </c>
      <c r="K32" s="23">
        <f>SUM(K33:K36)</f>
        <v>199.69179973454447</v>
      </c>
      <c r="L32" s="23">
        <f t="shared" ref="L32" si="20">SUM(L33:L36)</f>
        <v>1122298.0720349972</v>
      </c>
      <c r="M32" s="23">
        <f t="shared" si="11"/>
        <v>3591729</v>
      </c>
      <c r="O32" s="23">
        <f t="shared" si="19"/>
        <v>235292.38271554897</v>
      </c>
      <c r="P32" s="23">
        <f t="shared" si="19"/>
        <v>43.168268361769151</v>
      </c>
      <c r="Q32" s="23">
        <f t="shared" ref="Q32" si="21">SUM(Q33:Q36)</f>
        <v>392723.44901608932</v>
      </c>
      <c r="R32" s="23">
        <f t="shared" si="12"/>
        <v>628059</v>
      </c>
      <c r="T32" s="23">
        <f t="shared" si="19"/>
        <v>62927.617284451051</v>
      </c>
      <c r="U32" s="23">
        <f t="shared" si="19"/>
        <v>10.570611066206766</v>
      </c>
      <c r="V32" s="23">
        <f t="shared" si="19"/>
        <v>119349.81210448276</v>
      </c>
      <c r="W32" s="23">
        <f t="shared" si="9"/>
        <v>182288</v>
      </c>
      <c r="Y32" s="23">
        <f t="shared" si="19"/>
        <v>216789</v>
      </c>
      <c r="AA32" s="23">
        <f t="shared" si="19"/>
        <v>64560</v>
      </c>
      <c r="AC32" s="23">
        <f t="shared" si="19"/>
        <v>44877</v>
      </c>
      <c r="AE32" s="23">
        <f>SUM(AE33:AE36)</f>
        <v>17916</v>
      </c>
      <c r="AG32" s="23">
        <f>SUM(AG33:AG36)</f>
        <v>1656749</v>
      </c>
      <c r="AI32" s="23">
        <f t="shared" si="19"/>
        <v>462478</v>
      </c>
      <c r="AK32" s="23">
        <f t="shared" si="8"/>
        <v>6906439</v>
      </c>
    </row>
    <row r="33" spans="1:39">
      <c r="A33" s="20" t="s">
        <v>48</v>
      </c>
      <c r="C33" s="22">
        <f>DF!$U$7</f>
        <v>8508.7270751802844</v>
      </c>
      <c r="D33" s="22">
        <f>DF!$U$8</f>
        <v>0.5888979305545945</v>
      </c>
      <c r="E33" s="22">
        <f>DF!$U$9</f>
        <v>6065.684026889161</v>
      </c>
      <c r="F33" s="23">
        <f t="shared" si="10"/>
        <v>14575</v>
      </c>
      <c r="H33" s="22">
        <f>DF!$U$11</f>
        <v>623096.27292481961</v>
      </c>
      <c r="I33" s="22">
        <f>DF!$U$12</f>
        <v>59501</v>
      </c>
      <c r="J33" s="22">
        <f>DF!$U$13</f>
        <v>1920</v>
      </c>
      <c r="K33" s="22">
        <f>DF!$U$14</f>
        <v>43.1251469720155</v>
      </c>
      <c r="L33" s="22">
        <f>DF!$U$15</f>
        <v>382770.60192820837</v>
      </c>
      <c r="M33" s="23">
        <f t="shared" si="11"/>
        <v>1067331</v>
      </c>
      <c r="O33" s="22">
        <f>DF!$U$17</f>
        <v>23932.879910011245</v>
      </c>
      <c r="P33" s="22">
        <f>DF!$U$18</f>
        <v>3.402718910438125</v>
      </c>
      <c r="Q33" s="22">
        <f>DF!$U$19</f>
        <v>60279.717371078317</v>
      </c>
      <c r="R33" s="23">
        <f t="shared" si="12"/>
        <v>84216</v>
      </c>
      <c r="T33" s="22">
        <f>DF!$X$7</f>
        <v>20279.120089988752</v>
      </c>
      <c r="U33" s="22">
        <f>DF!$X$8</f>
        <v>2.883236187059083</v>
      </c>
      <c r="V33" s="22">
        <f>DF!$X$9</f>
        <v>51076.996673824193</v>
      </c>
      <c r="W33" s="23">
        <f t="shared" si="9"/>
        <v>71359</v>
      </c>
      <c r="Y33" s="22">
        <f>DF!$X$11</f>
        <v>21244</v>
      </c>
      <c r="AA33" s="22">
        <f>DF!$X$12</f>
        <v>2900</v>
      </c>
      <c r="AC33" s="22">
        <f>DF!$X$14</f>
        <v>9113</v>
      </c>
      <c r="AE33" s="22">
        <f>DF!$X$15</f>
        <v>4846</v>
      </c>
      <c r="AG33" s="22">
        <f>DF!$X$17</f>
        <v>150355</v>
      </c>
      <c r="AI33" s="22">
        <f>DF!$X$18</f>
        <v>14122</v>
      </c>
      <c r="AK33" s="22">
        <f t="shared" si="8"/>
        <v>1440061</v>
      </c>
      <c r="AM33" s="115" t="str">
        <f>IF((AK33=DF!$X$21),"ok","erro")</f>
        <v>ok</v>
      </c>
    </row>
    <row r="34" spans="1:39">
      <c r="A34" s="20" t="s">
        <v>49</v>
      </c>
      <c r="C34" s="22">
        <f>GO!$U$7</f>
        <v>7205.7741885164933</v>
      </c>
      <c r="D34" s="22">
        <f>GO!$U$8</f>
        <v>0.33177398464067664</v>
      </c>
      <c r="E34" s="22">
        <f>GO!$U$9</f>
        <v>5497.8940374988661</v>
      </c>
      <c r="F34" s="23">
        <f t="shared" si="10"/>
        <v>12704</v>
      </c>
      <c r="H34" s="22">
        <f>GO!$U$11</f>
        <v>821846.22581148357</v>
      </c>
      <c r="I34" s="22">
        <f>GO!$U$12</f>
        <v>157755</v>
      </c>
      <c r="J34" s="22">
        <f>GO!$U$13</f>
        <v>3412</v>
      </c>
      <c r="K34" s="22">
        <f>GO!$U$14</f>
        <v>37.840097395004705</v>
      </c>
      <c r="L34" s="22">
        <f>GO!$U$15</f>
        <v>465888.93409112142</v>
      </c>
      <c r="M34" s="23">
        <f t="shared" si="11"/>
        <v>1448940</v>
      </c>
      <c r="O34" s="22">
        <f>GO!$U$17</f>
        <v>92502.200559698744</v>
      </c>
      <c r="P34" s="22">
        <f>GO!$U$18</f>
        <v>7.2443674802780151</v>
      </c>
      <c r="Q34" s="22">
        <f>GO!$U$19</f>
        <v>184885.55507282098</v>
      </c>
      <c r="R34" s="23">
        <f t="shared" si="12"/>
        <v>277395</v>
      </c>
      <c r="T34" s="22">
        <f>GO!$X$7</f>
        <v>20222.799440301267</v>
      </c>
      <c r="U34" s="22">
        <f>GO!$X$8</f>
        <v>1.5837611401584581</v>
      </c>
      <c r="V34" s="22">
        <f>GO!$X$9</f>
        <v>40419.616798558578</v>
      </c>
      <c r="W34" s="23">
        <f t="shared" si="9"/>
        <v>60644</v>
      </c>
      <c r="Y34" s="22">
        <f>GO!$X$11</f>
        <v>95310</v>
      </c>
      <c r="AA34" s="22">
        <f>GO!$X$12</f>
        <v>24300</v>
      </c>
      <c r="AC34" s="22">
        <f>GO!$X$14</f>
        <v>18616</v>
      </c>
      <c r="AE34" s="22">
        <f>GO!$X$15</f>
        <v>7497</v>
      </c>
      <c r="AG34" s="22">
        <f>GO!$X$17</f>
        <v>722562</v>
      </c>
      <c r="AI34" s="22">
        <f>GO!$X$18</f>
        <v>210135</v>
      </c>
      <c r="AK34" s="22">
        <f t="shared" si="8"/>
        <v>2878103</v>
      </c>
      <c r="AM34" s="115" t="str">
        <f>IF((AK34=GO!$X$21),"ok","erro")</f>
        <v>ok</v>
      </c>
    </row>
    <row r="35" spans="1:39">
      <c r="A35" s="20" t="s">
        <v>50</v>
      </c>
      <c r="C35" s="22">
        <f>MT!$U$7</f>
        <v>5668.2020177459826</v>
      </c>
      <c r="D35" s="22">
        <f>MT!$U$8</f>
        <v>1.4104187180573717</v>
      </c>
      <c r="E35" s="22">
        <f>MT!$U$9</f>
        <v>1850.38756353596</v>
      </c>
      <c r="F35" s="23">
        <f t="shared" si="10"/>
        <v>7520</v>
      </c>
      <c r="H35" s="22">
        <f>MT!$U$11</f>
        <v>391127.79798225401</v>
      </c>
      <c r="I35" s="22">
        <f>MT!$U$12</f>
        <v>47233</v>
      </c>
      <c r="J35" s="22">
        <f>MT!$U$13</f>
        <v>1566</v>
      </c>
      <c r="K35" s="22">
        <f>MT!$U$14</f>
        <v>97.324330660689157</v>
      </c>
      <c r="L35" s="22">
        <f>MT!$U$15</f>
        <v>78884.877687085303</v>
      </c>
      <c r="M35" s="23">
        <f t="shared" si="11"/>
        <v>518909</v>
      </c>
      <c r="O35" s="22">
        <f>MT!$U$17</f>
        <v>68220.925790191817</v>
      </c>
      <c r="P35" s="22">
        <f>MT!$U$18</f>
        <v>28.019880902138539</v>
      </c>
      <c r="Q35" s="22">
        <f>MT!$U$19</f>
        <v>81146.054328906044</v>
      </c>
      <c r="R35" s="23">
        <f t="shared" si="12"/>
        <v>149395</v>
      </c>
      <c r="T35" s="22">
        <f>MT!$X$7</f>
        <v>12771.07420980819</v>
      </c>
      <c r="U35" s="22">
        <f>MT!$X$8</f>
        <v>5.2453697191340325</v>
      </c>
      <c r="V35" s="22">
        <f>MT!$X$9</f>
        <v>15190.680420472676</v>
      </c>
      <c r="W35" s="23">
        <f t="shared" si="9"/>
        <v>27967</v>
      </c>
      <c r="Y35" s="22">
        <f>MT!$X$11</f>
        <v>56722</v>
      </c>
      <c r="AA35" s="22">
        <f>MT!$X$12</f>
        <v>24498</v>
      </c>
      <c r="AC35" s="22">
        <f>MT!$X$14</f>
        <v>9134</v>
      </c>
      <c r="AE35" s="22">
        <f>MT!$X$15</f>
        <v>2663</v>
      </c>
      <c r="AG35" s="22">
        <f>MT!$X$17</f>
        <v>479301</v>
      </c>
      <c r="AI35" s="22">
        <f>MT!$X$18</f>
        <v>152887</v>
      </c>
      <c r="AK35" s="22">
        <f t="shared" si="8"/>
        <v>1428996</v>
      </c>
      <c r="AM35" s="115" t="str">
        <f>IF((AK35=MT!$X$21),"ok","erro")</f>
        <v>ok</v>
      </c>
    </row>
    <row r="36" spans="1:39">
      <c r="A36" s="20" t="s">
        <v>51</v>
      </c>
      <c r="C36" s="22">
        <f>MS!$U$7</f>
        <v>3376.0605532888849</v>
      </c>
      <c r="D36" s="22">
        <f>MS!$U$8</f>
        <v>0.23823020445342991</v>
      </c>
      <c r="E36" s="22">
        <f>MS!$U$9</f>
        <v>2818.7012165066617</v>
      </c>
      <c r="F36" s="23">
        <f t="shared" si="10"/>
        <v>6195</v>
      </c>
      <c r="H36" s="22">
        <f>MS!$U$11</f>
        <v>303299.9394467111</v>
      </c>
      <c r="I36" s="22">
        <f>MS!$U$12</f>
        <v>52507</v>
      </c>
      <c r="J36" s="22">
        <f>MS!$U$13</f>
        <v>5967</v>
      </c>
      <c r="K36" s="22">
        <f>MS!$U$14</f>
        <v>21.402224706835113</v>
      </c>
      <c r="L36" s="22">
        <f>MS!$U$15</f>
        <v>194753.65832858207</v>
      </c>
      <c r="M36" s="23">
        <f t="shared" si="11"/>
        <v>556549</v>
      </c>
      <c r="O36" s="22">
        <f>MS!$U$17</f>
        <v>50636.376455647158</v>
      </c>
      <c r="P36" s="22">
        <f>MS!$U$18</f>
        <v>4.5013010689144721</v>
      </c>
      <c r="Q36" s="22">
        <f>MS!$U$19</f>
        <v>66412.122243283928</v>
      </c>
      <c r="R36" s="23">
        <f t="shared" si="12"/>
        <v>117053</v>
      </c>
      <c r="T36" s="22">
        <f>MS!$X$7</f>
        <v>9654.6235443528421</v>
      </c>
      <c r="U36" s="22">
        <f>MS!$X$8</f>
        <v>0.85824401985519216</v>
      </c>
      <c r="V36" s="22">
        <f>MS!$X$9</f>
        <v>12662.518211627303</v>
      </c>
      <c r="W36" s="23">
        <f t="shared" si="9"/>
        <v>22318</v>
      </c>
      <c r="Y36" s="22">
        <f>MS!$X$11</f>
        <v>43513</v>
      </c>
      <c r="AA36" s="22">
        <f>MS!$X$12</f>
        <v>12862</v>
      </c>
      <c r="AC36" s="22">
        <f>MS!$X$14</f>
        <v>8014</v>
      </c>
      <c r="AE36" s="22">
        <f>MS!$X$15</f>
        <v>2910</v>
      </c>
      <c r="AG36" s="22">
        <f>MS!$X$17</f>
        <v>304531</v>
      </c>
      <c r="AI36" s="22">
        <f>MS!$X$18</f>
        <v>85334</v>
      </c>
      <c r="AK36" s="22">
        <f t="shared" si="8"/>
        <v>1159279</v>
      </c>
      <c r="AM36" s="115" t="str">
        <f>IF((AK36=MS!$X$21),"ok","erro")</f>
        <v>ok</v>
      </c>
    </row>
    <row r="37" spans="1:39" ht="14.25" customHeight="1"/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X23"/>
  <sheetViews>
    <sheetView showGridLines="0" topLeftCell="J1" zoomScale="90" zoomScaleNormal="90" workbookViewId="0">
      <selection activeCell="R18" sqref="R1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8.28515625" bestFit="1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12.5703125" customWidth="1"/>
  </cols>
  <sheetData>
    <row r="1" spans="1:24" s="15" customFormat="1" ht="15.75">
      <c r="A1" s="131" t="str">
        <f>"ESPÍRITO SANTO/"&amp;ONSV_AUX_2013!A1&amp;""</f>
        <v>ESPÍRITO SANTO/2013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ONSV_AUX_2013!I27</f>
        <v>53682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ONSV_AUX_2013!I28</f>
        <v>465754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ONSV_AUX_2013!I29</f>
        <v>150838</v>
      </c>
      <c r="J7" s="3"/>
      <c r="K7" s="1" t="s">
        <v>121</v>
      </c>
      <c r="L7" s="25">
        <f>I14+I17+I18+I23</f>
        <v>947155</v>
      </c>
      <c r="N7" s="13" t="s">
        <v>122</v>
      </c>
      <c r="O7" s="25">
        <f>J14+J23</f>
        <v>774131.83583046077</v>
      </c>
      <c r="P7" s="29"/>
      <c r="Q7" s="30" t="s">
        <v>123</v>
      </c>
      <c r="R7" s="25">
        <f>J17+J18</f>
        <v>173002.16416953929</v>
      </c>
      <c r="S7" s="31"/>
      <c r="T7" s="30" t="s">
        <v>124</v>
      </c>
      <c r="U7" s="32">
        <f>O11</f>
        <v>5862.9188050362391</v>
      </c>
      <c r="V7" s="24"/>
      <c r="W7" s="30" t="s">
        <v>125</v>
      </c>
      <c r="X7" s="33">
        <f>R13</f>
        <v>20979.917656035053</v>
      </c>
    </row>
    <row r="8" spans="1:24" ht="15.75">
      <c r="H8" s="17" t="s">
        <v>101</v>
      </c>
      <c r="I8" s="25">
        <f>ONSV_AUX_2013!I30</f>
        <v>21</v>
      </c>
      <c r="J8" s="3"/>
      <c r="K8" s="12"/>
      <c r="L8" s="27"/>
      <c r="M8" s="7"/>
      <c r="N8" s="13" t="s">
        <v>126</v>
      </c>
      <c r="O8" s="34">
        <f>J14/O7</f>
        <v>0.98741198399791252</v>
      </c>
      <c r="P8" s="29"/>
      <c r="Q8" s="35" t="s">
        <v>127</v>
      </c>
      <c r="R8" s="28">
        <f>J17/R7</f>
        <v>0.59466145682808691</v>
      </c>
      <c r="S8" s="36"/>
      <c r="T8" s="30" t="s">
        <v>128</v>
      </c>
      <c r="U8" s="32">
        <f>I23-J23</f>
        <v>0.2160628408237244</v>
      </c>
      <c r="V8" s="24"/>
      <c r="W8" s="30" t="s">
        <v>129</v>
      </c>
      <c r="X8" s="33">
        <f>I18-J18</f>
        <v>1.554809930792544</v>
      </c>
    </row>
    <row r="9" spans="1:24" ht="15.75">
      <c r="H9" s="17" t="s">
        <v>16</v>
      </c>
      <c r="I9" s="25">
        <f>ONSV_AUX_2013!I31</f>
        <v>27769</v>
      </c>
      <c r="J9" s="3"/>
      <c r="K9" s="1" t="s">
        <v>130</v>
      </c>
      <c r="L9" s="28">
        <f>I14/L7</f>
        <v>0.80705269992767814</v>
      </c>
      <c r="M9" s="7"/>
      <c r="N9" s="13" t="s">
        <v>131</v>
      </c>
      <c r="O9" s="34">
        <f>J23/O7</f>
        <v>1.2588016002087452E-2</v>
      </c>
      <c r="P9" s="29"/>
      <c r="Q9" s="35" t="s">
        <v>132</v>
      </c>
      <c r="R9" s="28">
        <f>J18/R7</f>
        <v>0.40533854317191315</v>
      </c>
      <c r="S9" s="36"/>
      <c r="T9" s="30" t="s">
        <v>133</v>
      </c>
      <c r="U9" s="37">
        <f>O13</f>
        <v>3881.8651321229372</v>
      </c>
      <c r="V9" s="38"/>
      <c r="W9" s="30" t="s">
        <v>134</v>
      </c>
      <c r="X9" s="37">
        <f>R16</f>
        <v>49144.527534034154</v>
      </c>
    </row>
    <row r="10" spans="1:24" ht="15.75">
      <c r="H10" s="17" t="s">
        <v>94</v>
      </c>
      <c r="I10" s="25">
        <f>ONSV_AUX_2013!I32</f>
        <v>791772</v>
      </c>
      <c r="J10" s="4"/>
      <c r="K10" s="1" t="s">
        <v>2</v>
      </c>
      <c r="L10" s="28">
        <f>I17/L7</f>
        <v>0.10862002523346231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7.4038568132987731E-2</v>
      </c>
      <c r="M11" s="7"/>
      <c r="N11" s="13" t="s">
        <v>135</v>
      </c>
      <c r="O11" s="25">
        <f>IF(O9*I6&gt;J23,J23,O9*I6)</f>
        <v>5862.9188050362391</v>
      </c>
      <c r="P11" s="41"/>
      <c r="Q11" s="30" t="s">
        <v>136</v>
      </c>
      <c r="R11" s="25">
        <f>I7-I15-I16-I19-I22</f>
        <v>51759</v>
      </c>
      <c r="S11" s="42"/>
      <c r="T11" s="30" t="s">
        <v>137</v>
      </c>
      <c r="U11" s="32">
        <f>O19</f>
        <v>459891.08119496377</v>
      </c>
      <c r="V11" s="41"/>
      <c r="W11" s="30" t="s">
        <v>138</v>
      </c>
      <c r="X11" s="32">
        <f>I15</f>
        <v>62492</v>
      </c>
    </row>
    <row r="12" spans="1:24" ht="15.75">
      <c r="H12" s="9" t="s">
        <v>139</v>
      </c>
      <c r="K12" s="1" t="s">
        <v>0</v>
      </c>
      <c r="L12" s="28">
        <f>I23/L7</f>
        <v>1.0288706705871795E-2</v>
      </c>
      <c r="O12" s="24"/>
      <c r="P12" s="41"/>
      <c r="Q12" s="30" t="s">
        <v>140</v>
      </c>
      <c r="R12" s="25">
        <f>R8*R11</f>
        <v>30779.08234396495</v>
      </c>
      <c r="S12" s="24"/>
      <c r="T12" s="30" t="s">
        <v>141</v>
      </c>
      <c r="U12" s="32">
        <f>O17</f>
        <v>53682</v>
      </c>
      <c r="V12" s="31"/>
      <c r="W12" s="30" t="s">
        <v>142</v>
      </c>
      <c r="X12" s="32">
        <f>I16</f>
        <v>16665</v>
      </c>
    </row>
    <row r="13" spans="1:24" ht="15.75">
      <c r="K13" s="5"/>
      <c r="L13" s="5"/>
      <c r="M13" s="5"/>
      <c r="N13" s="13" t="s">
        <v>143</v>
      </c>
      <c r="O13" s="25">
        <f>J23-O11</f>
        <v>3881.8651321229372</v>
      </c>
      <c r="P13" s="41"/>
      <c r="Q13" s="30" t="s">
        <v>125</v>
      </c>
      <c r="R13" s="25">
        <f>R9*R11</f>
        <v>20979.917656035053</v>
      </c>
      <c r="S13" s="24"/>
      <c r="T13" s="30" t="s">
        <v>144</v>
      </c>
      <c r="U13" s="32">
        <f>O18</f>
        <v>27769</v>
      </c>
      <c r="V13" s="36"/>
      <c r="W13" s="24"/>
      <c r="X13" s="27"/>
    </row>
    <row r="14" spans="1:24" ht="15.75">
      <c r="H14" s="18" t="s">
        <v>104</v>
      </c>
      <c r="I14" s="25">
        <f>ONSV_AUX_2013!I56</f>
        <v>764404</v>
      </c>
      <c r="J14" s="26">
        <f>I14-(L9*I8)</f>
        <v>764387.05189330154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16.948106698459014</v>
      </c>
      <c r="V14" s="36"/>
      <c r="W14" s="30" t="s">
        <v>146</v>
      </c>
      <c r="X14" s="32">
        <f>I22</f>
        <v>13273</v>
      </c>
    </row>
    <row r="15" spans="1:24" ht="15.75">
      <c r="H15" s="18" t="s">
        <v>105</v>
      </c>
      <c r="I15" s="25">
        <f>ONSV_AUX_2013!I57</f>
        <v>62492</v>
      </c>
      <c r="J15" s="4">
        <f>I15</f>
        <v>62492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72098.636635505143</v>
      </c>
      <c r="S15" s="24"/>
      <c r="T15" s="30" t="s">
        <v>149</v>
      </c>
      <c r="U15" s="37">
        <f>O20</f>
        <v>223044.97069833777</v>
      </c>
      <c r="V15" s="24"/>
      <c r="W15" s="30" t="s">
        <v>150</v>
      </c>
      <c r="X15" s="32">
        <f>I19</f>
        <v>6649</v>
      </c>
    </row>
    <row r="16" spans="1:24" ht="15.75">
      <c r="H16" s="18" t="s">
        <v>106</v>
      </c>
      <c r="I16" s="25">
        <f>ONSV_AUX_2013!I58</f>
        <v>16665</v>
      </c>
      <c r="J16" s="4">
        <f>I16</f>
        <v>16665</v>
      </c>
      <c r="K16" s="5"/>
      <c r="L16" s="5"/>
      <c r="M16" s="5"/>
      <c r="O16" s="38"/>
      <c r="P16" s="41"/>
      <c r="Q16" s="30" t="s">
        <v>134</v>
      </c>
      <c r="R16" s="25">
        <f>J18-R13</f>
        <v>49144.527534034154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ONSV_AUX_2013!I59</f>
        <v>102880</v>
      </c>
      <c r="J17" s="26">
        <f>I17-(L10*I8)</f>
        <v>102877.7189794701</v>
      </c>
      <c r="K17" s="5"/>
      <c r="L17" s="5"/>
      <c r="M17" s="5"/>
      <c r="N17" s="13" t="s">
        <v>141</v>
      </c>
      <c r="O17" s="25">
        <f>I5</f>
        <v>53682</v>
      </c>
      <c r="P17" s="41"/>
      <c r="Q17" s="24"/>
      <c r="R17" s="24"/>
      <c r="S17" s="42"/>
      <c r="T17" s="30" t="s">
        <v>140</v>
      </c>
      <c r="U17" s="33">
        <f>R12</f>
        <v>30779.08234396495</v>
      </c>
      <c r="V17" s="24"/>
      <c r="W17" s="30" t="s">
        <v>151</v>
      </c>
      <c r="X17" s="32">
        <f>I20</f>
        <v>363337</v>
      </c>
    </row>
    <row r="18" spans="8:24" ht="15.75">
      <c r="H18" s="18" t="s">
        <v>108</v>
      </c>
      <c r="I18" s="25">
        <f>ONSV_AUX_2013!I60</f>
        <v>70126</v>
      </c>
      <c r="J18" s="26">
        <f>I18-(L11*I8)</f>
        <v>70124.445190069207</v>
      </c>
      <c r="K18" s="5"/>
      <c r="L18" s="5"/>
      <c r="M18" s="5"/>
      <c r="N18" s="13" t="s">
        <v>144</v>
      </c>
      <c r="O18" s="25">
        <f>I9</f>
        <v>27769</v>
      </c>
      <c r="P18" s="41"/>
      <c r="Q18" s="24"/>
      <c r="R18" s="24"/>
      <c r="S18" s="24"/>
      <c r="T18" s="30" t="s">
        <v>152</v>
      </c>
      <c r="U18" s="33">
        <f>I17-J17</f>
        <v>2.2810205299028894</v>
      </c>
      <c r="V18" s="24"/>
      <c r="W18" s="30" t="s">
        <v>153</v>
      </c>
      <c r="X18" s="32">
        <f>I21</f>
        <v>80888</v>
      </c>
    </row>
    <row r="19" spans="8:24" ht="15.75">
      <c r="H19" s="18" t="s">
        <v>109</v>
      </c>
      <c r="I19" s="25">
        <f>ONSV_AUX_2013!I61</f>
        <v>6649</v>
      </c>
      <c r="J19" s="4">
        <f>I19</f>
        <v>6649</v>
      </c>
      <c r="K19" s="5"/>
      <c r="L19" s="5"/>
      <c r="M19" s="5"/>
      <c r="N19" s="13" t="s">
        <v>137</v>
      </c>
      <c r="O19" s="25">
        <f>IF(OR((O8*I6&gt;J14),((O17+O18+(O8*I6))&gt;J14)),(J14-O17-O18),(O8*I6))</f>
        <v>459891.08119496377</v>
      </c>
      <c r="P19" s="41"/>
      <c r="Q19" s="24"/>
      <c r="R19" s="43"/>
      <c r="S19" s="24"/>
      <c r="T19" s="30" t="s">
        <v>148</v>
      </c>
      <c r="U19" s="37">
        <f>R15</f>
        <v>72098.636635505143</v>
      </c>
      <c r="V19" s="24"/>
      <c r="W19" s="24"/>
      <c r="X19" s="24"/>
    </row>
    <row r="20" spans="8:24" ht="15.75">
      <c r="H20" s="18" t="s">
        <v>110</v>
      </c>
      <c r="I20" s="25">
        <f>ONSV_AUX_2013!I62</f>
        <v>363337</v>
      </c>
      <c r="J20" s="4">
        <f>I20</f>
        <v>363337</v>
      </c>
      <c r="K20" s="5"/>
      <c r="L20" s="5"/>
      <c r="M20" s="5"/>
      <c r="N20" s="13" t="s">
        <v>149</v>
      </c>
      <c r="O20" s="25">
        <f>IF((J14-O17-O19-O18)&lt;0,0,(J14-O17-O19-O18))</f>
        <v>223044.97069833777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ONSV_AUX_2013!I63</f>
        <v>80888</v>
      </c>
      <c r="J21" s="4">
        <f>I21</f>
        <v>80888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1490459</v>
      </c>
    </row>
    <row r="22" spans="8:24" ht="15.75">
      <c r="H22" s="18" t="s">
        <v>112</v>
      </c>
      <c r="I22" s="25">
        <f>ONSV_AUX_2013!I64</f>
        <v>13273</v>
      </c>
      <c r="J22" s="4">
        <f>I22</f>
        <v>13273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ONSV_AUX_2013!I65</f>
        <v>9745</v>
      </c>
      <c r="J23" s="26">
        <f>I23-(L12*I8)</f>
        <v>9744.7839371591763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K5:L5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15" customFormat="1" ht="15.75">
      <c r="A1" s="131" t="str">
        <f>"GOIÁS/"&amp;ONSV_AUX_2013!A1&amp;""</f>
        <v>GOIÁS/2013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ONSV_AUX_2013!J27</f>
        <v>157755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ONSV_AUX_2013!J28</f>
        <v>829052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ONSV_AUX_2013!J29</f>
        <v>258448</v>
      </c>
      <c r="J7" s="3"/>
      <c r="K7" s="1" t="s">
        <v>121</v>
      </c>
      <c r="L7" s="25">
        <f>I14+I17+I18+I23</f>
        <v>1799683</v>
      </c>
      <c r="N7" s="13" t="s">
        <v>122</v>
      </c>
      <c r="O7" s="25">
        <f>J14+J23</f>
        <v>1461605.8281286203</v>
      </c>
      <c r="P7" s="29"/>
      <c r="Q7" s="30" t="s">
        <v>123</v>
      </c>
      <c r="R7" s="25">
        <f>J17+J18</f>
        <v>338030.17187137954</v>
      </c>
      <c r="S7" s="31"/>
      <c r="T7" s="30" t="s">
        <v>124</v>
      </c>
      <c r="U7" s="32">
        <f>O11</f>
        <v>7205.7741885164933</v>
      </c>
      <c r="V7" s="24"/>
      <c r="W7" s="30" t="s">
        <v>125</v>
      </c>
      <c r="X7" s="33">
        <f>R13</f>
        <v>20222.799440301267</v>
      </c>
    </row>
    <row r="8" spans="1:24" ht="15.75">
      <c r="H8" s="17" t="s">
        <v>101</v>
      </c>
      <c r="I8" s="25">
        <f>ONSV_AUX_2013!J30</f>
        <v>47</v>
      </c>
      <c r="J8" s="3"/>
      <c r="K8" s="12"/>
      <c r="L8" s="27"/>
      <c r="M8" s="7"/>
      <c r="N8" s="13" t="s">
        <v>126</v>
      </c>
      <c r="O8" s="34">
        <f>J14/O7</f>
        <v>0.9913084170974602</v>
      </c>
      <c r="P8" s="29"/>
      <c r="Q8" s="35" t="s">
        <v>127</v>
      </c>
      <c r="R8" s="28">
        <f>J17/R7</f>
        <v>0.82060058158969829</v>
      </c>
      <c r="S8" s="36"/>
      <c r="T8" s="30" t="s">
        <v>128</v>
      </c>
      <c r="U8" s="32">
        <f>I23-J23</f>
        <v>0.33177398464067664</v>
      </c>
      <c r="V8" s="24"/>
      <c r="W8" s="30" t="s">
        <v>129</v>
      </c>
      <c r="X8" s="33">
        <f>I18-J18</f>
        <v>1.5837611401584581</v>
      </c>
    </row>
    <row r="9" spans="1:24" ht="15.75">
      <c r="H9" s="17" t="s">
        <v>16</v>
      </c>
      <c r="I9" s="25">
        <f>ONSV_AUX_2013!J31</f>
        <v>3412</v>
      </c>
      <c r="J9" s="3"/>
      <c r="K9" s="1" t="s">
        <v>130</v>
      </c>
      <c r="L9" s="28">
        <f>I14/L7</f>
        <v>0.80510845521127883</v>
      </c>
      <c r="M9" s="7"/>
      <c r="N9" s="13" t="s">
        <v>131</v>
      </c>
      <c r="O9" s="34">
        <f>J23/O7</f>
        <v>8.6915829025398812E-3</v>
      </c>
      <c r="P9" s="29"/>
      <c r="Q9" s="35" t="s">
        <v>132</v>
      </c>
      <c r="R9" s="28">
        <f>J18/R7</f>
        <v>0.17939941841030177</v>
      </c>
      <c r="S9" s="36"/>
      <c r="T9" s="30" t="s">
        <v>133</v>
      </c>
      <c r="U9" s="37">
        <f>O13</f>
        <v>5497.8940374988661</v>
      </c>
      <c r="V9" s="38"/>
      <c r="W9" s="30" t="s">
        <v>134</v>
      </c>
      <c r="X9" s="37">
        <f>R16</f>
        <v>40419.616798558578</v>
      </c>
    </row>
    <row r="10" spans="1:24" ht="15.75">
      <c r="H10" s="17" t="s">
        <v>94</v>
      </c>
      <c r="I10" s="25">
        <f>ONSV_AUX_2013!J32</f>
        <v>1635415</v>
      </c>
      <c r="J10" s="4"/>
      <c r="K10" s="1" t="s">
        <v>2</v>
      </c>
      <c r="L10" s="28">
        <f>I17/L7</f>
        <v>0.15413547830367905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3.3697045535241485E-2</v>
      </c>
      <c r="M11" s="7"/>
      <c r="N11" s="13" t="s">
        <v>135</v>
      </c>
      <c r="O11" s="25">
        <f>IF(O9*I6&gt;J23,J23,O9*I6)</f>
        <v>7205.7741885164933</v>
      </c>
      <c r="P11" s="41"/>
      <c r="Q11" s="30" t="s">
        <v>136</v>
      </c>
      <c r="R11" s="25">
        <f>I7-I15-I16-I19-I22</f>
        <v>112725</v>
      </c>
      <c r="S11" s="42"/>
      <c r="T11" s="30" t="s">
        <v>137</v>
      </c>
      <c r="U11" s="32">
        <f>O19</f>
        <v>821846.22581148357</v>
      </c>
      <c r="V11" s="41"/>
      <c r="W11" s="30" t="s">
        <v>138</v>
      </c>
      <c r="X11" s="32">
        <f>I15</f>
        <v>95310</v>
      </c>
    </row>
    <row r="12" spans="1:24" ht="15.75">
      <c r="H12" s="9" t="s">
        <v>139</v>
      </c>
      <c r="K12" s="1" t="s">
        <v>0</v>
      </c>
      <c r="L12" s="28">
        <f>I23/L7</f>
        <v>7.0590209498006037E-3</v>
      </c>
      <c r="O12" s="24"/>
      <c r="P12" s="41"/>
      <c r="Q12" s="30" t="s">
        <v>140</v>
      </c>
      <c r="R12" s="25">
        <f>R8*R11</f>
        <v>92502.200559698744</v>
      </c>
      <c r="S12" s="24"/>
      <c r="T12" s="30" t="s">
        <v>141</v>
      </c>
      <c r="U12" s="32">
        <f>O17</f>
        <v>157755</v>
      </c>
      <c r="V12" s="31"/>
      <c r="W12" s="30" t="s">
        <v>142</v>
      </c>
      <c r="X12" s="32">
        <f>I16</f>
        <v>24300</v>
      </c>
    </row>
    <row r="13" spans="1:24" ht="15.75">
      <c r="K13" s="5"/>
      <c r="L13" s="5"/>
      <c r="M13" s="5"/>
      <c r="N13" s="13" t="s">
        <v>143</v>
      </c>
      <c r="O13" s="25">
        <f>J23-O11</f>
        <v>5497.8940374988661</v>
      </c>
      <c r="P13" s="41"/>
      <c r="Q13" s="30" t="s">
        <v>125</v>
      </c>
      <c r="R13" s="25">
        <f>R9*R11</f>
        <v>20222.799440301267</v>
      </c>
      <c r="S13" s="24"/>
      <c r="T13" s="30" t="s">
        <v>144</v>
      </c>
      <c r="U13" s="32">
        <f>O18</f>
        <v>3412</v>
      </c>
      <c r="V13" s="36"/>
      <c r="W13" s="24"/>
      <c r="X13" s="27"/>
    </row>
    <row r="14" spans="1:24" ht="15.75">
      <c r="H14" s="18" t="s">
        <v>104</v>
      </c>
      <c r="I14" s="25">
        <f>ONSV_AUX_2013!J56</f>
        <v>1448940</v>
      </c>
      <c r="J14" s="26">
        <f>I14-(L9*I8)</f>
        <v>1448902.159902605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37.840097395004705</v>
      </c>
      <c r="V14" s="36"/>
      <c r="W14" s="30" t="s">
        <v>146</v>
      </c>
      <c r="X14" s="32">
        <f>I22</f>
        <v>18616</v>
      </c>
    </row>
    <row r="15" spans="1:24" ht="15.75">
      <c r="H15" s="18" t="s">
        <v>105</v>
      </c>
      <c r="I15" s="25">
        <f>ONSV_AUX_2013!J57</f>
        <v>95310</v>
      </c>
      <c r="J15" s="4">
        <f>I15</f>
        <v>95310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184885.55507282098</v>
      </c>
      <c r="S15" s="24"/>
      <c r="T15" s="30" t="s">
        <v>149</v>
      </c>
      <c r="U15" s="37">
        <f>O20</f>
        <v>465888.93409112142</v>
      </c>
      <c r="V15" s="24"/>
      <c r="W15" s="30" t="s">
        <v>150</v>
      </c>
      <c r="X15" s="32">
        <f>I19</f>
        <v>7497</v>
      </c>
    </row>
    <row r="16" spans="1:24" ht="15.75">
      <c r="H16" s="18" t="s">
        <v>106</v>
      </c>
      <c r="I16" s="25">
        <f>ONSV_AUX_2013!J58</f>
        <v>24300</v>
      </c>
      <c r="J16" s="4">
        <f>I16</f>
        <v>24300</v>
      </c>
      <c r="K16" s="5"/>
      <c r="L16" s="5"/>
      <c r="M16" s="5"/>
      <c r="O16" s="38"/>
      <c r="P16" s="41"/>
      <c r="Q16" s="30" t="s">
        <v>134</v>
      </c>
      <c r="R16" s="25">
        <f>J18-R13</f>
        <v>40419.616798558578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ONSV_AUX_2013!J59</f>
        <v>277395</v>
      </c>
      <c r="J17" s="26">
        <f>I17-(L10*I8)</f>
        <v>277387.75563251972</v>
      </c>
      <c r="K17" s="5"/>
      <c r="L17" s="5"/>
      <c r="M17" s="5"/>
      <c r="N17" s="13" t="s">
        <v>141</v>
      </c>
      <c r="O17" s="25">
        <f>I5</f>
        <v>157755</v>
      </c>
      <c r="P17" s="41"/>
      <c r="Q17" s="24"/>
      <c r="R17" s="24"/>
      <c r="S17" s="42"/>
      <c r="T17" s="30" t="s">
        <v>140</v>
      </c>
      <c r="U17" s="33">
        <f>R12</f>
        <v>92502.200559698744</v>
      </c>
      <c r="V17" s="24"/>
      <c r="W17" s="30" t="s">
        <v>151</v>
      </c>
      <c r="X17" s="32">
        <f>I20</f>
        <v>722562</v>
      </c>
    </row>
    <row r="18" spans="8:24" ht="15.75">
      <c r="H18" s="18" t="s">
        <v>108</v>
      </c>
      <c r="I18" s="25">
        <f>ONSV_AUX_2013!J60</f>
        <v>60644</v>
      </c>
      <c r="J18" s="26">
        <f>I18-(L11*I8)</f>
        <v>60642.416238859842</v>
      </c>
      <c r="K18" s="5"/>
      <c r="L18" s="5"/>
      <c r="M18" s="5"/>
      <c r="N18" s="13" t="s">
        <v>144</v>
      </c>
      <c r="O18" s="25">
        <f>I9</f>
        <v>3412</v>
      </c>
      <c r="P18" s="41"/>
      <c r="Q18" s="24"/>
      <c r="R18" s="24"/>
      <c r="S18" s="24"/>
      <c r="T18" s="30" t="s">
        <v>152</v>
      </c>
      <c r="U18" s="33">
        <f>I17-J17</f>
        <v>7.2443674802780151</v>
      </c>
      <c r="V18" s="24"/>
      <c r="W18" s="30" t="s">
        <v>153</v>
      </c>
      <c r="X18" s="32">
        <f>I21</f>
        <v>210135</v>
      </c>
    </row>
    <row r="19" spans="8:24" ht="15.75">
      <c r="H19" s="18" t="s">
        <v>109</v>
      </c>
      <c r="I19" s="25">
        <f>ONSV_AUX_2013!J61</f>
        <v>7497</v>
      </c>
      <c r="J19" s="4">
        <f>I19</f>
        <v>7497</v>
      </c>
      <c r="K19" s="5"/>
      <c r="L19" s="5"/>
      <c r="M19" s="5"/>
      <c r="N19" s="13" t="s">
        <v>137</v>
      </c>
      <c r="O19" s="25">
        <f>IF(OR((O8*I6&gt;J14),((O17+O18+(O8*I6))&gt;J14)),(J14-O17-O18),(O8*I6))</f>
        <v>821846.22581148357</v>
      </c>
      <c r="P19" s="41"/>
      <c r="Q19" s="24"/>
      <c r="R19" s="43"/>
      <c r="S19" s="24"/>
      <c r="T19" s="30" t="s">
        <v>148</v>
      </c>
      <c r="U19" s="37">
        <f>R15</f>
        <v>184885.55507282098</v>
      </c>
      <c r="V19" s="24"/>
      <c r="W19" s="24"/>
      <c r="X19" s="24"/>
    </row>
    <row r="20" spans="8:24" ht="15.75">
      <c r="H20" s="18" t="s">
        <v>110</v>
      </c>
      <c r="I20" s="25">
        <f>ONSV_AUX_2013!J62</f>
        <v>722562</v>
      </c>
      <c r="J20" s="4">
        <f>I20</f>
        <v>722562</v>
      </c>
      <c r="K20" s="5"/>
      <c r="L20" s="5"/>
      <c r="M20" s="5"/>
      <c r="N20" s="13" t="s">
        <v>149</v>
      </c>
      <c r="O20" s="25">
        <f>IF((J14-O17-O19-O18)&lt;0,0,(J14-O17-O19-O18))</f>
        <v>465888.93409112142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ONSV_AUX_2013!J63</f>
        <v>210135</v>
      </c>
      <c r="J21" s="4">
        <f>I21</f>
        <v>210135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2878103</v>
      </c>
    </row>
    <row r="22" spans="8:24" ht="15.75">
      <c r="H22" s="18" t="s">
        <v>112</v>
      </c>
      <c r="I22" s="25">
        <f>ONSV_AUX_2013!J64</f>
        <v>18616</v>
      </c>
      <c r="J22" s="4">
        <f>I22</f>
        <v>18616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ONSV_AUX_2013!J65</f>
        <v>12704</v>
      </c>
      <c r="J23" s="26">
        <f>I23-(L12*I8)</f>
        <v>12703.668226015359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K5:L5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X23"/>
  <sheetViews>
    <sheetView showGridLines="0" zoomScale="90" zoomScaleNormal="90" workbookViewId="0">
      <selection activeCell="L34" sqref="L3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15" customFormat="1" ht="15.75">
      <c r="A1" s="131" t="str">
        <f>"MARANHÃO/"&amp;ONSV_AUX_2013!A1&amp;""</f>
        <v>MARANHÃO/2013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ONSV_AUX_2013!K27</f>
        <v>13573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ONSV_AUX_2013!K28</f>
        <v>380505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ONSV_AUX_2013!K29</f>
        <v>89197</v>
      </c>
      <c r="J7" s="3"/>
      <c r="K7" s="1" t="s">
        <v>121</v>
      </c>
      <c r="L7" s="25">
        <f>I14+I17+I18+I23</f>
        <v>424016</v>
      </c>
      <c r="N7" s="13" t="s">
        <v>122</v>
      </c>
      <c r="O7" s="25">
        <f>J14+J23</f>
        <v>328054.05929257389</v>
      </c>
      <c r="P7" s="29"/>
      <c r="Q7" s="30" t="s">
        <v>123</v>
      </c>
      <c r="R7" s="25">
        <f>J17+J18</f>
        <v>95890.940707426125</v>
      </c>
      <c r="S7" s="31"/>
      <c r="T7" s="30" t="s">
        <v>124</v>
      </c>
      <c r="U7" s="32">
        <f>O11</f>
        <v>5565.0679927172559</v>
      </c>
      <c r="V7" s="24"/>
      <c r="W7" s="30" t="s">
        <v>125</v>
      </c>
      <c r="X7" s="33">
        <f>R13</f>
        <v>10351.563671056338</v>
      </c>
    </row>
    <row r="8" spans="1:24" ht="15.75">
      <c r="H8" s="17" t="s">
        <v>101</v>
      </c>
      <c r="I8" s="25">
        <f>ONSV_AUX_2013!K30</f>
        <v>71</v>
      </c>
      <c r="J8" s="3"/>
      <c r="K8" s="12"/>
      <c r="L8" s="27"/>
      <c r="M8" s="7"/>
      <c r="N8" s="13" t="s">
        <v>126</v>
      </c>
      <c r="O8" s="34">
        <f>J14/O7</f>
        <v>0.98303612519010453</v>
      </c>
      <c r="P8" s="29"/>
      <c r="Q8" s="35" t="s">
        <v>127</v>
      </c>
      <c r="R8" s="28">
        <f>J17/R7</f>
        <v>0.7651162063248772</v>
      </c>
      <c r="S8" s="36"/>
      <c r="T8" s="30" t="s">
        <v>128</v>
      </c>
      <c r="U8" s="32">
        <f>I23-J23</f>
        <v>0.93200728274405265</v>
      </c>
      <c r="V8" s="24"/>
      <c r="W8" s="30" t="s">
        <v>129</v>
      </c>
      <c r="X8" s="33">
        <f>I18-J18</f>
        <v>3.7720675634882355</v>
      </c>
    </row>
    <row r="9" spans="1:24" ht="15.75">
      <c r="H9" s="17" t="s">
        <v>16</v>
      </c>
      <c r="I9" s="25">
        <f>ONSV_AUX_2013!K31</f>
        <v>170</v>
      </c>
      <c r="J9" s="3"/>
      <c r="K9" s="1" t="s">
        <v>130</v>
      </c>
      <c r="L9" s="28">
        <f>I14/L7</f>
        <v>0.76068591751254666</v>
      </c>
      <c r="M9" s="7"/>
      <c r="N9" s="13" t="s">
        <v>131</v>
      </c>
      <c r="O9" s="34">
        <f>J23/O7</f>
        <v>1.6963874809895491E-2</v>
      </c>
      <c r="P9" s="29"/>
      <c r="Q9" s="35" t="s">
        <v>132</v>
      </c>
      <c r="R9" s="28">
        <f>J18/R7</f>
        <v>0.2348837936751228</v>
      </c>
      <c r="S9" s="36"/>
      <c r="T9" s="30" t="s">
        <v>133</v>
      </c>
      <c r="U9" s="37">
        <f>O13</f>
        <v>0</v>
      </c>
      <c r="V9" s="38"/>
      <c r="W9" s="30" t="s">
        <v>134</v>
      </c>
      <c r="X9" s="37">
        <f>R16</f>
        <v>12171.664261380174</v>
      </c>
    </row>
    <row r="10" spans="1:24" ht="15.75">
      <c r="H10" s="17" t="s">
        <v>94</v>
      </c>
      <c r="I10" s="25">
        <f>ONSV_AUX_2013!K32</f>
        <v>653550</v>
      </c>
      <c r="J10" s="4"/>
      <c r="K10" s="1" t="s">
        <v>2</v>
      </c>
      <c r="L10" s="28">
        <f>I17/L7</f>
        <v>0.17305950718840798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5.3127712161805216E-2</v>
      </c>
      <c r="M11" s="7"/>
      <c r="N11" s="13" t="s">
        <v>135</v>
      </c>
      <c r="O11" s="25">
        <f>IF(O9*I6&gt;J23,J23,O9*I6)</f>
        <v>5565.0679927172559</v>
      </c>
      <c r="P11" s="41"/>
      <c r="Q11" s="30" t="s">
        <v>136</v>
      </c>
      <c r="R11" s="25">
        <f>I7-I15-I16-I19-I22</f>
        <v>44071</v>
      </c>
      <c r="S11" s="42"/>
      <c r="T11" s="30" t="s">
        <v>137</v>
      </c>
      <c r="U11" s="32">
        <f>O19</f>
        <v>308745.99129985663</v>
      </c>
      <c r="V11" s="41"/>
      <c r="W11" s="30" t="s">
        <v>138</v>
      </c>
      <c r="X11" s="32">
        <f>I15</f>
        <v>31732</v>
      </c>
    </row>
    <row r="12" spans="1:24" ht="15.75">
      <c r="H12" s="9" t="s">
        <v>139</v>
      </c>
      <c r="K12" s="1" t="s">
        <v>0</v>
      </c>
      <c r="L12" s="28">
        <f>I23/L7</f>
        <v>1.3126863137240104E-2</v>
      </c>
      <c r="O12" s="24"/>
      <c r="P12" s="41"/>
      <c r="Q12" s="30" t="s">
        <v>140</v>
      </c>
      <c r="R12" s="25">
        <f>R8*R11</f>
        <v>33719.436328943666</v>
      </c>
      <c r="S12" s="24"/>
      <c r="T12" s="30" t="s">
        <v>141</v>
      </c>
      <c r="U12" s="32">
        <f>O17</f>
        <v>13573</v>
      </c>
      <c r="V12" s="31"/>
      <c r="W12" s="30" t="s">
        <v>142</v>
      </c>
      <c r="X12" s="32">
        <f>I16</f>
        <v>2682</v>
      </c>
    </row>
    <row r="13" spans="1:24" ht="15.75">
      <c r="K13" s="5"/>
      <c r="L13" s="5"/>
      <c r="M13" s="5"/>
      <c r="N13" s="13" t="s">
        <v>143</v>
      </c>
      <c r="O13" s="25">
        <f>J23-O11</f>
        <v>0</v>
      </c>
      <c r="P13" s="41"/>
      <c r="Q13" s="30" t="s">
        <v>125</v>
      </c>
      <c r="R13" s="25">
        <f>R9*R11</f>
        <v>10351.563671056338</v>
      </c>
      <c r="S13" s="24"/>
      <c r="T13" s="30" t="s">
        <v>144</v>
      </c>
      <c r="U13" s="32">
        <f>O18</f>
        <v>170</v>
      </c>
      <c r="V13" s="36"/>
      <c r="W13" s="24"/>
      <c r="X13" s="27"/>
    </row>
    <row r="14" spans="1:24" ht="15.75">
      <c r="H14" s="18" t="s">
        <v>104</v>
      </c>
      <c r="I14" s="25">
        <f>ONSV_AUX_2013!K56</f>
        <v>322543</v>
      </c>
      <c r="J14" s="26">
        <f>I14-(L9*I8)</f>
        <v>322488.99129985663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54.008700143371243</v>
      </c>
      <c r="V14" s="36"/>
      <c r="W14" s="30" t="s">
        <v>146</v>
      </c>
      <c r="X14" s="32">
        <f>I22</f>
        <v>6710</v>
      </c>
    </row>
    <row r="15" spans="1:24" ht="15.75">
      <c r="H15" s="18" t="s">
        <v>105</v>
      </c>
      <c r="I15" s="25">
        <f>ONSV_AUX_2013!K57</f>
        <v>31732</v>
      </c>
      <c r="J15" s="4">
        <f>I15</f>
        <v>31732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39648.276446045951</v>
      </c>
      <c r="S15" s="24"/>
      <c r="T15" s="30" t="s">
        <v>149</v>
      </c>
      <c r="U15" s="37">
        <f>O20</f>
        <v>0</v>
      </c>
      <c r="V15" s="24"/>
      <c r="W15" s="30" t="s">
        <v>150</v>
      </c>
      <c r="X15" s="32">
        <f>I19</f>
        <v>4002</v>
      </c>
    </row>
    <row r="16" spans="1:24" ht="15.75">
      <c r="H16" s="18" t="s">
        <v>106</v>
      </c>
      <c r="I16" s="25">
        <f>ONSV_AUX_2013!K58</f>
        <v>2682</v>
      </c>
      <c r="J16" s="4">
        <f>I16</f>
        <v>2682</v>
      </c>
      <c r="K16" s="5"/>
      <c r="L16" s="5"/>
      <c r="M16" s="5"/>
      <c r="O16" s="38"/>
      <c r="P16" s="41"/>
      <c r="Q16" s="30" t="s">
        <v>134</v>
      </c>
      <c r="R16" s="25">
        <f>J18-R13</f>
        <v>12171.664261380174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ONSV_AUX_2013!K59</f>
        <v>73380</v>
      </c>
      <c r="J17" s="26">
        <f>I17-(L10*I8)</f>
        <v>73367.712774989617</v>
      </c>
      <c r="K17" s="5"/>
      <c r="L17" s="5"/>
      <c r="M17" s="5"/>
      <c r="N17" s="13" t="s">
        <v>141</v>
      </c>
      <c r="O17" s="25">
        <f>I5</f>
        <v>13573</v>
      </c>
      <c r="P17" s="41"/>
      <c r="Q17" s="24"/>
      <c r="R17" s="24"/>
      <c r="S17" s="42"/>
      <c r="T17" s="30" t="s">
        <v>140</v>
      </c>
      <c r="U17" s="33">
        <f>R12</f>
        <v>33719.436328943666</v>
      </c>
      <c r="V17" s="24"/>
      <c r="W17" s="30" t="s">
        <v>151</v>
      </c>
      <c r="X17" s="32">
        <f>I20</f>
        <v>576053</v>
      </c>
    </row>
    <row r="18" spans="8:24" ht="15.75">
      <c r="H18" s="18" t="s">
        <v>108</v>
      </c>
      <c r="I18" s="25">
        <f>ONSV_AUX_2013!K60</f>
        <v>22527</v>
      </c>
      <c r="J18" s="26">
        <f>I18-(L11*I8)</f>
        <v>22523.227932436512</v>
      </c>
      <c r="K18" s="5"/>
      <c r="L18" s="5"/>
      <c r="M18" s="5"/>
      <c r="N18" s="13" t="s">
        <v>144</v>
      </c>
      <c r="O18" s="25">
        <f>I9</f>
        <v>170</v>
      </c>
      <c r="P18" s="41"/>
      <c r="Q18" s="24"/>
      <c r="R18" s="24"/>
      <c r="S18" s="24"/>
      <c r="T18" s="30" t="s">
        <v>152</v>
      </c>
      <c r="U18" s="33">
        <f>I17-J17</f>
        <v>12.287225010382826</v>
      </c>
      <c r="V18" s="24"/>
      <c r="W18" s="30" t="s">
        <v>153</v>
      </c>
      <c r="X18" s="32">
        <f>I21</f>
        <v>87881</v>
      </c>
    </row>
    <row r="19" spans="8:24" ht="15.75">
      <c r="H19" s="18" t="s">
        <v>109</v>
      </c>
      <c r="I19" s="25">
        <f>ONSV_AUX_2013!K61</f>
        <v>4002</v>
      </c>
      <c r="J19" s="4">
        <f>I19</f>
        <v>4002</v>
      </c>
      <c r="K19" s="5"/>
      <c r="L19" s="5"/>
      <c r="M19" s="5"/>
      <c r="N19" s="13" t="s">
        <v>137</v>
      </c>
      <c r="O19" s="25">
        <f>IF(OR((O8*I6&gt;J14),((O17+O18+(O8*I6))&gt;J14)),(J14-O17-O18),(O8*I6))</f>
        <v>308745.99129985663</v>
      </c>
      <c r="P19" s="41"/>
      <c r="Q19" s="24"/>
      <c r="R19" s="43"/>
      <c r="S19" s="24"/>
      <c r="T19" s="30" t="s">
        <v>148</v>
      </c>
      <c r="U19" s="37">
        <f>R15</f>
        <v>39648.276446045951</v>
      </c>
      <c r="V19" s="24"/>
      <c r="W19" s="24"/>
      <c r="X19" s="24"/>
    </row>
    <row r="20" spans="8:24" ht="15.75">
      <c r="H20" s="18" t="s">
        <v>110</v>
      </c>
      <c r="I20" s="25">
        <f>ONSV_AUX_2013!K62</f>
        <v>576053</v>
      </c>
      <c r="J20" s="4">
        <f>I20</f>
        <v>576053</v>
      </c>
      <c r="K20" s="5"/>
      <c r="L20" s="5"/>
      <c r="M20" s="5"/>
      <c r="N20" s="13" t="s">
        <v>149</v>
      </c>
      <c r="O20" s="25">
        <f>IF((J14-O17-O19-O18)&lt;0,0,(J14-O17-O19-O18))</f>
        <v>0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ONSV_AUX_2013!K63</f>
        <v>87881</v>
      </c>
      <c r="J21" s="4">
        <f>I21</f>
        <v>87881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1133076</v>
      </c>
    </row>
    <row r="22" spans="8:24" ht="15.75">
      <c r="H22" s="18" t="s">
        <v>112</v>
      </c>
      <c r="I22" s="25">
        <f>ONSV_AUX_2013!K64</f>
        <v>6710</v>
      </c>
      <c r="J22" s="4">
        <f>I22</f>
        <v>6710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ONSV_AUX_2013!K65</f>
        <v>5566</v>
      </c>
      <c r="J23" s="26">
        <f>I23-(L12*I8)</f>
        <v>5565.0679927172559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X23"/>
  <sheetViews>
    <sheetView showGridLines="0" zoomScale="90" zoomScaleNormal="90" workbookViewId="0">
      <selection activeCell="G2" sqref="G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14" customFormat="1" ht="15.75">
      <c r="A1" s="131" t="str">
        <f>"MATO GROSSO/"&amp;ONSV_AUX_2013!A1&amp;""</f>
        <v>MATO GROSSO/2013</v>
      </c>
      <c r="B1" s="132"/>
      <c r="C1" s="132"/>
      <c r="D1" s="132"/>
      <c r="E1" s="132"/>
      <c r="F1" s="132"/>
      <c r="G1" s="132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ONSV_AUX_2013!L27</f>
        <v>47233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ONSV_AUX_2013!L28</f>
        <v>396796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ONSV_AUX_2013!L29</f>
        <v>174009</v>
      </c>
      <c r="J7" s="3"/>
      <c r="K7" s="1" t="s">
        <v>121</v>
      </c>
      <c r="L7" s="25">
        <f>I14+I17+I18+I23</f>
        <v>703791</v>
      </c>
      <c r="N7" s="13" t="s">
        <v>122</v>
      </c>
      <c r="O7" s="25">
        <f>J14+J23</f>
        <v>526330.26525062125</v>
      </c>
      <c r="P7" s="29"/>
      <c r="Q7" s="30" t="s">
        <v>123</v>
      </c>
      <c r="R7" s="25">
        <f>J17+J18</f>
        <v>177328.73474937872</v>
      </c>
      <c r="S7" s="31"/>
      <c r="T7" s="30" t="s">
        <v>124</v>
      </c>
      <c r="U7" s="32">
        <f>O11</f>
        <v>5668.2020177459826</v>
      </c>
      <c r="V7" s="24"/>
      <c r="W7" s="30" t="s">
        <v>125</v>
      </c>
      <c r="X7" s="33">
        <f>R13</f>
        <v>12771.07420980819</v>
      </c>
    </row>
    <row r="8" spans="1:24" ht="15.75">
      <c r="H8" s="17" t="s">
        <v>101</v>
      </c>
      <c r="I8" s="25">
        <f>ONSV_AUX_2013!L30</f>
        <v>132</v>
      </c>
      <c r="J8" s="3"/>
      <c r="K8" s="12"/>
      <c r="L8" s="27"/>
      <c r="M8" s="7"/>
      <c r="N8" s="13" t="s">
        <v>126</v>
      </c>
      <c r="O8" s="34">
        <f>J14/O7</f>
        <v>0.98571507268786485</v>
      </c>
      <c r="P8" s="29"/>
      <c r="Q8" s="35" t="s">
        <v>127</v>
      </c>
      <c r="R8" s="28">
        <f>J17/R7</f>
        <v>0.84231684351777725</v>
      </c>
      <c r="S8" s="36"/>
      <c r="T8" s="30" t="s">
        <v>128</v>
      </c>
      <c r="U8" s="32">
        <f>I23-J23</f>
        <v>1.4104187180573717</v>
      </c>
      <c r="V8" s="24"/>
      <c r="W8" s="30" t="s">
        <v>129</v>
      </c>
      <c r="X8" s="33">
        <f>I18-J18</f>
        <v>5.2453697191340325</v>
      </c>
    </row>
    <row r="9" spans="1:24" ht="15.75">
      <c r="H9" s="17" t="s">
        <v>16</v>
      </c>
      <c r="I9" s="25">
        <f>ONSV_AUX_2013!L31</f>
        <v>1566</v>
      </c>
      <c r="J9" s="3"/>
      <c r="K9" s="1" t="s">
        <v>130</v>
      </c>
      <c r="L9" s="28">
        <f>I14/L7</f>
        <v>0.73730553530806731</v>
      </c>
      <c r="M9" s="7"/>
      <c r="N9" s="13" t="s">
        <v>131</v>
      </c>
      <c r="O9" s="34">
        <f>J23/O7</f>
        <v>1.4284927312135159E-2</v>
      </c>
      <c r="P9" s="29"/>
      <c r="Q9" s="35" t="s">
        <v>132</v>
      </c>
      <c r="R9" s="28">
        <f>J18/R7</f>
        <v>0.15768315648222281</v>
      </c>
      <c r="S9" s="36"/>
      <c r="T9" s="30" t="s">
        <v>133</v>
      </c>
      <c r="U9" s="37">
        <f>O13</f>
        <v>1850.38756353596</v>
      </c>
      <c r="V9" s="38"/>
      <c r="W9" s="30" t="s">
        <v>134</v>
      </c>
      <c r="X9" s="37">
        <f>R16</f>
        <v>15190.680420472676</v>
      </c>
    </row>
    <row r="10" spans="1:24" ht="15.75">
      <c r="H10" s="17" t="s">
        <v>94</v>
      </c>
      <c r="I10" s="25">
        <f>ONSV_AUX_2013!L32</f>
        <v>811769</v>
      </c>
      <c r="J10" s="4"/>
      <c r="K10" s="1" t="s">
        <v>2</v>
      </c>
      <c r="L10" s="28">
        <f>I17/L7</f>
        <v>0.21227182501623351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3.9737649387389155E-2</v>
      </c>
      <c r="M11" s="7"/>
      <c r="N11" s="13" t="s">
        <v>135</v>
      </c>
      <c r="O11" s="25">
        <f>IF(O9*I6&gt;J23,J23,O9*I6)</f>
        <v>5668.2020177459826</v>
      </c>
      <c r="P11" s="41"/>
      <c r="Q11" s="30" t="s">
        <v>136</v>
      </c>
      <c r="R11" s="25">
        <f>I7-I15-I16-I19-I22</f>
        <v>80992</v>
      </c>
      <c r="S11" s="42"/>
      <c r="T11" s="30" t="s">
        <v>137</v>
      </c>
      <c r="U11" s="32">
        <f>O19</f>
        <v>391127.79798225401</v>
      </c>
      <c r="V11" s="41"/>
      <c r="W11" s="30" t="s">
        <v>138</v>
      </c>
      <c r="X11" s="32">
        <f>I15</f>
        <v>56722</v>
      </c>
    </row>
    <row r="12" spans="1:24" ht="15.75">
      <c r="H12" s="9" t="s">
        <v>139</v>
      </c>
      <c r="K12" s="1" t="s">
        <v>0</v>
      </c>
      <c r="L12" s="28">
        <f>I23/L7</f>
        <v>1.0684990288310024E-2</v>
      </c>
      <c r="O12" s="24"/>
      <c r="P12" s="41"/>
      <c r="Q12" s="30" t="s">
        <v>140</v>
      </c>
      <c r="R12" s="25">
        <f>R8*R11</f>
        <v>68220.925790191817</v>
      </c>
      <c r="S12" s="24"/>
      <c r="T12" s="30" t="s">
        <v>141</v>
      </c>
      <c r="U12" s="32">
        <f>O17</f>
        <v>47233</v>
      </c>
      <c r="V12" s="31"/>
      <c r="W12" s="30" t="s">
        <v>142</v>
      </c>
      <c r="X12" s="32">
        <f>I16</f>
        <v>24498</v>
      </c>
    </row>
    <row r="13" spans="1:24" ht="15.75">
      <c r="K13" s="5"/>
      <c r="L13" s="5"/>
      <c r="M13" s="5"/>
      <c r="N13" s="13" t="s">
        <v>143</v>
      </c>
      <c r="O13" s="25">
        <f>J23-O11</f>
        <v>1850.38756353596</v>
      </c>
      <c r="P13" s="41"/>
      <c r="Q13" s="30" t="s">
        <v>125</v>
      </c>
      <c r="R13" s="25">
        <f>R9*R11</f>
        <v>12771.07420980819</v>
      </c>
      <c r="S13" s="24"/>
      <c r="T13" s="30" t="s">
        <v>144</v>
      </c>
      <c r="U13" s="32">
        <f>O18</f>
        <v>1566</v>
      </c>
      <c r="V13" s="36"/>
      <c r="W13" s="24"/>
      <c r="X13" s="27"/>
    </row>
    <row r="14" spans="1:24" ht="15.75">
      <c r="H14" s="18" t="s">
        <v>104</v>
      </c>
      <c r="I14" s="25">
        <f>ONSV_AUX_2013!L56</f>
        <v>518909</v>
      </c>
      <c r="J14" s="26">
        <f>I14-(L9*I8)</f>
        <v>518811.67566933931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97.324330660689157</v>
      </c>
      <c r="V14" s="36"/>
      <c r="W14" s="30" t="s">
        <v>146</v>
      </c>
      <c r="X14" s="32">
        <f>I22</f>
        <v>9134</v>
      </c>
    </row>
    <row r="15" spans="1:24" ht="15.75">
      <c r="H15" s="18" t="s">
        <v>105</v>
      </c>
      <c r="I15" s="25">
        <f>ONSV_AUX_2013!L57</f>
        <v>56722</v>
      </c>
      <c r="J15" s="4">
        <f>I15</f>
        <v>56722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81146.054328906044</v>
      </c>
      <c r="S15" s="24"/>
      <c r="T15" s="30" t="s">
        <v>149</v>
      </c>
      <c r="U15" s="37">
        <f>O20</f>
        <v>78884.877687085303</v>
      </c>
      <c r="V15" s="24"/>
      <c r="W15" s="30" t="s">
        <v>150</v>
      </c>
      <c r="X15" s="32">
        <f>I19</f>
        <v>2663</v>
      </c>
    </row>
    <row r="16" spans="1:24" ht="15.75">
      <c r="H16" s="18" t="s">
        <v>106</v>
      </c>
      <c r="I16" s="25">
        <f>ONSV_AUX_2013!L58</f>
        <v>24498</v>
      </c>
      <c r="J16" s="4">
        <f>I16</f>
        <v>24498</v>
      </c>
      <c r="K16" s="5"/>
      <c r="L16" s="5"/>
      <c r="M16" s="5"/>
      <c r="O16" s="38"/>
      <c r="P16" s="41"/>
      <c r="Q16" s="30" t="s">
        <v>134</v>
      </c>
      <c r="R16" s="25">
        <f>J18-R13</f>
        <v>15190.680420472676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ONSV_AUX_2013!L59</f>
        <v>149395</v>
      </c>
      <c r="J17" s="26">
        <f>I17-(L10*I8)</f>
        <v>149366.98011909786</v>
      </c>
      <c r="K17" s="5"/>
      <c r="L17" s="5"/>
      <c r="M17" s="5"/>
      <c r="N17" s="13" t="s">
        <v>141</v>
      </c>
      <c r="O17" s="25">
        <f>I5</f>
        <v>47233</v>
      </c>
      <c r="P17" s="41"/>
      <c r="Q17" s="24"/>
      <c r="R17" s="24"/>
      <c r="S17" s="42"/>
      <c r="T17" s="30" t="s">
        <v>140</v>
      </c>
      <c r="U17" s="33">
        <f>R12</f>
        <v>68220.925790191817</v>
      </c>
      <c r="V17" s="24"/>
      <c r="W17" s="30" t="s">
        <v>151</v>
      </c>
      <c r="X17" s="32">
        <f>I20</f>
        <v>479301</v>
      </c>
    </row>
    <row r="18" spans="8:24" ht="15.75">
      <c r="H18" s="18" t="s">
        <v>108</v>
      </c>
      <c r="I18" s="25">
        <f>ONSV_AUX_2013!L60</f>
        <v>27967</v>
      </c>
      <c r="J18" s="26">
        <f>I18-(L11*I8)</f>
        <v>27961.754630280866</v>
      </c>
      <c r="K18" s="5"/>
      <c r="L18" s="5"/>
      <c r="M18" s="5"/>
      <c r="N18" s="13" t="s">
        <v>144</v>
      </c>
      <c r="O18" s="25">
        <f>I9</f>
        <v>1566</v>
      </c>
      <c r="P18" s="41"/>
      <c r="Q18" s="24"/>
      <c r="R18" s="24"/>
      <c r="S18" s="24"/>
      <c r="T18" s="30" t="s">
        <v>152</v>
      </c>
      <c r="U18" s="33">
        <f>I17-J17</f>
        <v>28.019880902138539</v>
      </c>
      <c r="V18" s="24"/>
      <c r="W18" s="30" t="s">
        <v>153</v>
      </c>
      <c r="X18" s="32">
        <f>I21</f>
        <v>152887</v>
      </c>
    </row>
    <row r="19" spans="8:24" ht="15.75">
      <c r="H19" s="18" t="s">
        <v>109</v>
      </c>
      <c r="I19" s="25">
        <f>ONSV_AUX_2013!L61</f>
        <v>2663</v>
      </c>
      <c r="J19" s="4">
        <f>I19</f>
        <v>2663</v>
      </c>
      <c r="K19" s="5"/>
      <c r="L19" s="5"/>
      <c r="M19" s="5"/>
      <c r="N19" s="13" t="s">
        <v>137</v>
      </c>
      <c r="O19" s="25">
        <f>IF(OR((O8*I6&gt;J14),((O17+O18+(O8*I6))&gt;J14)),(J14-O17-O18),(O8*I6))</f>
        <v>391127.79798225401</v>
      </c>
      <c r="P19" s="41"/>
      <c r="Q19" s="24"/>
      <c r="R19" s="43"/>
      <c r="S19" s="24"/>
      <c r="T19" s="30" t="s">
        <v>148</v>
      </c>
      <c r="U19" s="37">
        <f>R15</f>
        <v>81146.054328906044</v>
      </c>
      <c r="V19" s="24"/>
      <c r="W19" s="24"/>
      <c r="X19" s="24"/>
    </row>
    <row r="20" spans="8:24" ht="15.75">
      <c r="H20" s="18" t="s">
        <v>110</v>
      </c>
      <c r="I20" s="25">
        <f>ONSV_AUX_2013!L62</f>
        <v>479301</v>
      </c>
      <c r="J20" s="4">
        <f>I20</f>
        <v>479301</v>
      </c>
      <c r="K20" s="5"/>
      <c r="L20" s="5"/>
      <c r="M20" s="5"/>
      <c r="N20" s="13" t="s">
        <v>149</v>
      </c>
      <c r="O20" s="25">
        <f>IF((J14-O17-O19-O18)&lt;0,0,(J14-O17-O19-O18))</f>
        <v>78884.877687085303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ONSV_AUX_2013!L63</f>
        <v>152887</v>
      </c>
      <c r="J21" s="4">
        <f>I21</f>
        <v>152887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1428996</v>
      </c>
    </row>
    <row r="22" spans="8:24" ht="15.75">
      <c r="H22" s="18" t="s">
        <v>112</v>
      </c>
      <c r="I22" s="25">
        <f>ONSV_AUX_2013!L64</f>
        <v>9134</v>
      </c>
      <c r="J22" s="4">
        <f>I22</f>
        <v>9134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ONSV_AUX_2013!L65</f>
        <v>7520</v>
      </c>
      <c r="J23" s="26">
        <f>I23-(L12*I8)</f>
        <v>7518.5895812819426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K5:L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X23"/>
  <sheetViews>
    <sheetView showGridLines="0" zoomScale="90" zoomScaleNormal="90" workbookViewId="0">
      <selection activeCell="H33" sqref="H33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15" customFormat="1" ht="15.75">
      <c r="A1" s="131" t="str">
        <f>"MATO GROSSO DO SUL/"&amp;ONSV_AUX_2013!A1&amp;""</f>
        <v>MATO GROSSO DO SUL/2013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ONSV_AUX_2013!M27</f>
        <v>52507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ONSV_AUX_2013!M28</f>
        <v>306676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ONSV_AUX_2013!M29</f>
        <v>127590</v>
      </c>
      <c r="J7" s="3"/>
      <c r="K7" s="1" t="s">
        <v>121</v>
      </c>
      <c r="L7" s="25">
        <f>I14+I17+I18+I23</f>
        <v>702115</v>
      </c>
      <c r="N7" s="13" t="s">
        <v>122</v>
      </c>
      <c r="O7" s="25">
        <f>J14+J23</f>
        <v>562722.35954508872</v>
      </c>
      <c r="P7" s="29"/>
      <c r="Q7" s="30" t="s">
        <v>123</v>
      </c>
      <c r="R7" s="25">
        <f>J17+J18</f>
        <v>139365.64045491122</v>
      </c>
      <c r="S7" s="31"/>
      <c r="T7" s="30" t="s">
        <v>124</v>
      </c>
      <c r="U7" s="32">
        <f>O11</f>
        <v>3376.0605532888849</v>
      </c>
      <c r="V7" s="24"/>
      <c r="W7" s="30" t="s">
        <v>125</v>
      </c>
      <c r="X7" s="33">
        <f>R13</f>
        <v>9654.6235443528421</v>
      </c>
    </row>
    <row r="8" spans="1:24" ht="15.75">
      <c r="H8" s="17" t="s">
        <v>101</v>
      </c>
      <c r="I8" s="25">
        <f>ONSV_AUX_2013!M30</f>
        <v>27</v>
      </c>
      <c r="J8" s="3"/>
      <c r="K8" s="12"/>
      <c r="L8" s="27"/>
      <c r="M8" s="7"/>
      <c r="N8" s="13" t="s">
        <v>126</v>
      </c>
      <c r="O8" s="34">
        <f>J14/O7</f>
        <v>0.98899144193452082</v>
      </c>
      <c r="P8" s="29"/>
      <c r="Q8" s="35" t="s">
        <v>127</v>
      </c>
      <c r="R8" s="28">
        <f>J17/R7</f>
        <v>0.83986625625130051</v>
      </c>
      <c r="S8" s="36"/>
      <c r="T8" s="30" t="s">
        <v>128</v>
      </c>
      <c r="U8" s="32">
        <f>I23-J23</f>
        <v>0.23823020445342991</v>
      </c>
      <c r="V8" s="24"/>
      <c r="W8" s="30" t="s">
        <v>129</v>
      </c>
      <c r="X8" s="33">
        <f>I18-J18</f>
        <v>0.85824401985519216</v>
      </c>
    </row>
    <row r="9" spans="1:24" ht="15.75">
      <c r="H9" s="17" t="s">
        <v>16</v>
      </c>
      <c r="I9" s="25">
        <f>ONSV_AUX_2013!M31</f>
        <v>5967</v>
      </c>
      <c r="J9" s="3"/>
      <c r="K9" s="1" t="s">
        <v>130</v>
      </c>
      <c r="L9" s="28">
        <f>I14/L7</f>
        <v>0.79267498913995571</v>
      </c>
      <c r="M9" s="7"/>
      <c r="N9" s="13" t="s">
        <v>131</v>
      </c>
      <c r="O9" s="34">
        <f>J23/O7</f>
        <v>1.1008558065479153E-2</v>
      </c>
      <c r="P9" s="29"/>
      <c r="Q9" s="35" t="s">
        <v>132</v>
      </c>
      <c r="R9" s="28">
        <f>J18/R7</f>
        <v>0.16013374374869951</v>
      </c>
      <c r="S9" s="36"/>
      <c r="T9" s="30" t="s">
        <v>133</v>
      </c>
      <c r="U9" s="37">
        <f>O13</f>
        <v>2818.7012165066617</v>
      </c>
      <c r="V9" s="38"/>
      <c r="W9" s="30" t="s">
        <v>134</v>
      </c>
      <c r="X9" s="37">
        <f>R16</f>
        <v>12662.518211627303</v>
      </c>
    </row>
    <row r="10" spans="1:24" ht="15.75">
      <c r="H10" s="17" t="s">
        <v>94</v>
      </c>
      <c r="I10" s="25">
        <f>ONSV_AUX_2013!M32</f>
        <v>665154</v>
      </c>
      <c r="J10" s="4"/>
      <c r="K10" s="1" t="s">
        <v>2</v>
      </c>
      <c r="L10" s="28">
        <f>I17/L7</f>
        <v>0.16671485440419304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3.1786815550159164E-2</v>
      </c>
      <c r="M11" s="7"/>
      <c r="N11" s="13" t="s">
        <v>135</v>
      </c>
      <c r="O11" s="25">
        <f>IF(O9*I6&gt;J23,J23,O9*I6)</f>
        <v>3376.0605532888849</v>
      </c>
      <c r="P11" s="41"/>
      <c r="Q11" s="30" t="s">
        <v>136</v>
      </c>
      <c r="R11" s="25">
        <f>I7-I15-I16-I19-I22</f>
        <v>60291</v>
      </c>
      <c r="S11" s="42"/>
      <c r="T11" s="30" t="s">
        <v>137</v>
      </c>
      <c r="U11" s="32">
        <f>O19</f>
        <v>303299.9394467111</v>
      </c>
      <c r="V11" s="41"/>
      <c r="W11" s="30" t="s">
        <v>138</v>
      </c>
      <c r="X11" s="32">
        <f>I15</f>
        <v>43513</v>
      </c>
    </row>
    <row r="12" spans="1:24" ht="15.75">
      <c r="H12" s="9" t="s">
        <v>139</v>
      </c>
      <c r="K12" s="1" t="s">
        <v>0</v>
      </c>
      <c r="L12" s="28">
        <f>I23/L7</f>
        <v>8.823340905692088E-3</v>
      </c>
      <c r="O12" s="24"/>
      <c r="P12" s="41"/>
      <c r="Q12" s="30" t="s">
        <v>140</v>
      </c>
      <c r="R12" s="25">
        <f>R8*R11</f>
        <v>50636.376455647158</v>
      </c>
      <c r="S12" s="24"/>
      <c r="T12" s="30" t="s">
        <v>141</v>
      </c>
      <c r="U12" s="32">
        <f>O17</f>
        <v>52507</v>
      </c>
      <c r="V12" s="31"/>
      <c r="W12" s="30" t="s">
        <v>142</v>
      </c>
      <c r="X12" s="32">
        <f>I16</f>
        <v>12862</v>
      </c>
    </row>
    <row r="13" spans="1:24" ht="15.75">
      <c r="K13" s="5"/>
      <c r="L13" s="5"/>
      <c r="M13" s="5"/>
      <c r="N13" s="13" t="s">
        <v>143</v>
      </c>
      <c r="O13" s="25">
        <f>J23-O11</f>
        <v>2818.7012165066617</v>
      </c>
      <c r="P13" s="41"/>
      <c r="Q13" s="30" t="s">
        <v>125</v>
      </c>
      <c r="R13" s="25">
        <f>R9*R11</f>
        <v>9654.6235443528421</v>
      </c>
      <c r="S13" s="24"/>
      <c r="T13" s="30" t="s">
        <v>144</v>
      </c>
      <c r="U13" s="32">
        <f>O18</f>
        <v>5967</v>
      </c>
      <c r="V13" s="36"/>
      <c r="W13" s="24"/>
      <c r="X13" s="27"/>
    </row>
    <row r="14" spans="1:24" ht="15.75">
      <c r="H14" s="18" t="s">
        <v>104</v>
      </c>
      <c r="I14" s="25">
        <f>ONSV_AUX_2013!M56</f>
        <v>556549</v>
      </c>
      <c r="J14" s="26">
        <f>I14-(L9*I8)</f>
        <v>556527.59777529316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21.402224706835113</v>
      </c>
      <c r="V14" s="36"/>
      <c r="W14" s="30" t="s">
        <v>146</v>
      </c>
      <c r="X14" s="32">
        <f>I22</f>
        <v>8014</v>
      </c>
    </row>
    <row r="15" spans="1:24" ht="15.75">
      <c r="H15" s="18" t="s">
        <v>105</v>
      </c>
      <c r="I15" s="25">
        <f>ONSV_AUX_2013!M57</f>
        <v>43513</v>
      </c>
      <c r="J15" s="4">
        <f>I15</f>
        <v>43513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66412.122243283928</v>
      </c>
      <c r="S15" s="24"/>
      <c r="T15" s="30" t="s">
        <v>149</v>
      </c>
      <c r="U15" s="37">
        <f>O20</f>
        <v>194753.65832858207</v>
      </c>
      <c r="V15" s="24"/>
      <c r="W15" s="30" t="s">
        <v>150</v>
      </c>
      <c r="X15" s="32">
        <f>I19</f>
        <v>2910</v>
      </c>
    </row>
    <row r="16" spans="1:24" ht="15.75">
      <c r="H16" s="18" t="s">
        <v>106</v>
      </c>
      <c r="I16" s="25">
        <f>ONSV_AUX_2013!M58</f>
        <v>12862</v>
      </c>
      <c r="J16" s="4">
        <f>I16</f>
        <v>12862</v>
      </c>
      <c r="K16" s="5"/>
      <c r="L16" s="5"/>
      <c r="M16" s="5"/>
      <c r="O16" s="38"/>
      <c r="P16" s="41"/>
      <c r="Q16" s="30" t="s">
        <v>134</v>
      </c>
      <c r="R16" s="25">
        <f>J18-R13</f>
        <v>12662.518211627303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ONSV_AUX_2013!M59</f>
        <v>117053</v>
      </c>
      <c r="J17" s="26">
        <f>I17-(L10*I8)</f>
        <v>117048.49869893109</v>
      </c>
      <c r="K17" s="5"/>
      <c r="L17" s="5"/>
      <c r="M17" s="5"/>
      <c r="N17" s="13" t="s">
        <v>141</v>
      </c>
      <c r="O17" s="25">
        <f>I5</f>
        <v>52507</v>
      </c>
      <c r="P17" s="41"/>
      <c r="Q17" s="24"/>
      <c r="R17" s="24"/>
      <c r="S17" s="42"/>
      <c r="T17" s="30" t="s">
        <v>140</v>
      </c>
      <c r="U17" s="33">
        <f>R12</f>
        <v>50636.376455647158</v>
      </c>
      <c r="V17" s="24"/>
      <c r="W17" s="30" t="s">
        <v>151</v>
      </c>
      <c r="X17" s="32">
        <f>I20</f>
        <v>304531</v>
      </c>
    </row>
    <row r="18" spans="8:24" ht="15.75">
      <c r="H18" s="18" t="s">
        <v>108</v>
      </c>
      <c r="I18" s="25">
        <f>ONSV_AUX_2013!M60</f>
        <v>22318</v>
      </c>
      <c r="J18" s="26">
        <f>I18-(L11*I8)</f>
        <v>22317.141755980145</v>
      </c>
      <c r="K18" s="5"/>
      <c r="L18" s="5"/>
      <c r="M18" s="5"/>
      <c r="N18" s="13" t="s">
        <v>144</v>
      </c>
      <c r="O18" s="25">
        <f>I9</f>
        <v>5967</v>
      </c>
      <c r="P18" s="41"/>
      <c r="Q18" s="24"/>
      <c r="R18" s="24"/>
      <c r="S18" s="24"/>
      <c r="T18" s="30" t="s">
        <v>152</v>
      </c>
      <c r="U18" s="33">
        <f>I17-J17</f>
        <v>4.5013010689144721</v>
      </c>
      <c r="V18" s="24"/>
      <c r="W18" s="30" t="s">
        <v>153</v>
      </c>
      <c r="X18" s="32">
        <f>I21</f>
        <v>85334</v>
      </c>
    </row>
    <row r="19" spans="8:24" ht="15.75">
      <c r="H19" s="18" t="s">
        <v>109</v>
      </c>
      <c r="I19" s="25">
        <f>ONSV_AUX_2013!M61</f>
        <v>2910</v>
      </c>
      <c r="J19" s="4">
        <f>I19</f>
        <v>2910</v>
      </c>
      <c r="K19" s="5"/>
      <c r="L19" s="5"/>
      <c r="M19" s="5"/>
      <c r="N19" s="13" t="s">
        <v>137</v>
      </c>
      <c r="O19" s="25">
        <f>IF(OR((O8*I6&gt;J14),((O17+O18+(O8*I6))&gt;J14)),(J14-O17-O18),(O8*I6))</f>
        <v>303299.9394467111</v>
      </c>
      <c r="P19" s="41"/>
      <c r="Q19" s="24"/>
      <c r="R19" s="43"/>
      <c r="S19" s="24"/>
      <c r="T19" s="30" t="s">
        <v>148</v>
      </c>
      <c r="U19" s="37">
        <f>R15</f>
        <v>66412.122243283928</v>
      </c>
      <c r="V19" s="24"/>
      <c r="W19" s="24"/>
      <c r="X19" s="24"/>
    </row>
    <row r="20" spans="8:24" ht="15.75">
      <c r="H20" s="18" t="s">
        <v>110</v>
      </c>
      <c r="I20" s="25">
        <f>ONSV_AUX_2013!M62</f>
        <v>304531</v>
      </c>
      <c r="J20" s="4">
        <f>I20</f>
        <v>304531</v>
      </c>
      <c r="K20" s="5"/>
      <c r="L20" s="5"/>
      <c r="M20" s="5"/>
      <c r="N20" s="13" t="s">
        <v>149</v>
      </c>
      <c r="O20" s="25">
        <f>IF((J14-O17-O19-O18)&lt;0,0,(J14-O17-O19-O18))</f>
        <v>194753.65832858207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ONSV_AUX_2013!M63</f>
        <v>85334</v>
      </c>
      <c r="J21" s="4">
        <f>I21</f>
        <v>85334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1159279</v>
      </c>
    </row>
    <row r="22" spans="8:24" ht="15.75">
      <c r="H22" s="18" t="s">
        <v>112</v>
      </c>
      <c r="I22" s="25">
        <f>ONSV_AUX_2013!M64</f>
        <v>8014</v>
      </c>
      <c r="J22" s="4">
        <f>I22</f>
        <v>8014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ONSV_AUX_2013!M65</f>
        <v>6195</v>
      </c>
      <c r="J23" s="26">
        <f>I23-(L12*I8)</f>
        <v>6194.7617697955466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K5:L5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"MINAS GERAIS/"&amp;ONSV_AUX_2013!A1&amp;""</f>
        <v>MINAS GERAIS/2013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ONSV_AUX_2013!N27</f>
        <v>430856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ONSV_AUX_2013!N28</f>
        <v>2437049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ONSV_AUX_2013!N29</f>
        <v>657271</v>
      </c>
      <c r="J7" s="3"/>
      <c r="K7" s="1" t="s">
        <v>121</v>
      </c>
      <c r="L7" s="25">
        <f>I14+I17+I18+I23</f>
        <v>5661159</v>
      </c>
      <c r="N7" s="13" t="s">
        <v>122</v>
      </c>
      <c r="O7" s="25">
        <f>J14+J23</f>
        <v>4791847.2753831856</v>
      </c>
      <c r="P7" s="29"/>
      <c r="Q7" s="30" t="s">
        <v>123</v>
      </c>
      <c r="R7" s="25">
        <f>J17+J18</f>
        <v>869205.72461681429</v>
      </c>
      <c r="S7" s="31"/>
      <c r="T7" s="30" t="s">
        <v>124</v>
      </c>
      <c r="U7" s="32">
        <f>O11</f>
        <v>16575.405938767559</v>
      </c>
      <c r="V7" s="24"/>
      <c r="W7" s="30" t="s">
        <v>125</v>
      </c>
      <c r="X7" s="33">
        <f>R13</f>
        <v>49307.599745519561</v>
      </c>
    </row>
    <row r="8" spans="1:24" ht="15.75">
      <c r="H8" s="17" t="s">
        <v>101</v>
      </c>
      <c r="I8" s="25">
        <f>ONSV_AUX_2013!N30</f>
        <v>106</v>
      </c>
      <c r="J8" s="3"/>
      <c r="K8" s="12"/>
      <c r="L8" s="27"/>
      <c r="M8" s="7"/>
      <c r="N8" s="13" t="s">
        <v>126</v>
      </c>
      <c r="O8" s="34">
        <f>J14/O7</f>
        <v>0.99319857502300213</v>
      </c>
      <c r="P8" s="29"/>
      <c r="Q8" s="35" t="s">
        <v>127</v>
      </c>
      <c r="R8" s="28">
        <f>J17/R7</f>
        <v>0.76305017590442947</v>
      </c>
      <c r="S8" s="36"/>
      <c r="T8" s="30" t="s">
        <v>128</v>
      </c>
      <c r="U8" s="32">
        <f>I23-J23</f>
        <v>0.6102552498523437</v>
      </c>
      <c r="V8" s="24"/>
      <c r="W8" s="30" t="s">
        <v>129</v>
      </c>
      <c r="X8" s="33">
        <f>I18-J18</f>
        <v>3.8564491829311009</v>
      </c>
    </row>
    <row r="9" spans="1:24" ht="15.75">
      <c r="H9" s="17" t="s">
        <v>16</v>
      </c>
      <c r="I9" s="25">
        <f>ONSV_AUX_2013!N31</f>
        <v>35101</v>
      </c>
      <c r="J9" s="3"/>
      <c r="K9" s="1" t="s">
        <v>130</v>
      </c>
      <c r="L9" s="28">
        <f>I14/L7</f>
        <v>0.84070152419319077</v>
      </c>
      <c r="M9" s="7"/>
      <c r="N9" s="13" t="s">
        <v>131</v>
      </c>
      <c r="O9" s="34">
        <f>J23/O7</f>
        <v>6.8014249769978198E-3</v>
      </c>
      <c r="P9" s="29"/>
      <c r="Q9" s="35" t="s">
        <v>132</v>
      </c>
      <c r="R9" s="28">
        <f>J18/R7</f>
        <v>0.23694982409557053</v>
      </c>
      <c r="S9" s="36"/>
      <c r="T9" s="30" t="s">
        <v>133</v>
      </c>
      <c r="U9" s="37">
        <f>O13</f>
        <v>16015.983805982589</v>
      </c>
      <c r="V9" s="38"/>
      <c r="W9" s="30" t="s">
        <v>134</v>
      </c>
      <c r="X9" s="37">
        <f>R16</f>
        <v>156650.54380529752</v>
      </c>
    </row>
    <row r="10" spans="1:24" ht="15.75">
      <c r="H10" s="17" t="s">
        <v>94</v>
      </c>
      <c r="I10" s="25">
        <f>ONSV_AUX_2013!N32</f>
        <v>4816552</v>
      </c>
      <c r="J10" s="4"/>
      <c r="K10" s="1" t="s">
        <v>2</v>
      </c>
      <c r="L10" s="28">
        <f>I17/L7</f>
        <v>0.1171597547428009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3.6381596065399327E-2</v>
      </c>
      <c r="M11" s="7"/>
      <c r="N11" s="13" t="s">
        <v>135</v>
      </c>
      <c r="O11" s="25">
        <f>IF(O9*I6&gt;J23,J23,O9*I6)</f>
        <v>16575.405938767559</v>
      </c>
      <c r="P11" s="41"/>
      <c r="Q11" s="30" t="s">
        <v>136</v>
      </c>
      <c r="R11" s="25">
        <f>I7-I15-I16-I19-I22</f>
        <v>208093</v>
      </c>
      <c r="S11" s="42"/>
      <c r="T11" s="30" t="s">
        <v>137</v>
      </c>
      <c r="U11" s="32">
        <f>O19</f>
        <v>2420473.5940612322</v>
      </c>
      <c r="V11" s="41"/>
      <c r="W11" s="30" t="s">
        <v>138</v>
      </c>
      <c r="X11" s="32">
        <f>I15</f>
        <v>290348</v>
      </c>
    </row>
    <row r="12" spans="1:24" ht="15.75">
      <c r="H12" s="9" t="s">
        <v>139</v>
      </c>
      <c r="K12" s="1" t="s">
        <v>0</v>
      </c>
      <c r="L12" s="28">
        <f>I23/L7</f>
        <v>5.7571249986089418E-3</v>
      </c>
      <c r="O12" s="24"/>
      <c r="P12" s="41"/>
      <c r="Q12" s="30" t="s">
        <v>140</v>
      </c>
      <c r="R12" s="25">
        <f>R8*R11</f>
        <v>158785.40025448045</v>
      </c>
      <c r="S12" s="24"/>
      <c r="T12" s="30" t="s">
        <v>141</v>
      </c>
      <c r="U12" s="32">
        <f>O17</f>
        <v>430856</v>
      </c>
      <c r="V12" s="31"/>
      <c r="W12" s="30" t="s">
        <v>142</v>
      </c>
      <c r="X12" s="32">
        <f>I16</f>
        <v>56445</v>
      </c>
    </row>
    <row r="13" spans="1:24" ht="15.75">
      <c r="K13" s="5"/>
      <c r="L13" s="5"/>
      <c r="M13" s="5"/>
      <c r="N13" s="13" t="s">
        <v>143</v>
      </c>
      <c r="O13" s="25">
        <f>J23-O11</f>
        <v>16015.983805982589</v>
      </c>
      <c r="P13" s="41"/>
      <c r="Q13" s="30" t="s">
        <v>125</v>
      </c>
      <c r="R13" s="25">
        <f>R9*R11</f>
        <v>49307.599745519561</v>
      </c>
      <c r="S13" s="24"/>
      <c r="T13" s="30" t="s">
        <v>144</v>
      </c>
      <c r="U13" s="32">
        <f>O18</f>
        <v>35101</v>
      </c>
      <c r="V13" s="36"/>
      <c r="W13" s="24"/>
      <c r="X13" s="27"/>
    </row>
    <row r="14" spans="1:24" ht="15.75">
      <c r="H14" s="18" t="s">
        <v>104</v>
      </c>
      <c r="I14" s="25">
        <f>ONSV_AUX_2013!N56</f>
        <v>4759345</v>
      </c>
      <c r="J14" s="26">
        <f>I14-(L9*I8)</f>
        <v>4759255.8856384354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89.11436156462878</v>
      </c>
      <c r="V14" s="36"/>
      <c r="W14" s="30" t="s">
        <v>146</v>
      </c>
      <c r="X14" s="32">
        <f>I22</f>
        <v>64784</v>
      </c>
    </row>
    <row r="15" spans="1:24" ht="15.75">
      <c r="H15" s="18" t="s">
        <v>105</v>
      </c>
      <c r="I15" s="25">
        <f>ONSV_AUX_2013!N57</f>
        <v>290348</v>
      </c>
      <c r="J15" s="4">
        <f>I15</f>
        <v>290348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504462.18081151682</v>
      </c>
      <c r="S15" s="24"/>
      <c r="T15" s="30" t="s">
        <v>149</v>
      </c>
      <c r="U15" s="37">
        <f>O20</f>
        <v>1872825.2915772032</v>
      </c>
      <c r="V15" s="24"/>
      <c r="W15" s="30" t="s">
        <v>150</v>
      </c>
      <c r="X15" s="32">
        <f>I19</f>
        <v>37601</v>
      </c>
    </row>
    <row r="16" spans="1:24" ht="15.75">
      <c r="H16" s="18" t="s">
        <v>106</v>
      </c>
      <c r="I16" s="25">
        <f>ONSV_AUX_2013!N58</f>
        <v>56445</v>
      </c>
      <c r="J16" s="4">
        <f>I16</f>
        <v>56445</v>
      </c>
      <c r="K16" s="5"/>
      <c r="L16" s="5"/>
      <c r="M16" s="5"/>
      <c r="O16" s="38"/>
      <c r="P16" s="41"/>
      <c r="Q16" s="30" t="s">
        <v>134</v>
      </c>
      <c r="R16" s="25">
        <f>J18-R13</f>
        <v>156650.54380529752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ONSV_AUX_2013!N59</f>
        <v>663260</v>
      </c>
      <c r="J17" s="26">
        <f>I17-(L10*I8)</f>
        <v>663247.58106599725</v>
      </c>
      <c r="K17" s="5"/>
      <c r="L17" s="5"/>
      <c r="M17" s="5"/>
      <c r="N17" s="13" t="s">
        <v>141</v>
      </c>
      <c r="O17" s="25">
        <f>I5</f>
        <v>430856</v>
      </c>
      <c r="P17" s="41"/>
      <c r="Q17" s="24"/>
      <c r="R17" s="24"/>
      <c r="S17" s="42"/>
      <c r="T17" s="30" t="s">
        <v>140</v>
      </c>
      <c r="U17" s="33">
        <f>R12</f>
        <v>158785.40025448045</v>
      </c>
      <c r="V17" s="24"/>
      <c r="W17" s="30" t="s">
        <v>151</v>
      </c>
      <c r="X17" s="32">
        <f>I20</f>
        <v>2043970</v>
      </c>
    </row>
    <row r="18" spans="8:24" ht="15.75">
      <c r="H18" s="18" t="s">
        <v>108</v>
      </c>
      <c r="I18" s="25">
        <f>ONSV_AUX_2013!N60</f>
        <v>205962</v>
      </c>
      <c r="J18" s="26">
        <f>I18-(L11*I8)</f>
        <v>205958.14355081707</v>
      </c>
      <c r="K18" s="5"/>
      <c r="L18" s="5"/>
      <c r="M18" s="5"/>
      <c r="N18" s="13" t="s">
        <v>144</v>
      </c>
      <c r="O18" s="25">
        <f>I9</f>
        <v>35101</v>
      </c>
      <c r="P18" s="41"/>
      <c r="Q18" s="24"/>
      <c r="R18" s="24"/>
      <c r="S18" s="24"/>
      <c r="T18" s="30" t="s">
        <v>152</v>
      </c>
      <c r="U18" s="33">
        <f>I17-J17</f>
        <v>12.418934002751485</v>
      </c>
      <c r="V18" s="24"/>
      <c r="W18" s="30" t="s">
        <v>153</v>
      </c>
      <c r="X18" s="32">
        <f>I21</f>
        <v>217200</v>
      </c>
    </row>
    <row r="19" spans="8:24" ht="15.75">
      <c r="H19" s="18" t="s">
        <v>109</v>
      </c>
      <c r="I19" s="25">
        <f>ONSV_AUX_2013!N61</f>
        <v>37601</v>
      </c>
      <c r="J19" s="4">
        <f>I19</f>
        <v>37601</v>
      </c>
      <c r="K19" s="5"/>
      <c r="L19" s="5"/>
      <c r="M19" s="5"/>
      <c r="N19" s="13" t="s">
        <v>137</v>
      </c>
      <c r="O19" s="25">
        <f>IF(OR((O8*I6&gt;J14),((O17+O18+(O8*I6))&gt;J14)),(J14-O17-O18),(O8*I6))</f>
        <v>2420473.5940612322</v>
      </c>
      <c r="P19" s="41"/>
      <c r="Q19" s="24"/>
      <c r="R19" s="43"/>
      <c r="S19" s="24"/>
      <c r="T19" s="30" t="s">
        <v>148</v>
      </c>
      <c r="U19" s="37">
        <f>R15</f>
        <v>504462.18081151682</v>
      </c>
      <c r="V19" s="24"/>
      <c r="W19" s="24"/>
      <c r="X19" s="24"/>
    </row>
    <row r="20" spans="8:24" ht="15.75">
      <c r="H20" s="18" t="s">
        <v>110</v>
      </c>
      <c r="I20" s="25">
        <f>ONSV_AUX_2013!N62</f>
        <v>2043970</v>
      </c>
      <c r="J20" s="4">
        <f>I20</f>
        <v>2043970</v>
      </c>
      <c r="K20" s="5"/>
      <c r="L20" s="5"/>
      <c r="M20" s="5"/>
      <c r="N20" s="13" t="s">
        <v>149</v>
      </c>
      <c r="O20" s="25">
        <f>IF((J14-O17-O19-O18)&lt;0,0,(J14-O17-O19-O18))</f>
        <v>1872825.2915772032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ONSV_AUX_2013!N63</f>
        <v>217200</v>
      </c>
      <c r="J21" s="4">
        <f>I21</f>
        <v>217200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8371507</v>
      </c>
    </row>
    <row r="22" spans="8:24" ht="15.75">
      <c r="H22" s="18" t="s">
        <v>112</v>
      </c>
      <c r="I22" s="25">
        <f>ONSV_AUX_2013!N64</f>
        <v>64784</v>
      </c>
      <c r="J22" s="4">
        <f>I22</f>
        <v>64784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ONSV_AUX_2013!N65</f>
        <v>32592</v>
      </c>
      <c r="J23" s="26">
        <f>I23-(L12*I8)</f>
        <v>32591.389744750148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K5:L5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"PARÁ/"&amp;ONSV_AUX_2013!A1&amp;""</f>
        <v>PARÁ/2013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ONSV_AUX_2013!O27</f>
        <v>23639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ONSV_AUX_2013!O28</f>
        <v>405518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ONSV_AUX_2013!O29</f>
        <v>133302</v>
      </c>
      <c r="J7" s="3"/>
      <c r="K7" s="1" t="s">
        <v>121</v>
      </c>
      <c r="L7" s="25">
        <f>I14+I17+I18+I23</f>
        <v>569087</v>
      </c>
      <c r="N7" s="13" t="s">
        <v>122</v>
      </c>
      <c r="O7" s="25">
        <f>J14+J23</f>
        <v>444675.52393219317</v>
      </c>
      <c r="P7" s="29"/>
      <c r="Q7" s="30" t="s">
        <v>123</v>
      </c>
      <c r="R7" s="25">
        <f>J17+J18</f>
        <v>124372.47606780686</v>
      </c>
      <c r="S7" s="31"/>
      <c r="T7" s="30" t="s">
        <v>124</v>
      </c>
      <c r="U7" s="32">
        <f>O11</f>
        <v>7635.1616888461131</v>
      </c>
      <c r="V7" s="24"/>
      <c r="W7" s="30" t="s">
        <v>125</v>
      </c>
      <c r="X7" s="33">
        <f>R13</f>
        <v>15185.04877754641</v>
      </c>
    </row>
    <row r="8" spans="1:24" ht="15.75">
      <c r="H8" s="17" t="s">
        <v>101</v>
      </c>
      <c r="I8" s="25">
        <f>ONSV_AUX_2013!O30</f>
        <v>39</v>
      </c>
      <c r="J8" s="3"/>
      <c r="K8" s="12"/>
      <c r="L8" s="27"/>
      <c r="M8" s="7"/>
      <c r="N8" s="13" t="s">
        <v>126</v>
      </c>
      <c r="O8" s="34">
        <f>J14/O7</f>
        <v>0.98117183037782263</v>
      </c>
      <c r="P8" s="29"/>
      <c r="Q8" s="35" t="s">
        <v>127</v>
      </c>
      <c r="R8" s="28">
        <f>J17/R7</f>
        <v>0.74523440075252645</v>
      </c>
      <c r="S8" s="36"/>
      <c r="T8" s="30" t="s">
        <v>128</v>
      </c>
      <c r="U8" s="32">
        <f>I23-J23</f>
        <v>0.57380857408497832</v>
      </c>
      <c r="V8" s="24"/>
      <c r="W8" s="30" t="s">
        <v>129</v>
      </c>
      <c r="X8" s="33">
        <f>I18-J18</f>
        <v>2.1716046931323945</v>
      </c>
    </row>
    <row r="9" spans="1:24" ht="15.75">
      <c r="H9" s="17" t="s">
        <v>16</v>
      </c>
      <c r="I9" s="25">
        <f>ONSV_AUX_2013!O31</f>
        <v>219</v>
      </c>
      <c r="J9" s="3"/>
      <c r="K9" s="1" t="s">
        <v>130</v>
      </c>
      <c r="L9" s="28">
        <f>I14/L7</f>
        <v>0.76672459571207918</v>
      </c>
      <c r="M9" s="7"/>
      <c r="N9" s="13" t="s">
        <v>131</v>
      </c>
      <c r="O9" s="34">
        <f>J23/O7</f>
        <v>1.8828169622177347E-2</v>
      </c>
      <c r="P9" s="29"/>
      <c r="Q9" s="35" t="s">
        <v>132</v>
      </c>
      <c r="R9" s="28">
        <f>J18/R7</f>
        <v>0.2547655992474735</v>
      </c>
      <c r="S9" s="36"/>
      <c r="T9" s="30" t="s">
        <v>133</v>
      </c>
      <c r="U9" s="37">
        <f>O13</f>
        <v>737.26450257980196</v>
      </c>
      <c r="V9" s="38"/>
      <c r="W9" s="30" t="s">
        <v>134</v>
      </c>
      <c r="X9" s="37">
        <f>R16</f>
        <v>16500.779617760458</v>
      </c>
    </row>
    <row r="10" spans="1:24" ht="15.75">
      <c r="H10" s="17" t="s">
        <v>94</v>
      </c>
      <c r="I10" s="25">
        <f>ONSV_AUX_2013!O32</f>
        <v>754920</v>
      </c>
      <c r="J10" s="4"/>
      <c r="K10" s="1" t="s">
        <v>2</v>
      </c>
      <c r="L10" s="28">
        <f>I17/L7</f>
        <v>0.16288019230803022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5.5682171618750734E-2</v>
      </c>
      <c r="M11" s="7"/>
      <c r="N11" s="13" t="s">
        <v>135</v>
      </c>
      <c r="O11" s="25">
        <f>IF(O9*I6&gt;J23,J23,O9*I6)</f>
        <v>7635.1616888461131</v>
      </c>
      <c r="P11" s="41"/>
      <c r="Q11" s="30" t="s">
        <v>136</v>
      </c>
      <c r="R11" s="25">
        <f>I7-I15-I16-I19-I22</f>
        <v>59604</v>
      </c>
      <c r="S11" s="42"/>
      <c r="T11" s="30" t="s">
        <v>137</v>
      </c>
      <c r="U11" s="32">
        <f>O19</f>
        <v>397882.83831115387</v>
      </c>
      <c r="V11" s="41"/>
      <c r="W11" s="30" t="s">
        <v>138</v>
      </c>
      <c r="X11" s="32">
        <f>I15</f>
        <v>48173</v>
      </c>
    </row>
    <row r="12" spans="1:24" ht="15.75">
      <c r="H12" s="9" t="s">
        <v>139</v>
      </c>
      <c r="K12" s="1" t="s">
        <v>0</v>
      </c>
      <c r="L12" s="28">
        <f>I23/L7</f>
        <v>1.4713040361139861E-2</v>
      </c>
      <c r="O12" s="24"/>
      <c r="P12" s="41"/>
      <c r="Q12" s="30" t="s">
        <v>140</v>
      </c>
      <c r="R12" s="25">
        <f>R8*R11</f>
        <v>44418.951222453587</v>
      </c>
      <c r="S12" s="24"/>
      <c r="T12" s="30" t="s">
        <v>141</v>
      </c>
      <c r="U12" s="32">
        <f>O17</f>
        <v>23639</v>
      </c>
      <c r="V12" s="31"/>
      <c r="W12" s="30" t="s">
        <v>142</v>
      </c>
      <c r="X12" s="32">
        <f>I16</f>
        <v>5854</v>
      </c>
    </row>
    <row r="13" spans="1:24" ht="15.75">
      <c r="K13" s="5"/>
      <c r="L13" s="5"/>
      <c r="M13" s="5"/>
      <c r="N13" s="13" t="s">
        <v>143</v>
      </c>
      <c r="O13" s="25">
        <f>J23-O11</f>
        <v>737.26450257980196</v>
      </c>
      <c r="P13" s="41"/>
      <c r="Q13" s="30" t="s">
        <v>125</v>
      </c>
      <c r="R13" s="25">
        <f>R9*R11</f>
        <v>15185.04877754641</v>
      </c>
      <c r="S13" s="24"/>
      <c r="T13" s="30" t="s">
        <v>144</v>
      </c>
      <c r="U13" s="32">
        <f>O18</f>
        <v>219</v>
      </c>
      <c r="V13" s="36"/>
      <c r="W13" s="24"/>
      <c r="X13" s="27"/>
    </row>
    <row r="14" spans="1:24" ht="15.75">
      <c r="H14" s="18" t="s">
        <v>104</v>
      </c>
      <c r="I14" s="25">
        <f>ONSV_AUX_2013!O56</f>
        <v>436333</v>
      </c>
      <c r="J14" s="26">
        <f>I14-(L9*I8)</f>
        <v>436303.09774076723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29.902259232767392</v>
      </c>
      <c r="V14" s="36"/>
      <c r="W14" s="30" t="s">
        <v>146</v>
      </c>
      <c r="X14" s="32">
        <f>I22</f>
        <v>13997</v>
      </c>
    </row>
    <row r="15" spans="1:24" ht="15.75">
      <c r="H15" s="18" t="s">
        <v>105</v>
      </c>
      <c r="I15" s="25">
        <f>ONSV_AUX_2013!O57</f>
        <v>48173</v>
      </c>
      <c r="J15" s="4">
        <f>I15</f>
        <v>48173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48267.696450046395</v>
      </c>
      <c r="S15" s="24"/>
      <c r="T15" s="30" t="s">
        <v>149</v>
      </c>
      <c r="U15" s="37">
        <f>O20</f>
        <v>14562.259429613361</v>
      </c>
      <c r="V15" s="24"/>
      <c r="W15" s="30" t="s">
        <v>150</v>
      </c>
      <c r="X15" s="32">
        <f>I19</f>
        <v>5674</v>
      </c>
    </row>
    <row r="16" spans="1:24" ht="15.75">
      <c r="H16" s="18" t="s">
        <v>106</v>
      </c>
      <c r="I16" s="25">
        <f>ONSV_AUX_2013!O58</f>
        <v>5854</v>
      </c>
      <c r="J16" s="4">
        <f>I16</f>
        <v>5854</v>
      </c>
      <c r="K16" s="5"/>
      <c r="L16" s="5"/>
      <c r="M16" s="5"/>
      <c r="O16" s="38"/>
      <c r="P16" s="41"/>
      <c r="Q16" s="30" t="s">
        <v>134</v>
      </c>
      <c r="R16" s="25">
        <f>J18-R13</f>
        <v>16500.779617760458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ONSV_AUX_2013!O59</f>
        <v>92693</v>
      </c>
      <c r="J17" s="26">
        <f>I17-(L10*I8)</f>
        <v>92686.647672499981</v>
      </c>
      <c r="K17" s="5"/>
      <c r="L17" s="5"/>
      <c r="M17" s="5"/>
      <c r="N17" s="13" t="s">
        <v>141</v>
      </c>
      <c r="O17" s="25">
        <f>I5</f>
        <v>23639</v>
      </c>
      <c r="P17" s="41"/>
      <c r="Q17" s="24"/>
      <c r="R17" s="24"/>
      <c r="S17" s="42"/>
      <c r="T17" s="30" t="s">
        <v>140</v>
      </c>
      <c r="U17" s="33">
        <f>R12</f>
        <v>44418.951222453587</v>
      </c>
      <c r="V17" s="24"/>
      <c r="W17" s="30" t="s">
        <v>151</v>
      </c>
      <c r="X17" s="32">
        <f>I20</f>
        <v>553232</v>
      </c>
    </row>
    <row r="18" spans="8:24" ht="15.75">
      <c r="H18" s="18" t="s">
        <v>108</v>
      </c>
      <c r="I18" s="25">
        <f>ONSV_AUX_2013!O60</f>
        <v>31688</v>
      </c>
      <c r="J18" s="26">
        <f>I18-(L11*I8)</f>
        <v>31685.828395306868</v>
      </c>
      <c r="K18" s="5"/>
      <c r="L18" s="5"/>
      <c r="M18" s="5"/>
      <c r="N18" s="13" t="s">
        <v>144</v>
      </c>
      <c r="O18" s="25">
        <f>I9</f>
        <v>219</v>
      </c>
      <c r="P18" s="41"/>
      <c r="Q18" s="24"/>
      <c r="R18" s="24"/>
      <c r="S18" s="24"/>
      <c r="T18" s="30" t="s">
        <v>152</v>
      </c>
      <c r="U18" s="33">
        <f>I17-J17</f>
        <v>6.3523275000188733</v>
      </c>
      <c r="V18" s="24"/>
      <c r="W18" s="30" t="s">
        <v>153</v>
      </c>
      <c r="X18" s="32">
        <f>I21</f>
        <v>121342</v>
      </c>
    </row>
    <row r="19" spans="8:24" ht="15.75">
      <c r="H19" s="18" t="s">
        <v>109</v>
      </c>
      <c r="I19" s="25">
        <f>ONSV_AUX_2013!O61</f>
        <v>5674</v>
      </c>
      <c r="J19" s="4">
        <f>I19</f>
        <v>5674</v>
      </c>
      <c r="K19" s="5"/>
      <c r="L19" s="5"/>
      <c r="M19" s="5"/>
      <c r="N19" s="13" t="s">
        <v>137</v>
      </c>
      <c r="O19" s="25">
        <f>IF(OR((O8*I6&gt;J14),((O17+O18+(O8*I6))&gt;J14)),(J14-O17-O18),(O8*I6))</f>
        <v>397882.83831115387</v>
      </c>
      <c r="P19" s="41"/>
      <c r="Q19" s="24"/>
      <c r="R19" s="43"/>
      <c r="S19" s="24"/>
      <c r="T19" s="30" t="s">
        <v>148</v>
      </c>
      <c r="U19" s="37">
        <f>R15</f>
        <v>48267.696450046395</v>
      </c>
      <c r="V19" s="24"/>
      <c r="W19" s="24"/>
      <c r="X19" s="24"/>
    </row>
    <row r="20" spans="8:24" ht="15.75">
      <c r="H20" s="18" t="s">
        <v>110</v>
      </c>
      <c r="I20" s="25">
        <f>ONSV_AUX_2013!O62</f>
        <v>553232</v>
      </c>
      <c r="J20" s="4">
        <f>I20</f>
        <v>553232</v>
      </c>
      <c r="K20" s="5"/>
      <c r="L20" s="5"/>
      <c r="M20" s="5"/>
      <c r="N20" s="13" t="s">
        <v>149</v>
      </c>
      <c r="O20" s="25">
        <f>IF((J14-O17-O19-O18)&lt;0,0,(J14-O17-O19-O18))</f>
        <v>14562.259429613361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ONSV_AUX_2013!O63</f>
        <v>121342</v>
      </c>
      <c r="J21" s="4">
        <f>I21</f>
        <v>121342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1317359</v>
      </c>
    </row>
    <row r="22" spans="8:24" ht="15.75">
      <c r="H22" s="18" t="s">
        <v>112</v>
      </c>
      <c r="I22" s="25">
        <f>ONSV_AUX_2013!O64</f>
        <v>13997</v>
      </c>
      <c r="J22" s="4">
        <f>I22</f>
        <v>13997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ONSV_AUX_2013!O65</f>
        <v>8373</v>
      </c>
      <c r="J23" s="26">
        <f>I23-(L12*I8)</f>
        <v>8372.426191425915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X23"/>
  <sheetViews>
    <sheetView showGridLines="0" zoomScale="90" zoomScaleNormal="90" workbookViewId="0">
      <selection activeCell="F3" sqref="F3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">
        <v>155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ONSV_AUX_2013!P27</f>
        <v>29183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ONSV_AUX_2013!P28</f>
        <v>282557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ONSV_AUX_2013!P29</f>
        <v>67285</v>
      </c>
      <c r="J7" s="3"/>
      <c r="K7" s="1" t="s">
        <v>121</v>
      </c>
      <c r="L7" s="25">
        <f>I14+I17+I18+I23</f>
        <v>474818</v>
      </c>
      <c r="N7" s="13" t="s">
        <v>122</v>
      </c>
      <c r="O7" s="25">
        <f>J14+J23</f>
        <v>397208.32689577906</v>
      </c>
      <c r="P7" s="29"/>
      <c r="Q7" s="30" t="s">
        <v>123</v>
      </c>
      <c r="R7" s="25">
        <f>J17+J18</f>
        <v>77607.673104220987</v>
      </c>
      <c r="S7" s="31"/>
      <c r="T7" s="30" t="s">
        <v>124</v>
      </c>
      <c r="U7" s="32">
        <f>O11</f>
        <v>3543.9666020492937</v>
      </c>
      <c r="V7" s="24"/>
      <c r="W7" s="30" t="s">
        <v>125</v>
      </c>
      <c r="X7" s="33">
        <f>R13</f>
        <v>11973.072788887743</v>
      </c>
    </row>
    <row r="8" spans="1:24" ht="15.75">
      <c r="H8" s="17" t="s">
        <v>101</v>
      </c>
      <c r="I8" s="25">
        <f>ONSV_AUX_2013!P30</f>
        <v>2</v>
      </c>
      <c r="J8" s="3"/>
      <c r="K8" s="12"/>
      <c r="L8" s="27"/>
      <c r="M8" s="7"/>
      <c r="N8" s="13" t="s">
        <v>126</v>
      </c>
      <c r="O8" s="34">
        <f>J14/O7</f>
        <v>0.98745751617532285</v>
      </c>
      <c r="P8" s="29"/>
      <c r="Q8" s="35" t="s">
        <v>127</v>
      </c>
      <c r="R8" s="28">
        <f>J17/R7</f>
        <v>0.6061359653643954</v>
      </c>
      <c r="S8" s="36"/>
      <c r="T8" s="30" t="s">
        <v>128</v>
      </c>
      <c r="U8" s="32">
        <f>I23-J23</f>
        <v>2.0984882628908963E-2</v>
      </c>
      <c r="V8" s="24"/>
      <c r="W8" s="30" t="s">
        <v>129</v>
      </c>
      <c r="X8" s="33">
        <f>I18-J18</f>
        <v>0.12875249042917858</v>
      </c>
    </row>
    <row r="9" spans="1:24" ht="15.75">
      <c r="H9" s="17" t="s">
        <v>16</v>
      </c>
      <c r="I9" s="25">
        <f>ONSV_AUX_2013!P31</f>
        <v>20787</v>
      </c>
      <c r="J9" s="3"/>
      <c r="K9" s="1" t="s">
        <v>130</v>
      </c>
      <c r="L9" s="28">
        <f>I14/L7</f>
        <v>0.82605966917850626</v>
      </c>
      <c r="M9" s="7"/>
      <c r="N9" s="13" t="s">
        <v>131</v>
      </c>
      <c r="O9" s="34">
        <f>J23/O7</f>
        <v>1.2542483824677122E-2</v>
      </c>
      <c r="P9" s="29"/>
      <c r="Q9" s="35" t="s">
        <v>132</v>
      </c>
      <c r="R9" s="28">
        <f>J18/R7</f>
        <v>0.39386403463560454</v>
      </c>
      <c r="S9" s="36"/>
      <c r="T9" s="30" t="s">
        <v>133</v>
      </c>
      <c r="U9" s="37">
        <f>O13</f>
        <v>1438.0124130680774</v>
      </c>
      <c r="V9" s="38"/>
      <c r="W9" s="30" t="s">
        <v>134</v>
      </c>
      <c r="X9" s="37">
        <f>R16</f>
        <v>18593.79845862183</v>
      </c>
    </row>
    <row r="10" spans="1:24" ht="15.75">
      <c r="H10" s="17" t="s">
        <v>94</v>
      </c>
      <c r="I10" s="25">
        <f>ONSV_AUX_2013!P32</f>
        <v>510387</v>
      </c>
      <c r="J10" s="4"/>
      <c r="K10" s="1" t="s">
        <v>2</v>
      </c>
      <c r="L10" s="28">
        <f>I17/L7</f>
        <v>9.9071644293181813E-2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6.4376245213955657E-2</v>
      </c>
      <c r="M11" s="7"/>
      <c r="N11" s="13" t="s">
        <v>135</v>
      </c>
      <c r="O11" s="25">
        <f>IF(O9*I6&gt;J23,J23,O9*I6)</f>
        <v>3543.9666020492937</v>
      </c>
      <c r="P11" s="41"/>
      <c r="Q11" s="30" t="s">
        <v>136</v>
      </c>
      <c r="R11" s="25">
        <f>I7-I15-I16-I19-I22</f>
        <v>30399</v>
      </c>
      <c r="S11" s="42"/>
      <c r="T11" s="30" t="s">
        <v>137</v>
      </c>
      <c r="U11" s="32">
        <f>O19</f>
        <v>279013.0333979507</v>
      </c>
      <c r="V11" s="41"/>
      <c r="W11" s="30" t="s">
        <v>138</v>
      </c>
      <c r="X11" s="32">
        <f>I15</f>
        <v>24776</v>
      </c>
    </row>
    <row r="12" spans="1:24" ht="15.75">
      <c r="H12" s="9" t="s">
        <v>139</v>
      </c>
      <c r="K12" s="1" t="s">
        <v>0</v>
      </c>
      <c r="L12" s="28">
        <f>I23/L7</f>
        <v>1.0492441314356237E-2</v>
      </c>
      <c r="O12" s="24"/>
      <c r="P12" s="41"/>
      <c r="Q12" s="30" t="s">
        <v>140</v>
      </c>
      <c r="R12" s="25">
        <f>R8*R11</f>
        <v>18425.927211112255</v>
      </c>
      <c r="S12" s="24"/>
      <c r="T12" s="30" t="s">
        <v>141</v>
      </c>
      <c r="U12" s="32">
        <f>O17</f>
        <v>29183</v>
      </c>
      <c r="V12" s="31"/>
      <c r="W12" s="30" t="s">
        <v>142</v>
      </c>
      <c r="X12" s="32">
        <f>I16</f>
        <v>2274</v>
      </c>
    </row>
    <row r="13" spans="1:24" ht="15.75">
      <c r="K13" s="5"/>
      <c r="L13" s="5"/>
      <c r="M13" s="5"/>
      <c r="N13" s="13" t="s">
        <v>143</v>
      </c>
      <c r="O13" s="25">
        <f>J23-O11</f>
        <v>1438.0124130680774</v>
      </c>
      <c r="P13" s="41"/>
      <c r="Q13" s="30" t="s">
        <v>125</v>
      </c>
      <c r="R13" s="25">
        <f>R9*R11</f>
        <v>11973.072788887743</v>
      </c>
      <c r="S13" s="24"/>
      <c r="T13" s="30" t="s">
        <v>144</v>
      </c>
      <c r="U13" s="32">
        <f>O18</f>
        <v>20787</v>
      </c>
      <c r="V13" s="36"/>
      <c r="W13" s="24"/>
      <c r="X13" s="27"/>
    </row>
    <row r="14" spans="1:24" ht="15.75">
      <c r="H14" s="18" t="s">
        <v>104</v>
      </c>
      <c r="I14" s="25">
        <f>ONSV_AUX_2013!P56</f>
        <v>392228</v>
      </c>
      <c r="J14" s="26">
        <f>I14-(L9*I8)</f>
        <v>392226.34788066166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1.6521193383377977</v>
      </c>
      <c r="V14" s="36"/>
      <c r="W14" s="30" t="s">
        <v>146</v>
      </c>
      <c r="X14" s="32">
        <f>I22</f>
        <v>6075</v>
      </c>
    </row>
    <row r="15" spans="1:24" ht="15.75">
      <c r="H15" s="18" t="s">
        <v>105</v>
      </c>
      <c r="I15" s="25">
        <f>ONSV_AUX_2013!P57</f>
        <v>24776</v>
      </c>
      <c r="J15" s="4">
        <f>I15</f>
        <v>24776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28614.874645599157</v>
      </c>
      <c r="S15" s="24"/>
      <c r="T15" s="30" t="s">
        <v>149</v>
      </c>
      <c r="U15" s="37">
        <f>O20</f>
        <v>63243.314482710965</v>
      </c>
      <c r="V15" s="24"/>
      <c r="W15" s="30" t="s">
        <v>150</v>
      </c>
      <c r="X15" s="32">
        <f>I19</f>
        <v>3761</v>
      </c>
    </row>
    <row r="16" spans="1:24" ht="15.75">
      <c r="H16" s="18" t="s">
        <v>106</v>
      </c>
      <c r="I16" s="25">
        <f>ONSV_AUX_2013!P58</f>
        <v>2274</v>
      </c>
      <c r="J16" s="4">
        <f>I16</f>
        <v>2274</v>
      </c>
      <c r="K16" s="5"/>
      <c r="L16" s="5"/>
      <c r="M16" s="5"/>
      <c r="O16" s="38"/>
      <c r="P16" s="41"/>
      <c r="Q16" s="30" t="s">
        <v>134</v>
      </c>
      <c r="R16" s="25">
        <f>J18-R13</f>
        <v>18593.79845862183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ONSV_AUX_2013!P59</f>
        <v>47041</v>
      </c>
      <c r="J17" s="26">
        <f>I17-(L10*I8)</f>
        <v>47040.801856711412</v>
      </c>
      <c r="K17" s="5"/>
      <c r="L17" s="5"/>
      <c r="M17" s="5"/>
      <c r="N17" s="13" t="s">
        <v>141</v>
      </c>
      <c r="O17" s="25">
        <f>I5</f>
        <v>29183</v>
      </c>
      <c r="P17" s="41"/>
      <c r="Q17" s="24"/>
      <c r="R17" s="24"/>
      <c r="S17" s="42"/>
      <c r="T17" s="30" t="s">
        <v>140</v>
      </c>
      <c r="U17" s="33">
        <f>R12</f>
        <v>18425.927211112255</v>
      </c>
      <c r="V17" s="24"/>
      <c r="W17" s="30" t="s">
        <v>151</v>
      </c>
      <c r="X17" s="32">
        <f>I20</f>
        <v>352008</v>
      </c>
    </row>
    <row r="18" spans="8:24" ht="15.75">
      <c r="H18" s="18" t="s">
        <v>108</v>
      </c>
      <c r="I18" s="25">
        <f>ONSV_AUX_2013!P60</f>
        <v>30567</v>
      </c>
      <c r="J18" s="26">
        <f>I18-(L11*I8)</f>
        <v>30566.871247509571</v>
      </c>
      <c r="K18" s="5"/>
      <c r="L18" s="5"/>
      <c r="M18" s="5"/>
      <c r="N18" s="13" t="s">
        <v>144</v>
      </c>
      <c r="O18" s="25">
        <f>I9</f>
        <v>20787</v>
      </c>
      <c r="P18" s="41"/>
      <c r="Q18" s="24"/>
      <c r="R18" s="24"/>
      <c r="S18" s="24"/>
      <c r="T18" s="30" t="s">
        <v>152</v>
      </c>
      <c r="U18" s="33">
        <f>I17-J17</f>
        <v>0.19814328858774388</v>
      </c>
      <c r="V18" s="24"/>
      <c r="W18" s="30" t="s">
        <v>153</v>
      </c>
      <c r="X18" s="32">
        <f>I21</f>
        <v>49121</v>
      </c>
    </row>
    <row r="19" spans="8:24" ht="15.75">
      <c r="H19" s="18" t="s">
        <v>109</v>
      </c>
      <c r="I19" s="25">
        <f>ONSV_AUX_2013!P61</f>
        <v>3761</v>
      </c>
      <c r="J19" s="4">
        <f>I19</f>
        <v>3761</v>
      </c>
      <c r="K19" s="5"/>
      <c r="L19" s="5"/>
      <c r="M19" s="5"/>
      <c r="N19" s="13" t="s">
        <v>137</v>
      </c>
      <c r="O19" s="25">
        <f>IF(OR((O8*I6&gt;J14),((O17+O18+(O8*I6))&gt;J14)),(J14-O17-O18),(O8*I6))</f>
        <v>279013.0333979507</v>
      </c>
      <c r="P19" s="41"/>
      <c r="Q19" s="24"/>
      <c r="R19" s="43"/>
      <c r="S19" s="24"/>
      <c r="T19" s="30" t="s">
        <v>148</v>
      </c>
      <c r="U19" s="37">
        <f>R15</f>
        <v>28614.874645599157</v>
      </c>
      <c r="V19" s="24"/>
      <c r="W19" s="24"/>
      <c r="X19" s="24"/>
    </row>
    <row r="20" spans="8:24" ht="15.75">
      <c r="H20" s="18" t="s">
        <v>110</v>
      </c>
      <c r="I20" s="25">
        <f>ONSV_AUX_2013!P62</f>
        <v>352008</v>
      </c>
      <c r="J20" s="4">
        <f>I20</f>
        <v>352008</v>
      </c>
      <c r="K20" s="5"/>
      <c r="L20" s="5"/>
      <c r="M20" s="5"/>
      <c r="N20" s="13" t="s">
        <v>149</v>
      </c>
      <c r="O20" s="25">
        <f>IF((J14-O17-O19-O18)&lt;0,0,(J14-O17-O19-O18))</f>
        <v>63243.314482710965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ONSV_AUX_2013!P63</f>
        <v>49121</v>
      </c>
      <c r="J21" s="4">
        <f>I21</f>
        <v>49121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912833</v>
      </c>
    </row>
    <row r="22" spans="8:24" ht="15.75">
      <c r="H22" s="18" t="s">
        <v>112</v>
      </c>
      <c r="I22" s="25">
        <f>ONSV_AUX_2013!P64</f>
        <v>6075</v>
      </c>
      <c r="J22" s="4">
        <f>I22</f>
        <v>6075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ONSV_AUX_2013!P65</f>
        <v>4982</v>
      </c>
      <c r="J23" s="26">
        <f>I23-(L12*I8)</f>
        <v>4981.9790151173711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39997558519241921"/>
  </sheetPr>
  <dimension ref="A1:X23"/>
  <sheetViews>
    <sheetView showGridLines="0" zoomScale="90" zoomScaleNormal="90" workbookViewId="0">
      <selection activeCell="L31" sqref="L3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2" max="12" width="9.85546875" bestFit="1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"PARANÁ/"&amp;ONSV_AUX_2013!A1&amp;""</f>
        <v>PARANÁ/2013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ONSV_AUX_2013!Q27</f>
        <v>418722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ONSV_AUX_2013!Q28</f>
        <v>1607764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ONSV_AUX_2013!Q29</f>
        <v>561164</v>
      </c>
      <c r="J7" s="3"/>
      <c r="K7" s="1" t="s">
        <v>121</v>
      </c>
      <c r="L7" s="25">
        <f>I14+I17+I18+I23</f>
        <v>4305253</v>
      </c>
      <c r="N7" s="13" t="s">
        <v>122</v>
      </c>
      <c r="O7" s="25">
        <f>J14+J23</f>
        <v>3646678.8794335662</v>
      </c>
      <c r="P7" s="29"/>
      <c r="Q7" s="30" t="s">
        <v>123</v>
      </c>
      <c r="R7" s="25">
        <f>J17+J18</f>
        <v>658359.12056643364</v>
      </c>
      <c r="S7" s="31"/>
      <c r="T7" s="30" t="s">
        <v>124</v>
      </c>
      <c r="U7" s="32">
        <f>O11</f>
        <v>13319.33571583891</v>
      </c>
      <c r="V7" s="24"/>
      <c r="W7" s="30" t="s">
        <v>125</v>
      </c>
      <c r="X7" s="33">
        <f>R13</f>
        <v>65241.722587759272</v>
      </c>
    </row>
    <row r="8" spans="1:24" ht="15.75">
      <c r="H8" s="17" t="s">
        <v>101</v>
      </c>
      <c r="I8" s="25">
        <f>ONSV_AUX_2013!Q30</f>
        <v>215</v>
      </c>
      <c r="J8" s="3"/>
      <c r="K8" s="12"/>
      <c r="L8" s="27"/>
      <c r="M8" s="7"/>
      <c r="N8" s="13" t="s">
        <v>126</v>
      </c>
      <c r="O8" s="34">
        <f>J14/O7</f>
        <v>0.99171561515506079</v>
      </c>
      <c r="P8" s="29"/>
      <c r="Q8" s="35" t="s">
        <v>127</v>
      </c>
      <c r="R8" s="28">
        <f>J17/R7</f>
        <v>0.65980601222372082</v>
      </c>
      <c r="S8" s="36"/>
      <c r="T8" s="30" t="s">
        <v>128</v>
      </c>
      <c r="U8" s="32">
        <f>I23-J23</f>
        <v>1.5087568605158594</v>
      </c>
      <c r="V8" s="24"/>
      <c r="W8" s="30" t="s">
        <v>129</v>
      </c>
      <c r="X8" s="33">
        <f>I18-J18</f>
        <v>11.185385620774468</v>
      </c>
    </row>
    <row r="9" spans="1:24" ht="15.75">
      <c r="H9" s="17" t="s">
        <v>16</v>
      </c>
      <c r="I9" s="25">
        <f>ONSV_AUX_2013!Q31</f>
        <v>33575</v>
      </c>
      <c r="J9" s="3"/>
      <c r="K9" s="1" t="s">
        <v>130</v>
      </c>
      <c r="L9" s="28">
        <f>I14/L7</f>
        <v>0.84005492824695782</v>
      </c>
      <c r="M9" s="7"/>
      <c r="N9" s="13" t="s">
        <v>131</v>
      </c>
      <c r="O9" s="34">
        <f>J23/O7</f>
        <v>8.284384844939251E-3</v>
      </c>
      <c r="P9" s="29"/>
      <c r="Q9" s="35" t="s">
        <v>132</v>
      </c>
      <c r="R9" s="28">
        <f>J18/R7</f>
        <v>0.34019398777627918</v>
      </c>
      <c r="S9" s="36"/>
      <c r="T9" s="30" t="s">
        <v>133</v>
      </c>
      <c r="U9" s="37">
        <f>O13</f>
        <v>16891.155527300572</v>
      </c>
      <c r="V9" s="38"/>
      <c r="W9" s="30" t="s">
        <v>134</v>
      </c>
      <c r="X9" s="37">
        <f>R16</f>
        <v>158728.09202661994</v>
      </c>
    </row>
    <row r="10" spans="1:24" ht="15.75">
      <c r="H10" s="17" t="s">
        <v>94</v>
      </c>
      <c r="I10" s="25">
        <f>ONSV_AUX_2013!Q32</f>
        <v>3274596</v>
      </c>
      <c r="J10" s="4"/>
      <c r="K10" s="1" t="s">
        <v>2</v>
      </c>
      <c r="L10" s="28">
        <f>I17/L7</f>
        <v>0.10090254858425277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5.2025049398955185E-2</v>
      </c>
      <c r="M11" s="7"/>
      <c r="N11" s="13" t="s">
        <v>135</v>
      </c>
      <c r="O11" s="25">
        <f>IF(O9*I6&gt;J23,J23,O9*I6)</f>
        <v>13319.33571583891</v>
      </c>
      <c r="P11" s="41"/>
      <c r="Q11" s="30" t="s">
        <v>136</v>
      </c>
      <c r="R11" s="25">
        <f>I7-I15-I16-I19-I22</f>
        <v>191778</v>
      </c>
      <c r="S11" s="42"/>
      <c r="T11" s="30" t="s">
        <v>137</v>
      </c>
      <c r="U11" s="32">
        <f>O19</f>
        <v>1594444.6642841611</v>
      </c>
      <c r="V11" s="41"/>
      <c r="W11" s="30" t="s">
        <v>138</v>
      </c>
      <c r="X11" s="32">
        <f>I15</f>
        <v>236137</v>
      </c>
    </row>
    <row r="12" spans="1:24" ht="15.75">
      <c r="H12" s="9" t="s">
        <v>139</v>
      </c>
      <c r="K12" s="1" t="s">
        <v>0</v>
      </c>
      <c r="L12" s="28">
        <f>I23/L7</f>
        <v>7.0174737698342005E-3</v>
      </c>
      <c r="O12" s="24"/>
      <c r="P12" s="41"/>
      <c r="Q12" s="30" t="s">
        <v>140</v>
      </c>
      <c r="R12" s="25">
        <f>R8*R11</f>
        <v>126536.27741224073</v>
      </c>
      <c r="S12" s="24"/>
      <c r="T12" s="30" t="s">
        <v>141</v>
      </c>
      <c r="U12" s="32">
        <f>O17</f>
        <v>418722</v>
      </c>
      <c r="V12" s="31"/>
      <c r="W12" s="30" t="s">
        <v>142</v>
      </c>
      <c r="X12" s="32">
        <f>I16</f>
        <v>79639</v>
      </c>
    </row>
    <row r="13" spans="1:24" ht="15.75">
      <c r="K13" s="5"/>
      <c r="L13" s="5"/>
      <c r="M13" s="5"/>
      <c r="N13" s="13" t="s">
        <v>143</v>
      </c>
      <c r="O13" s="25">
        <f>J23-O11</f>
        <v>16891.155527300572</v>
      </c>
      <c r="P13" s="41"/>
      <c r="Q13" s="30" t="s">
        <v>125</v>
      </c>
      <c r="R13" s="25">
        <f>R9*R11</f>
        <v>65241.722587759272</v>
      </c>
      <c r="S13" s="24"/>
      <c r="T13" s="30" t="s">
        <v>144</v>
      </c>
      <c r="U13" s="32">
        <f>O18</f>
        <v>33575</v>
      </c>
      <c r="V13" s="36"/>
      <c r="W13" s="24"/>
      <c r="X13" s="27"/>
    </row>
    <row r="14" spans="1:24" ht="15.75">
      <c r="H14" s="18" t="s">
        <v>104</v>
      </c>
      <c r="I14" s="25">
        <f>ONSV_AUX_2013!Q56</f>
        <v>3616649</v>
      </c>
      <c r="J14" s="26">
        <f>I14-(L9*I8)</f>
        <v>3616468.3881904269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180.61180957313627</v>
      </c>
      <c r="V14" s="36"/>
      <c r="W14" s="30" t="s">
        <v>146</v>
      </c>
      <c r="X14" s="32">
        <f>I22</f>
        <v>35011</v>
      </c>
    </row>
    <row r="15" spans="1:24" ht="15.75">
      <c r="H15" s="18" t="s">
        <v>105</v>
      </c>
      <c r="I15" s="25">
        <f>ONSV_AUX_2013!Q57</f>
        <v>236137</v>
      </c>
      <c r="J15" s="4">
        <f>I15</f>
        <v>236137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307853.02853981365</v>
      </c>
      <c r="S15" s="24"/>
      <c r="T15" s="30" t="s">
        <v>149</v>
      </c>
      <c r="U15" s="37">
        <f>O20</f>
        <v>1569726.7239062658</v>
      </c>
      <c r="V15" s="24"/>
      <c r="W15" s="30" t="s">
        <v>150</v>
      </c>
      <c r="X15" s="32">
        <f>I19</f>
        <v>18599</v>
      </c>
    </row>
    <row r="16" spans="1:24" ht="15.75">
      <c r="H16" s="18" t="s">
        <v>106</v>
      </c>
      <c r="I16" s="25">
        <f>ONSV_AUX_2013!Q58</f>
        <v>79639</v>
      </c>
      <c r="J16" s="4">
        <f>I16</f>
        <v>79639</v>
      </c>
      <c r="K16" s="5"/>
      <c r="L16" s="5"/>
      <c r="M16" s="5"/>
      <c r="O16" s="38"/>
      <c r="P16" s="41"/>
      <c r="Q16" s="30" t="s">
        <v>134</v>
      </c>
      <c r="R16" s="25">
        <f>J18-R13</f>
        <v>158728.09202661994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ONSV_AUX_2013!Q59</f>
        <v>434411</v>
      </c>
      <c r="J17" s="26">
        <f>I17-(L10*I8)</f>
        <v>434389.30595205439</v>
      </c>
      <c r="K17" s="5"/>
      <c r="L17" s="5"/>
      <c r="M17" s="5"/>
      <c r="N17" s="13" t="s">
        <v>141</v>
      </c>
      <c r="O17" s="25">
        <f>I5</f>
        <v>418722</v>
      </c>
      <c r="P17" s="41"/>
      <c r="Q17" s="24"/>
      <c r="R17" s="24"/>
      <c r="S17" s="42"/>
      <c r="T17" s="30" t="s">
        <v>140</v>
      </c>
      <c r="U17" s="33">
        <f>R12</f>
        <v>126536.27741224073</v>
      </c>
      <c r="V17" s="24"/>
      <c r="W17" s="30" t="s">
        <v>151</v>
      </c>
      <c r="X17" s="32">
        <f>I20</f>
        <v>983205</v>
      </c>
    </row>
    <row r="18" spans="8:24" ht="15.75">
      <c r="H18" s="18" t="s">
        <v>108</v>
      </c>
      <c r="I18" s="25">
        <f>ONSV_AUX_2013!Q60</f>
        <v>223981</v>
      </c>
      <c r="J18" s="26">
        <f>I18-(L11*I8)</f>
        <v>223969.81461437923</v>
      </c>
      <c r="K18" s="5"/>
      <c r="L18" s="5"/>
      <c r="M18" s="5"/>
      <c r="N18" s="13" t="s">
        <v>144</v>
      </c>
      <c r="O18" s="25">
        <f>I9</f>
        <v>33575</v>
      </c>
      <c r="P18" s="41"/>
      <c r="Q18" s="24"/>
      <c r="R18" s="24"/>
      <c r="S18" s="24"/>
      <c r="T18" s="30" t="s">
        <v>152</v>
      </c>
      <c r="U18" s="33">
        <f>I17-J17</f>
        <v>21.694047945609782</v>
      </c>
      <c r="V18" s="24"/>
      <c r="W18" s="30" t="s">
        <v>153</v>
      </c>
      <c r="X18" s="32">
        <f>I21</f>
        <v>240223</v>
      </c>
    </row>
    <row r="19" spans="8:24" ht="15.75">
      <c r="H19" s="18" t="s">
        <v>109</v>
      </c>
      <c r="I19" s="25">
        <f>ONSV_AUX_2013!Q61</f>
        <v>18599</v>
      </c>
      <c r="J19" s="4">
        <f>I19</f>
        <v>18599</v>
      </c>
      <c r="K19" s="5"/>
      <c r="L19" s="5"/>
      <c r="M19" s="5"/>
      <c r="N19" s="13" t="s">
        <v>137</v>
      </c>
      <c r="O19" s="25">
        <f>IF(OR((O8*I6&gt;J14),((O17+O18+(O8*I6))&gt;J14)),(J14-O17-O18),(O8*I6))</f>
        <v>1594444.6642841611</v>
      </c>
      <c r="P19" s="41"/>
      <c r="Q19" s="24"/>
      <c r="R19" s="43"/>
      <c r="S19" s="24"/>
      <c r="T19" s="30" t="s">
        <v>148</v>
      </c>
      <c r="U19" s="37">
        <f>R15</f>
        <v>307853.02853981365</v>
      </c>
      <c r="V19" s="24"/>
      <c r="W19" s="24"/>
      <c r="X19" s="24"/>
    </row>
    <row r="20" spans="8:24" ht="15.75">
      <c r="H20" s="18" t="s">
        <v>110</v>
      </c>
      <c r="I20" s="25">
        <f>ONSV_AUX_2013!Q62</f>
        <v>983205</v>
      </c>
      <c r="J20" s="4">
        <f>I20</f>
        <v>983205</v>
      </c>
      <c r="K20" s="5"/>
      <c r="L20" s="5"/>
      <c r="M20" s="5"/>
      <c r="N20" s="13" t="s">
        <v>149</v>
      </c>
      <c r="O20" s="25">
        <f>IF((J14-O17-O19-O18)&lt;0,0,(J14-O17-O19-O18))</f>
        <v>1569726.7239062658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ONSV_AUX_2013!Q63</f>
        <v>240223</v>
      </c>
      <c r="J21" s="4">
        <f>I21</f>
        <v>240223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5898067</v>
      </c>
    </row>
    <row r="22" spans="8:24" ht="15.75">
      <c r="H22" s="18" t="s">
        <v>112</v>
      </c>
      <c r="I22" s="25">
        <f>ONSV_AUX_2013!Q64</f>
        <v>35011</v>
      </c>
      <c r="J22" s="4">
        <f>I22</f>
        <v>35011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ONSV_AUX_2013!Q65</f>
        <v>30212</v>
      </c>
      <c r="J23" s="26">
        <f>I23-(L12*I8)</f>
        <v>30210.491243139484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2" max="12" width="9.85546875" bestFit="1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"PERNAMBUCO/"&amp;ONSV_AUX_2013!A1&amp;""</f>
        <v>PERNAMBUCO/2013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ONSV_AUX_2013!R27</f>
        <v>93746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ONSV_AUX_2013!R28</f>
        <v>731635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ONSV_AUX_2013!R29</f>
        <v>188183</v>
      </c>
      <c r="J7" s="3"/>
      <c r="K7" s="1" t="s">
        <v>121</v>
      </c>
      <c r="L7" s="25">
        <f>I14+I17+I18+I23</f>
        <v>1263095</v>
      </c>
      <c r="N7" s="13" t="s">
        <v>122</v>
      </c>
      <c r="O7" s="25">
        <f>J14+J23</f>
        <v>1065673.5930203192</v>
      </c>
      <c r="P7" s="29"/>
      <c r="Q7" s="30" t="s">
        <v>123</v>
      </c>
      <c r="R7" s="25">
        <f>J17+J18</f>
        <v>197334.40697968088</v>
      </c>
      <c r="S7" s="31"/>
      <c r="T7" s="30" t="s">
        <v>124</v>
      </c>
      <c r="U7" s="32">
        <f>O11</f>
        <v>7315.3408454351729</v>
      </c>
      <c r="V7" s="24"/>
      <c r="W7" s="30" t="s">
        <v>125</v>
      </c>
      <c r="X7" s="33">
        <f>R13</f>
        <v>28223.106081642578</v>
      </c>
    </row>
    <row r="8" spans="1:24" ht="15.75">
      <c r="H8" s="17" t="s">
        <v>101</v>
      </c>
      <c r="I8" s="25">
        <f>ONSV_AUX_2013!R30</f>
        <v>87</v>
      </c>
      <c r="J8" s="3"/>
      <c r="K8" s="12"/>
      <c r="L8" s="27"/>
      <c r="M8" s="7"/>
      <c r="N8" s="13" t="s">
        <v>126</v>
      </c>
      <c r="O8" s="34">
        <f>J14/O7</f>
        <v>0.99000137931422738</v>
      </c>
      <c r="P8" s="29"/>
      <c r="Q8" s="35" t="s">
        <v>127</v>
      </c>
      <c r="R8" s="28">
        <f>J17/R7</f>
        <v>0.56952692705271901</v>
      </c>
      <c r="S8" s="36"/>
      <c r="T8" s="30" t="s">
        <v>128</v>
      </c>
      <c r="U8" s="32">
        <f>I23-J23</f>
        <v>0.73396854551720025</v>
      </c>
      <c r="V8" s="24"/>
      <c r="W8" s="30" t="s">
        <v>129</v>
      </c>
      <c r="X8" s="33">
        <f>I18-J18</f>
        <v>5.8514292274194304</v>
      </c>
    </row>
    <row r="9" spans="1:24" ht="15.75">
      <c r="H9" s="17" t="s">
        <v>16</v>
      </c>
      <c r="I9" s="25">
        <f>ONSV_AUX_2013!R31</f>
        <v>43607</v>
      </c>
      <c r="J9" s="3"/>
      <c r="K9" s="1" t="s">
        <v>130</v>
      </c>
      <c r="L9" s="28">
        <f>I14/L7</f>
        <v>0.83532196707294382</v>
      </c>
      <c r="M9" s="7"/>
      <c r="N9" s="13" t="s">
        <v>131</v>
      </c>
      <c r="O9" s="34">
        <f>J23/O7</f>
        <v>9.9986206857725132E-3</v>
      </c>
      <c r="P9" s="29"/>
      <c r="Q9" s="35" t="s">
        <v>132</v>
      </c>
      <c r="R9" s="28">
        <f>J18/R7</f>
        <v>0.43047307294728088</v>
      </c>
      <c r="S9" s="36"/>
      <c r="T9" s="30" t="s">
        <v>133</v>
      </c>
      <c r="U9" s="37">
        <f>O13</f>
        <v>3339.9251860193099</v>
      </c>
      <c r="V9" s="38"/>
      <c r="W9" s="30" t="s">
        <v>134</v>
      </c>
      <c r="X9" s="37">
        <f>R16</f>
        <v>56724.042489130006</v>
      </c>
    </row>
    <row r="10" spans="1:24" ht="15.75">
      <c r="H10" s="17" t="s">
        <v>94</v>
      </c>
      <c r="I10" s="25">
        <f>ONSV_AUX_2013!R32</f>
        <v>1198661</v>
      </c>
      <c r="J10" s="4"/>
      <c r="K10" s="1" t="s">
        <v>2</v>
      </c>
      <c r="L10" s="28">
        <f>I17/L7</f>
        <v>8.8983805651989753E-2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6.7257807211650741E-2</v>
      </c>
      <c r="M11" s="7"/>
      <c r="N11" s="13" t="s">
        <v>135</v>
      </c>
      <c r="O11" s="25">
        <f>IF(O9*I6&gt;J23,J23,O9*I6)</f>
        <v>7315.3408454351729</v>
      </c>
      <c r="P11" s="41"/>
      <c r="Q11" s="30" t="s">
        <v>136</v>
      </c>
      <c r="R11" s="25">
        <f>I7-I15-I16-I19-I22</f>
        <v>65563</v>
      </c>
      <c r="S11" s="42"/>
      <c r="T11" s="30" t="s">
        <v>137</v>
      </c>
      <c r="U11" s="32">
        <f>O19</f>
        <v>724319.65915456472</v>
      </c>
      <c r="V11" s="41"/>
      <c r="W11" s="30" t="s">
        <v>138</v>
      </c>
      <c r="X11" s="32">
        <f>I15</f>
        <v>80435</v>
      </c>
    </row>
    <row r="12" spans="1:24" ht="15.75">
      <c r="H12" s="9" t="s">
        <v>139</v>
      </c>
      <c r="K12" s="1" t="s">
        <v>0</v>
      </c>
      <c r="L12" s="28">
        <f>I23/L7</f>
        <v>8.4364200634156582E-3</v>
      </c>
      <c r="O12" s="24"/>
      <c r="P12" s="41"/>
      <c r="Q12" s="30" t="s">
        <v>140</v>
      </c>
      <c r="R12" s="25">
        <f>R8*R11</f>
        <v>37339.893918357418</v>
      </c>
      <c r="S12" s="24"/>
      <c r="T12" s="30" t="s">
        <v>141</v>
      </c>
      <c r="U12" s="32">
        <f>O17</f>
        <v>93746</v>
      </c>
      <c r="V12" s="31"/>
      <c r="W12" s="30" t="s">
        <v>142</v>
      </c>
      <c r="X12" s="32">
        <f>I16</f>
        <v>10147</v>
      </c>
    </row>
    <row r="13" spans="1:24" ht="15.75">
      <c r="K13" s="5"/>
      <c r="L13" s="5"/>
      <c r="M13" s="5"/>
      <c r="N13" s="13" t="s">
        <v>143</v>
      </c>
      <c r="O13" s="25">
        <f>J23-O11</f>
        <v>3339.9251860193099</v>
      </c>
      <c r="P13" s="41"/>
      <c r="Q13" s="30" t="s">
        <v>125</v>
      </c>
      <c r="R13" s="25">
        <f>R9*R11</f>
        <v>28223.106081642578</v>
      </c>
      <c r="S13" s="24"/>
      <c r="T13" s="30" t="s">
        <v>144</v>
      </c>
      <c r="U13" s="32">
        <f>O18</f>
        <v>43607</v>
      </c>
      <c r="V13" s="36"/>
      <c r="W13" s="24"/>
      <c r="X13" s="27"/>
    </row>
    <row r="14" spans="1:24" ht="15.75">
      <c r="H14" s="18" t="s">
        <v>104</v>
      </c>
      <c r="I14" s="25">
        <f>ONSV_AUX_2013!R56</f>
        <v>1055091</v>
      </c>
      <c r="J14" s="26">
        <f>I14-(L9*I8)</f>
        <v>1055018.3269888647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72.673011135309935</v>
      </c>
      <c r="V14" s="36"/>
      <c r="W14" s="30" t="s">
        <v>146</v>
      </c>
      <c r="X14" s="32">
        <f>I22</f>
        <v>17475</v>
      </c>
    </row>
    <row r="15" spans="1:24" ht="15.75">
      <c r="H15" s="18" t="s">
        <v>105</v>
      </c>
      <c r="I15" s="25">
        <f>ONSV_AUX_2013!R57</f>
        <v>80435</v>
      </c>
      <c r="J15" s="4">
        <f>I15</f>
        <v>80435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75047.364490550855</v>
      </c>
      <c r="S15" s="24"/>
      <c r="T15" s="30" t="s">
        <v>149</v>
      </c>
      <c r="U15" s="37">
        <f>O20</f>
        <v>193345.66783429997</v>
      </c>
      <c r="V15" s="24"/>
      <c r="W15" s="30" t="s">
        <v>150</v>
      </c>
      <c r="X15" s="32">
        <f>I19</f>
        <v>14563</v>
      </c>
    </row>
    <row r="16" spans="1:24" ht="15.75">
      <c r="H16" s="18" t="s">
        <v>106</v>
      </c>
      <c r="I16" s="25">
        <f>ONSV_AUX_2013!R58</f>
        <v>10147</v>
      </c>
      <c r="J16" s="4">
        <f>I16</f>
        <v>10147</v>
      </c>
      <c r="K16" s="5"/>
      <c r="L16" s="5"/>
      <c r="M16" s="5"/>
      <c r="O16" s="38"/>
      <c r="P16" s="41"/>
      <c r="Q16" s="30" t="s">
        <v>134</v>
      </c>
      <c r="R16" s="25">
        <f>J18-R13</f>
        <v>56724.042489130006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ONSV_AUX_2013!R59</f>
        <v>112395</v>
      </c>
      <c r="J17" s="26">
        <f>I17-(L10*I8)</f>
        <v>112387.25840890828</v>
      </c>
      <c r="K17" s="5"/>
      <c r="L17" s="5"/>
      <c r="M17" s="5"/>
      <c r="N17" s="13" t="s">
        <v>141</v>
      </c>
      <c r="O17" s="25">
        <f>I5</f>
        <v>93746</v>
      </c>
      <c r="P17" s="41"/>
      <c r="Q17" s="24"/>
      <c r="R17" s="24"/>
      <c r="S17" s="42"/>
      <c r="T17" s="30" t="s">
        <v>140</v>
      </c>
      <c r="U17" s="33">
        <f>R12</f>
        <v>37339.893918357418</v>
      </c>
      <c r="V17" s="24"/>
      <c r="W17" s="30" t="s">
        <v>151</v>
      </c>
      <c r="X17" s="32">
        <f>I20</f>
        <v>797313</v>
      </c>
    </row>
    <row r="18" spans="8:24" ht="15.75">
      <c r="H18" s="18" t="s">
        <v>108</v>
      </c>
      <c r="I18" s="25">
        <f>ONSV_AUX_2013!R60</f>
        <v>84953</v>
      </c>
      <c r="J18" s="26">
        <f>I18-(L11*I8)</f>
        <v>84947.148570772581</v>
      </c>
      <c r="K18" s="5"/>
      <c r="L18" s="5"/>
      <c r="M18" s="5"/>
      <c r="N18" s="13" t="s">
        <v>144</v>
      </c>
      <c r="O18" s="25">
        <f>I9</f>
        <v>43607</v>
      </c>
      <c r="P18" s="41"/>
      <c r="Q18" s="24"/>
      <c r="R18" s="24"/>
      <c r="S18" s="24"/>
      <c r="T18" s="30" t="s">
        <v>152</v>
      </c>
      <c r="U18" s="33">
        <f>I17-J17</f>
        <v>7.7415910917188739</v>
      </c>
      <c r="V18" s="24"/>
      <c r="W18" s="30" t="s">
        <v>153</v>
      </c>
      <c r="X18" s="32">
        <f>I21</f>
        <v>77933</v>
      </c>
    </row>
    <row r="19" spans="8:24" ht="15.75">
      <c r="H19" s="18" t="s">
        <v>109</v>
      </c>
      <c r="I19" s="25">
        <f>ONSV_AUX_2013!R61</f>
        <v>14563</v>
      </c>
      <c r="J19" s="4">
        <f>I19</f>
        <v>14563</v>
      </c>
      <c r="K19" s="5"/>
      <c r="L19" s="5"/>
      <c r="M19" s="5"/>
      <c r="N19" s="13" t="s">
        <v>137</v>
      </c>
      <c r="O19" s="25">
        <f>IF(OR((O8*I6&gt;J14),((O17+O18+(O8*I6))&gt;J14)),(J14-O17-O18),(O8*I6))</f>
        <v>724319.65915456472</v>
      </c>
      <c r="P19" s="41"/>
      <c r="Q19" s="24"/>
      <c r="R19" s="43"/>
      <c r="S19" s="24"/>
      <c r="T19" s="30" t="s">
        <v>148</v>
      </c>
      <c r="U19" s="37">
        <f>R15</f>
        <v>75047.364490550855</v>
      </c>
      <c r="V19" s="24"/>
      <c r="W19" s="24"/>
      <c r="X19" s="24"/>
    </row>
    <row r="20" spans="8:24" ht="15.75">
      <c r="H20" s="18" t="s">
        <v>110</v>
      </c>
      <c r="I20" s="25">
        <f>ONSV_AUX_2013!R62</f>
        <v>797313</v>
      </c>
      <c r="J20" s="4">
        <f>I20</f>
        <v>797313</v>
      </c>
      <c r="K20" s="5"/>
      <c r="L20" s="5"/>
      <c r="M20" s="5"/>
      <c r="N20" s="13" t="s">
        <v>149</v>
      </c>
      <c r="O20" s="25">
        <f>IF((J14-O17-O19-O18)&lt;0,0,(J14-O17-O19-O18))</f>
        <v>193345.66783429997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ONSV_AUX_2013!R63</f>
        <v>77933</v>
      </c>
      <c r="J21" s="4">
        <f>I21</f>
        <v>77933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2260961</v>
      </c>
    </row>
    <row r="22" spans="8:24" ht="15.75">
      <c r="H22" s="18" t="s">
        <v>112</v>
      </c>
      <c r="I22" s="25">
        <f>ONSV_AUX_2013!R64</f>
        <v>17475</v>
      </c>
      <c r="J22" s="4">
        <f>I22</f>
        <v>17475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ONSV_AUX_2013!R65</f>
        <v>10656</v>
      </c>
      <c r="J23" s="26">
        <f>I23-(L12*I8)</f>
        <v>10655.266031454483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8CBAD"/>
  </sheetPr>
  <dimension ref="A1:BJ166"/>
  <sheetViews>
    <sheetView showGridLines="0" zoomScale="110" zoomScaleNormal="110" workbookViewId="0">
      <pane xSplit="1" topLeftCell="B36" activePane="topRight" state="frozen"/>
      <selection pane="topRight" activeCell="L51" sqref="L51"/>
    </sheetView>
  </sheetViews>
  <sheetFormatPr defaultColWidth="10.85546875" defaultRowHeight="15.75"/>
  <cols>
    <col min="1" max="1" width="35.42578125" style="53" customWidth="1"/>
    <col min="2" max="2" width="11.5703125" style="52" bestFit="1" customWidth="1"/>
    <col min="3" max="5" width="11" style="52" bestFit="1" customWidth="1"/>
    <col min="6" max="10" width="11.7109375" style="52" bestFit="1" customWidth="1"/>
    <col min="11" max="11" width="13.5703125" style="52" customWidth="1"/>
    <col min="12" max="12" width="15.7109375" style="52" customWidth="1"/>
    <col min="13" max="13" width="19.42578125" style="52" customWidth="1"/>
    <col min="14" max="14" width="13.7109375" style="52" customWidth="1"/>
    <col min="15" max="15" width="11.7109375" style="52" bestFit="1" customWidth="1"/>
    <col min="16" max="16" width="11" style="52" bestFit="1" customWidth="1"/>
    <col min="17" max="18" width="11.7109375" style="52" bestFit="1" customWidth="1"/>
    <col min="19" max="19" width="11" style="52" bestFit="1" customWidth="1"/>
    <col min="20" max="20" width="11.7109375" style="52" bestFit="1" customWidth="1"/>
    <col min="21" max="21" width="11" style="52" bestFit="1" customWidth="1"/>
    <col min="22" max="22" width="11.7109375" style="52" bestFit="1" customWidth="1"/>
    <col min="23" max="24" width="11" style="52" bestFit="1" customWidth="1"/>
    <col min="25" max="25" width="11.7109375" style="52" bestFit="1" customWidth="1"/>
    <col min="26" max="26" width="12.85546875" style="52" bestFit="1" customWidth="1"/>
    <col min="27" max="27" width="11" style="52" bestFit="1" customWidth="1"/>
    <col min="28" max="28" width="12.140625" style="52" customWidth="1"/>
    <col min="29" max="29" width="10.85546875" style="52"/>
    <col min="30" max="30" width="13.42578125" style="53" bestFit="1" customWidth="1"/>
    <col min="31" max="16384" width="10.85546875" style="52"/>
  </cols>
  <sheetData>
    <row r="1" spans="1:30">
      <c r="A1" s="46">
        <v>2013</v>
      </c>
    </row>
    <row r="2" spans="1:30">
      <c r="A2" s="124" t="s">
        <v>52</v>
      </c>
    </row>
    <row r="3" spans="1:30">
      <c r="A3" s="125"/>
      <c r="B3" s="54" t="s">
        <v>53</v>
      </c>
      <c r="C3" s="54" t="s">
        <v>54</v>
      </c>
      <c r="D3" s="54" t="s">
        <v>55</v>
      </c>
      <c r="E3" s="54" t="s">
        <v>56</v>
      </c>
      <c r="F3" s="54" t="s">
        <v>57</v>
      </c>
      <c r="G3" s="54" t="s">
        <v>58</v>
      </c>
      <c r="H3" s="54" t="s">
        <v>59</v>
      </c>
      <c r="I3" s="54" t="s">
        <v>60</v>
      </c>
      <c r="J3" s="54" t="s">
        <v>61</v>
      </c>
      <c r="K3" s="54" t="s">
        <v>62</v>
      </c>
      <c r="L3" s="54" t="s">
        <v>63</v>
      </c>
      <c r="M3" s="54" t="s">
        <v>64</v>
      </c>
      <c r="N3" s="54" t="s">
        <v>65</v>
      </c>
      <c r="O3" s="54" t="s">
        <v>66</v>
      </c>
      <c r="P3" s="54" t="s">
        <v>67</v>
      </c>
      <c r="Q3" s="54" t="s">
        <v>68</v>
      </c>
      <c r="R3" s="54" t="s">
        <v>69</v>
      </c>
      <c r="S3" s="54" t="s">
        <v>70</v>
      </c>
      <c r="T3" s="54" t="s">
        <v>71</v>
      </c>
      <c r="U3" s="54" t="s">
        <v>72</v>
      </c>
      <c r="V3" s="54" t="s">
        <v>73</v>
      </c>
      <c r="W3" s="54" t="s">
        <v>74</v>
      </c>
      <c r="X3" s="54" t="s">
        <v>75</v>
      </c>
      <c r="Y3" s="54" t="s">
        <v>76</v>
      </c>
      <c r="Z3" s="54" t="s">
        <v>77</v>
      </c>
      <c r="AA3" s="54" t="s">
        <v>78</v>
      </c>
      <c r="AB3" s="54" t="s">
        <v>79</v>
      </c>
      <c r="AD3" s="55" t="s">
        <v>80</v>
      </c>
    </row>
    <row r="4" spans="1:30" ht="15">
      <c r="A4" s="56" t="s">
        <v>81</v>
      </c>
      <c r="B4" s="57">
        <v>3609</v>
      </c>
      <c r="C4" s="57">
        <v>23812</v>
      </c>
      <c r="D4" s="57">
        <v>1418</v>
      </c>
      <c r="E4" s="57">
        <v>16229</v>
      </c>
      <c r="F4" s="57">
        <v>95113</v>
      </c>
      <c r="G4" s="57">
        <v>62568</v>
      </c>
      <c r="H4" s="57">
        <v>59500</v>
      </c>
      <c r="I4" s="57">
        <v>52793</v>
      </c>
      <c r="J4" s="57">
        <v>157726</v>
      </c>
      <c r="K4" s="57">
        <v>13563</v>
      </c>
      <c r="L4" s="57">
        <v>46925</v>
      </c>
      <c r="M4" s="57">
        <v>52487</v>
      </c>
      <c r="N4" s="57">
        <v>430315</v>
      </c>
      <c r="O4" s="57">
        <v>23630</v>
      </c>
      <c r="P4" s="57">
        <v>29167</v>
      </c>
      <c r="Q4" s="57">
        <v>418722</v>
      </c>
      <c r="R4" s="57">
        <v>93746</v>
      </c>
      <c r="S4" s="57">
        <v>18057</v>
      </c>
      <c r="T4" s="57">
        <v>310835</v>
      </c>
      <c r="U4" s="57">
        <v>29869</v>
      </c>
      <c r="V4" s="57">
        <v>198022</v>
      </c>
      <c r="W4" s="57">
        <v>10190</v>
      </c>
      <c r="X4" s="57">
        <v>1417</v>
      </c>
      <c r="Y4" s="57">
        <v>134145</v>
      </c>
      <c r="Z4" s="57">
        <v>1840684</v>
      </c>
      <c r="AA4" s="57">
        <v>18364</v>
      </c>
      <c r="AB4" s="57">
        <v>10627</v>
      </c>
      <c r="AD4" s="58">
        <f>SUM(B4:AB4)</f>
        <v>4153533</v>
      </c>
    </row>
    <row r="5" spans="1:30" ht="15">
      <c r="A5" s="56" t="s">
        <v>82</v>
      </c>
      <c r="B5" s="57">
        <v>1</v>
      </c>
      <c r="C5" s="57">
        <v>1</v>
      </c>
      <c r="D5" s="57"/>
      <c r="E5" s="57"/>
      <c r="F5" s="57">
        <v>18</v>
      </c>
      <c r="G5" s="57">
        <v>140</v>
      </c>
      <c r="H5" s="57">
        <v>1</v>
      </c>
      <c r="I5" s="57">
        <v>889</v>
      </c>
      <c r="J5" s="57">
        <v>29</v>
      </c>
      <c r="K5" s="57">
        <v>10</v>
      </c>
      <c r="L5" s="57">
        <v>308</v>
      </c>
      <c r="M5" s="57">
        <v>20</v>
      </c>
      <c r="N5" s="57">
        <v>541</v>
      </c>
      <c r="O5" s="57">
        <v>9</v>
      </c>
      <c r="P5" s="57">
        <v>16</v>
      </c>
      <c r="Q5" s="57"/>
      <c r="R5" s="57"/>
      <c r="S5" s="57">
        <v>4</v>
      </c>
      <c r="T5" s="57"/>
      <c r="U5" s="57">
        <v>10</v>
      </c>
      <c r="V5" s="57"/>
      <c r="W5" s="57">
        <v>1</v>
      </c>
      <c r="X5" s="57"/>
      <c r="Y5" s="57">
        <v>4</v>
      </c>
      <c r="Z5" s="57">
        <v>1250</v>
      </c>
      <c r="AA5" s="57">
        <v>1</v>
      </c>
      <c r="AB5" s="57">
        <v>1</v>
      </c>
      <c r="AC5" s="59"/>
      <c r="AD5" s="58">
        <f t="shared" ref="AD5:AD21" si="0">SUM(B5:AB5)</f>
        <v>3254</v>
      </c>
    </row>
    <row r="6" spans="1:30" ht="15">
      <c r="A6" s="56" t="s">
        <v>83</v>
      </c>
      <c r="B6" s="57"/>
      <c r="C6" s="57">
        <v>1013</v>
      </c>
      <c r="D6" s="57">
        <v>1</v>
      </c>
      <c r="E6" s="57">
        <v>47</v>
      </c>
      <c r="F6" s="57">
        <v>1783</v>
      </c>
      <c r="G6" s="57">
        <v>2417</v>
      </c>
      <c r="H6" s="57">
        <v>34</v>
      </c>
      <c r="I6" s="57">
        <v>1397</v>
      </c>
      <c r="J6" s="57">
        <v>187</v>
      </c>
      <c r="K6" s="57">
        <v>6</v>
      </c>
      <c r="L6" s="57">
        <v>96</v>
      </c>
      <c r="M6" s="57">
        <v>236</v>
      </c>
      <c r="N6" s="57">
        <v>2901</v>
      </c>
      <c r="O6" s="57">
        <v>7</v>
      </c>
      <c r="P6" s="57">
        <v>1907</v>
      </c>
      <c r="Q6" s="57">
        <v>1703</v>
      </c>
      <c r="R6" s="57">
        <v>2135</v>
      </c>
      <c r="S6" s="57">
        <v>20</v>
      </c>
      <c r="T6" s="57">
        <v>50853</v>
      </c>
      <c r="U6" s="57">
        <v>4768</v>
      </c>
      <c r="V6" s="57">
        <v>2110</v>
      </c>
      <c r="W6" s="57">
        <v>6</v>
      </c>
      <c r="X6" s="57">
        <v>1</v>
      </c>
      <c r="Y6" s="57">
        <v>4031</v>
      </c>
      <c r="Z6" s="57">
        <v>14423</v>
      </c>
      <c r="AA6" s="57">
        <v>1539</v>
      </c>
      <c r="AB6" s="57">
        <v>6</v>
      </c>
      <c r="AC6" s="59"/>
      <c r="AD6" s="58">
        <f t="shared" si="0"/>
        <v>93627</v>
      </c>
    </row>
    <row r="7" spans="1:30" ht="15">
      <c r="A7" s="56" t="s">
        <v>84</v>
      </c>
      <c r="B7" s="57">
        <v>52022</v>
      </c>
      <c r="C7" s="57">
        <v>195092</v>
      </c>
      <c r="D7" s="57">
        <v>54558</v>
      </c>
      <c r="E7" s="57">
        <v>229137</v>
      </c>
      <c r="F7" s="57">
        <v>948559</v>
      </c>
      <c r="G7" s="57">
        <v>622097</v>
      </c>
      <c r="H7" s="57">
        <v>631605</v>
      </c>
      <c r="I7" s="57">
        <v>465754</v>
      </c>
      <c r="J7" s="57">
        <v>829052</v>
      </c>
      <c r="K7" s="57">
        <v>380505</v>
      </c>
      <c r="L7" s="57">
        <v>396796</v>
      </c>
      <c r="M7" s="57">
        <v>306676</v>
      </c>
      <c r="N7" s="57">
        <v>2437049</v>
      </c>
      <c r="O7" s="57">
        <v>405518</v>
      </c>
      <c r="P7" s="57">
        <v>282557</v>
      </c>
      <c r="Q7" s="57">
        <v>1607764</v>
      </c>
      <c r="R7" s="57">
        <v>731635</v>
      </c>
      <c r="S7" s="57">
        <v>213585</v>
      </c>
      <c r="T7" s="57">
        <v>1332207</v>
      </c>
      <c r="U7" s="57">
        <v>254685</v>
      </c>
      <c r="V7" s="57">
        <v>1288447</v>
      </c>
      <c r="W7" s="57">
        <v>199307</v>
      </c>
      <c r="X7" s="57">
        <v>42266</v>
      </c>
      <c r="Y7" s="57">
        <v>1138090</v>
      </c>
      <c r="Z7" s="57">
        <v>6724390</v>
      </c>
      <c r="AA7" s="57">
        <v>170903</v>
      </c>
      <c r="AB7" s="57">
        <v>131088</v>
      </c>
      <c r="AC7" s="59"/>
      <c r="AD7" s="58">
        <f t="shared" si="0"/>
        <v>22071344</v>
      </c>
    </row>
    <row r="8" spans="1:30" ht="15">
      <c r="A8" s="56" t="s">
        <v>85</v>
      </c>
      <c r="B8" s="57">
        <v>19142</v>
      </c>
      <c r="C8" s="57">
        <v>51113</v>
      </c>
      <c r="D8" s="57">
        <v>11284</v>
      </c>
      <c r="E8" s="57">
        <v>56183</v>
      </c>
      <c r="F8" s="57">
        <v>272810</v>
      </c>
      <c r="G8" s="57">
        <v>175582</v>
      </c>
      <c r="H8" s="57">
        <v>82313</v>
      </c>
      <c r="I8" s="57">
        <v>150837</v>
      </c>
      <c r="J8" s="57">
        <v>258447</v>
      </c>
      <c r="K8" s="57">
        <v>89197</v>
      </c>
      <c r="L8" s="57">
        <v>174009</v>
      </c>
      <c r="M8" s="57">
        <v>127589</v>
      </c>
      <c r="N8" s="57">
        <v>657270</v>
      </c>
      <c r="O8" s="57">
        <v>133302</v>
      </c>
      <c r="P8" s="57">
        <v>67285</v>
      </c>
      <c r="Q8" s="57">
        <v>561164</v>
      </c>
      <c r="R8" s="57">
        <v>188183</v>
      </c>
      <c r="S8" s="57">
        <v>63600</v>
      </c>
      <c r="T8" s="57">
        <v>299873</v>
      </c>
      <c r="U8" s="57">
        <v>69408</v>
      </c>
      <c r="V8" s="57">
        <v>478102</v>
      </c>
      <c r="W8" s="57">
        <v>68791</v>
      </c>
      <c r="X8" s="57">
        <v>12997</v>
      </c>
      <c r="Y8" s="57">
        <v>323260</v>
      </c>
      <c r="Z8" s="57">
        <v>1469217</v>
      </c>
      <c r="AA8" s="57">
        <v>42853</v>
      </c>
      <c r="AB8" s="57">
        <v>55505</v>
      </c>
      <c r="AC8" s="59"/>
      <c r="AD8" s="58">
        <f t="shared" si="0"/>
        <v>5959316</v>
      </c>
    </row>
    <row r="9" spans="1:30" ht="15">
      <c r="A9" s="56" t="s">
        <v>86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9"/>
      <c r="AD9" s="58">
        <f t="shared" si="0"/>
        <v>0</v>
      </c>
    </row>
    <row r="10" spans="1:30" ht="15">
      <c r="A10" s="56" t="s">
        <v>87</v>
      </c>
      <c r="B10" s="57"/>
      <c r="C10" s="57"/>
      <c r="D10" s="57"/>
      <c r="E10" s="57"/>
      <c r="F10" s="57">
        <v>4</v>
      </c>
      <c r="G10" s="57"/>
      <c r="H10" s="57">
        <v>2</v>
      </c>
      <c r="I10" s="57">
        <v>1</v>
      </c>
      <c r="J10" s="57">
        <v>1</v>
      </c>
      <c r="K10" s="57"/>
      <c r="L10" s="57"/>
      <c r="M10" s="57">
        <v>1</v>
      </c>
      <c r="N10" s="57">
        <v>1</v>
      </c>
      <c r="O10" s="57"/>
      <c r="P10" s="57"/>
      <c r="Q10" s="57"/>
      <c r="R10" s="57"/>
      <c r="S10" s="57"/>
      <c r="T10" s="57"/>
      <c r="U10" s="57"/>
      <c r="V10" s="57">
        <v>5</v>
      </c>
      <c r="W10" s="57">
        <v>1</v>
      </c>
      <c r="X10" s="57">
        <v>2</v>
      </c>
      <c r="Y10" s="57"/>
      <c r="Z10" s="57">
        <v>11</v>
      </c>
      <c r="AA10" s="57"/>
      <c r="AB10" s="57">
        <v>1</v>
      </c>
      <c r="AC10" s="59"/>
      <c r="AD10" s="58">
        <f t="shared" si="0"/>
        <v>30</v>
      </c>
    </row>
    <row r="11" spans="1:30" ht="15">
      <c r="A11" s="56" t="s">
        <v>88</v>
      </c>
      <c r="B11" s="57"/>
      <c r="C11" s="57"/>
      <c r="D11" s="57"/>
      <c r="E11" s="57">
        <v>1</v>
      </c>
      <c r="F11" s="57">
        <v>2</v>
      </c>
      <c r="G11" s="57">
        <v>2</v>
      </c>
      <c r="H11" s="57">
        <v>4</v>
      </c>
      <c r="I11" s="57">
        <v>2</v>
      </c>
      <c r="J11" s="57"/>
      <c r="K11" s="57"/>
      <c r="L11" s="57"/>
      <c r="M11" s="57"/>
      <c r="N11" s="57"/>
      <c r="O11" s="57">
        <v>1</v>
      </c>
      <c r="P11" s="57"/>
      <c r="Q11" s="57">
        <v>3</v>
      </c>
      <c r="R11" s="57"/>
      <c r="S11" s="57">
        <v>1</v>
      </c>
      <c r="T11" s="57">
        <v>5</v>
      </c>
      <c r="U11" s="57">
        <v>3</v>
      </c>
      <c r="V11" s="57"/>
      <c r="W11" s="57"/>
      <c r="X11" s="57"/>
      <c r="Y11" s="57"/>
      <c r="Z11" s="57">
        <v>16</v>
      </c>
      <c r="AA11" s="57">
        <v>1</v>
      </c>
      <c r="AB11" s="57"/>
      <c r="AC11" s="59"/>
      <c r="AD11" s="58">
        <f t="shared" si="0"/>
        <v>41</v>
      </c>
    </row>
    <row r="12" spans="1:30" ht="15">
      <c r="A12" s="56" t="s">
        <v>89</v>
      </c>
      <c r="B12" s="57"/>
      <c r="C12" s="57"/>
      <c r="D12" s="57"/>
      <c r="E12" s="57"/>
      <c r="F12" s="57"/>
      <c r="G12" s="57">
        <v>4</v>
      </c>
      <c r="H12" s="57">
        <v>1</v>
      </c>
      <c r="I12" s="57">
        <v>4</v>
      </c>
      <c r="J12" s="57"/>
      <c r="K12" s="57">
        <v>1</v>
      </c>
      <c r="L12" s="57"/>
      <c r="M12" s="57"/>
      <c r="N12" s="57">
        <v>14</v>
      </c>
      <c r="O12" s="57"/>
      <c r="P12" s="57"/>
      <c r="Q12" s="57"/>
      <c r="R12" s="57">
        <v>64</v>
      </c>
      <c r="S12" s="57"/>
      <c r="T12" s="57">
        <v>5</v>
      </c>
      <c r="U12" s="57"/>
      <c r="V12" s="57">
        <v>16</v>
      </c>
      <c r="W12" s="57"/>
      <c r="X12" s="57"/>
      <c r="Y12" s="57">
        <v>3</v>
      </c>
      <c r="Z12" s="57">
        <v>713</v>
      </c>
      <c r="AA12" s="57"/>
      <c r="AB12" s="57">
        <v>1</v>
      </c>
      <c r="AC12" s="59"/>
      <c r="AD12" s="58">
        <f t="shared" si="0"/>
        <v>826</v>
      </c>
    </row>
    <row r="13" spans="1:30" ht="15">
      <c r="A13" s="56" t="s">
        <v>90</v>
      </c>
      <c r="B13" s="57">
        <v>10</v>
      </c>
      <c r="C13" s="57"/>
      <c r="D13" s="57">
        <v>8</v>
      </c>
      <c r="E13" s="57">
        <v>31</v>
      </c>
      <c r="F13" s="57">
        <v>13</v>
      </c>
      <c r="G13" s="57">
        <v>8</v>
      </c>
      <c r="H13" s="57">
        <v>26</v>
      </c>
      <c r="I13" s="57">
        <v>10</v>
      </c>
      <c r="J13" s="57">
        <v>39</v>
      </c>
      <c r="K13" s="57">
        <v>65</v>
      </c>
      <c r="L13" s="57">
        <v>129</v>
      </c>
      <c r="M13" s="57">
        <v>22</v>
      </c>
      <c r="N13" s="57">
        <v>64</v>
      </c>
      <c r="O13" s="57">
        <v>35</v>
      </c>
      <c r="P13" s="57"/>
      <c r="Q13" s="57">
        <v>165</v>
      </c>
      <c r="R13" s="57">
        <v>16</v>
      </c>
      <c r="S13" s="57">
        <v>22</v>
      </c>
      <c r="T13" s="57">
        <v>31</v>
      </c>
      <c r="U13" s="57">
        <v>1</v>
      </c>
      <c r="V13" s="57">
        <v>85</v>
      </c>
      <c r="W13" s="57">
        <v>17</v>
      </c>
      <c r="X13" s="57">
        <v>15</v>
      </c>
      <c r="Y13" s="57">
        <v>57</v>
      </c>
      <c r="Z13" s="57">
        <v>569</v>
      </c>
      <c r="AA13" s="57">
        <v>2</v>
      </c>
      <c r="AB13" s="57">
        <v>16</v>
      </c>
      <c r="AC13" s="59"/>
      <c r="AD13" s="58">
        <f t="shared" si="0"/>
        <v>1456</v>
      </c>
    </row>
    <row r="14" spans="1:30" ht="15">
      <c r="A14" s="56" t="s">
        <v>91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9"/>
      <c r="AD14" s="58">
        <f t="shared" si="0"/>
        <v>0</v>
      </c>
    </row>
    <row r="15" spans="1:30" ht="15">
      <c r="A15" s="56" t="s">
        <v>92</v>
      </c>
      <c r="B15" s="57"/>
      <c r="C15" s="57"/>
      <c r="D15" s="57"/>
      <c r="E15" s="57">
        <v>5</v>
      </c>
      <c r="F15" s="57">
        <v>22</v>
      </c>
      <c r="G15" s="57"/>
      <c r="H15" s="57">
        <v>2</v>
      </c>
      <c r="I15" s="57">
        <v>9</v>
      </c>
      <c r="J15" s="57">
        <v>29</v>
      </c>
      <c r="K15" s="57">
        <v>2</v>
      </c>
      <c r="L15" s="57">
        <v>3</v>
      </c>
      <c r="M15" s="57">
        <v>4</v>
      </c>
      <c r="N15" s="57">
        <v>10</v>
      </c>
      <c r="O15" s="57"/>
      <c r="P15" s="57">
        <v>3</v>
      </c>
      <c r="Q15" s="57">
        <v>30</v>
      </c>
      <c r="R15" s="57"/>
      <c r="S15" s="57">
        <v>1</v>
      </c>
      <c r="T15" s="57">
        <v>5</v>
      </c>
      <c r="U15" s="57">
        <v>1</v>
      </c>
      <c r="V15" s="57">
        <v>4</v>
      </c>
      <c r="W15" s="57"/>
      <c r="X15" s="57"/>
      <c r="Y15" s="57">
        <v>12</v>
      </c>
      <c r="Z15" s="57">
        <v>50</v>
      </c>
      <c r="AA15" s="57">
        <v>3</v>
      </c>
      <c r="AB15" s="57">
        <v>5</v>
      </c>
      <c r="AC15" s="59"/>
      <c r="AD15" s="58">
        <f t="shared" si="0"/>
        <v>200</v>
      </c>
    </row>
    <row r="16" spans="1:30" ht="15">
      <c r="A16" s="56" t="s">
        <v>93</v>
      </c>
      <c r="B16" s="57">
        <v>9</v>
      </c>
      <c r="C16" s="57">
        <v>3</v>
      </c>
      <c r="D16" s="57">
        <v>2</v>
      </c>
      <c r="E16" s="57"/>
      <c r="F16" s="57">
        <v>54</v>
      </c>
      <c r="G16" s="57">
        <v>408</v>
      </c>
      <c r="H16" s="57">
        <v>2</v>
      </c>
      <c r="I16" s="57">
        <v>5214</v>
      </c>
      <c r="J16" s="57">
        <v>83</v>
      </c>
      <c r="K16" s="57">
        <v>6</v>
      </c>
      <c r="L16" s="57">
        <v>14</v>
      </c>
      <c r="M16" s="57">
        <v>43</v>
      </c>
      <c r="N16" s="57">
        <v>85</v>
      </c>
      <c r="O16" s="57"/>
      <c r="P16" s="57">
        <v>29</v>
      </c>
      <c r="Q16" s="57"/>
      <c r="R16" s="57"/>
      <c r="S16" s="57">
        <v>14</v>
      </c>
      <c r="T16" s="57">
        <v>17</v>
      </c>
      <c r="U16" s="57">
        <v>52</v>
      </c>
      <c r="V16" s="57"/>
      <c r="W16" s="57">
        <v>2</v>
      </c>
      <c r="X16" s="57">
        <v>4</v>
      </c>
      <c r="Y16" s="57">
        <v>38</v>
      </c>
      <c r="Z16" s="57">
        <v>9015</v>
      </c>
      <c r="AA16" s="57"/>
      <c r="AB16" s="57">
        <v>186</v>
      </c>
      <c r="AC16" s="59"/>
      <c r="AD16" s="58">
        <f t="shared" si="0"/>
        <v>15280</v>
      </c>
    </row>
    <row r="17" spans="1:61" ht="15">
      <c r="A17" s="56" t="s">
        <v>94</v>
      </c>
      <c r="B17" s="57">
        <v>119222</v>
      </c>
      <c r="C17" s="57">
        <v>279695</v>
      </c>
      <c r="D17" s="57">
        <v>77699</v>
      </c>
      <c r="E17" s="57">
        <v>354122</v>
      </c>
      <c r="F17" s="57">
        <v>1591862</v>
      </c>
      <c r="G17" s="57">
        <v>1330222</v>
      </c>
      <c r="H17" s="57">
        <v>663196</v>
      </c>
      <c r="I17" s="57">
        <v>786558</v>
      </c>
      <c r="J17" s="57">
        <v>1635332</v>
      </c>
      <c r="K17" s="57">
        <v>653544</v>
      </c>
      <c r="L17" s="57">
        <v>811755</v>
      </c>
      <c r="M17" s="57">
        <v>665111</v>
      </c>
      <c r="N17" s="57">
        <v>4816467</v>
      </c>
      <c r="O17" s="57">
        <v>754920</v>
      </c>
      <c r="P17" s="57">
        <v>510358</v>
      </c>
      <c r="Q17" s="57">
        <v>3274596</v>
      </c>
      <c r="R17" s="57">
        <v>1198661</v>
      </c>
      <c r="S17" s="57">
        <v>503490</v>
      </c>
      <c r="T17" s="57">
        <v>2449806</v>
      </c>
      <c r="U17" s="57">
        <v>514023</v>
      </c>
      <c r="V17" s="57">
        <v>3432925</v>
      </c>
      <c r="W17" s="57">
        <v>431555</v>
      </c>
      <c r="X17" s="57">
        <v>99996</v>
      </c>
      <c r="Y17" s="57">
        <v>2238019</v>
      </c>
      <c r="Z17" s="57">
        <v>13036728</v>
      </c>
      <c r="AA17" s="57">
        <v>285713</v>
      </c>
      <c r="AB17" s="57">
        <v>287309</v>
      </c>
      <c r="AC17" s="59"/>
      <c r="AD17" s="58">
        <f t="shared" si="0"/>
        <v>42802884</v>
      </c>
    </row>
    <row r="18" spans="1:61" ht="15">
      <c r="A18" s="56" t="s">
        <v>95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9"/>
      <c r="AD18" s="58">
        <f t="shared" si="0"/>
        <v>0</v>
      </c>
    </row>
    <row r="19" spans="1:61" ht="15">
      <c r="A19" s="56" t="s">
        <v>96</v>
      </c>
      <c r="B19" s="57">
        <v>5</v>
      </c>
      <c r="C19" s="57">
        <v>6351</v>
      </c>
      <c r="D19" s="57">
        <v>1</v>
      </c>
      <c r="E19" s="57">
        <v>734</v>
      </c>
      <c r="F19" s="57">
        <v>16161</v>
      </c>
      <c r="G19" s="57">
        <v>9374</v>
      </c>
      <c r="H19" s="57">
        <v>938</v>
      </c>
      <c r="I19" s="57">
        <v>6343</v>
      </c>
      <c r="J19" s="57">
        <v>564</v>
      </c>
      <c r="K19" s="57">
        <v>48</v>
      </c>
      <c r="L19" s="57">
        <v>484</v>
      </c>
      <c r="M19" s="57">
        <v>676</v>
      </c>
      <c r="N19" s="57">
        <v>5141</v>
      </c>
      <c r="O19" s="57">
        <v>26</v>
      </c>
      <c r="P19" s="57">
        <v>4354</v>
      </c>
      <c r="Q19" s="57">
        <v>7202</v>
      </c>
      <c r="R19" s="57">
        <v>10515</v>
      </c>
      <c r="S19" s="57">
        <v>207</v>
      </c>
      <c r="T19" s="57">
        <v>235415</v>
      </c>
      <c r="U19" s="57">
        <v>6679</v>
      </c>
      <c r="V19" s="57">
        <v>13682</v>
      </c>
      <c r="W19" s="57">
        <v>15</v>
      </c>
      <c r="X19" s="57">
        <v>5</v>
      </c>
      <c r="Y19" s="57">
        <v>20476</v>
      </c>
      <c r="Z19" s="57">
        <v>33596</v>
      </c>
      <c r="AA19" s="57">
        <v>5042</v>
      </c>
      <c r="AB19" s="57">
        <v>63</v>
      </c>
      <c r="AC19" s="59"/>
      <c r="AD19" s="58">
        <f t="shared" si="0"/>
        <v>384097</v>
      </c>
    </row>
    <row r="20" spans="1:61" ht="15">
      <c r="A20" s="56" t="s">
        <v>97</v>
      </c>
      <c r="B20" s="57">
        <v>1</v>
      </c>
      <c r="C20" s="57"/>
      <c r="D20" s="57"/>
      <c r="E20" s="57">
        <v>12</v>
      </c>
      <c r="F20" s="57">
        <v>54</v>
      </c>
      <c r="G20" s="57">
        <v>9</v>
      </c>
      <c r="H20" s="57">
        <v>23</v>
      </c>
      <c r="I20" s="57">
        <v>7</v>
      </c>
      <c r="J20" s="57">
        <v>8</v>
      </c>
      <c r="K20" s="57">
        <v>5</v>
      </c>
      <c r="L20" s="57">
        <v>3</v>
      </c>
      <c r="M20" s="57">
        <v>5</v>
      </c>
      <c r="N20" s="57">
        <v>28</v>
      </c>
      <c r="O20" s="57">
        <v>4</v>
      </c>
      <c r="P20" s="57">
        <v>2</v>
      </c>
      <c r="Q20" s="57">
        <v>50</v>
      </c>
      <c r="R20" s="57">
        <v>7</v>
      </c>
      <c r="S20" s="57">
        <v>5</v>
      </c>
      <c r="T20" s="57">
        <v>36</v>
      </c>
      <c r="U20" s="57">
        <v>4</v>
      </c>
      <c r="V20" s="57">
        <v>28</v>
      </c>
      <c r="W20" s="57">
        <v>1</v>
      </c>
      <c r="X20" s="57"/>
      <c r="Y20" s="57">
        <v>17</v>
      </c>
      <c r="Z20" s="57">
        <v>233</v>
      </c>
      <c r="AA20" s="57">
        <v>3</v>
      </c>
      <c r="AB20" s="57"/>
      <c r="AC20" s="59"/>
      <c r="AD20" s="58">
        <f t="shared" si="0"/>
        <v>545</v>
      </c>
    </row>
    <row r="21" spans="1:61" ht="15">
      <c r="A21" s="56" t="s">
        <v>98</v>
      </c>
      <c r="B21" s="57">
        <v>3</v>
      </c>
      <c r="C21" s="57">
        <v>10766</v>
      </c>
      <c r="D21" s="57">
        <v>4</v>
      </c>
      <c r="E21" s="57">
        <v>431</v>
      </c>
      <c r="F21" s="57">
        <v>28966</v>
      </c>
      <c r="G21" s="57">
        <v>23257</v>
      </c>
      <c r="H21" s="57">
        <v>942</v>
      </c>
      <c r="I21" s="57">
        <v>20018</v>
      </c>
      <c r="J21" s="57">
        <v>2632</v>
      </c>
      <c r="K21" s="57">
        <v>114</v>
      </c>
      <c r="L21" s="57">
        <v>983</v>
      </c>
      <c r="M21" s="57">
        <v>5051</v>
      </c>
      <c r="N21" s="57">
        <v>27049</v>
      </c>
      <c r="O21" s="57">
        <v>185</v>
      </c>
      <c r="P21" s="57">
        <v>14523</v>
      </c>
      <c r="Q21" s="57">
        <v>24637</v>
      </c>
      <c r="R21" s="57">
        <v>30957</v>
      </c>
      <c r="S21" s="57">
        <v>294</v>
      </c>
      <c r="T21" s="57">
        <v>641490</v>
      </c>
      <c r="U21" s="57">
        <v>32170</v>
      </c>
      <c r="V21" s="57">
        <v>43327</v>
      </c>
      <c r="W21" s="57">
        <v>77</v>
      </c>
      <c r="X21" s="57">
        <v>22</v>
      </c>
      <c r="Y21" s="57">
        <v>70608</v>
      </c>
      <c r="Z21" s="57">
        <v>245941</v>
      </c>
      <c r="AA21" s="57">
        <v>12648</v>
      </c>
      <c r="AB21" s="57">
        <v>124</v>
      </c>
      <c r="AC21" s="59"/>
      <c r="AD21" s="58">
        <f t="shared" si="0"/>
        <v>1237219</v>
      </c>
    </row>
    <row r="22" spans="1:61">
      <c r="A22" s="60"/>
      <c r="B22" s="59"/>
      <c r="C22" s="59"/>
      <c r="AC22" s="59"/>
      <c r="AD22" s="61"/>
    </row>
    <row r="23" spans="1:61">
      <c r="A23" s="62" t="s">
        <v>99</v>
      </c>
      <c r="B23" s="63">
        <f>SUM(B4:B21)</f>
        <v>194024</v>
      </c>
      <c r="C23" s="63">
        <f t="shared" ref="C23:AB23" si="1">SUM(C4:C21)</f>
        <v>567846</v>
      </c>
      <c r="D23" s="63">
        <f t="shared" si="1"/>
        <v>144975</v>
      </c>
      <c r="E23" s="63">
        <f t="shared" si="1"/>
        <v>656932</v>
      </c>
      <c r="F23" s="63">
        <f t="shared" si="1"/>
        <v>2955421</v>
      </c>
      <c r="G23" s="63">
        <f t="shared" si="1"/>
        <v>2226088</v>
      </c>
      <c r="H23" s="63">
        <f t="shared" si="1"/>
        <v>1438589</v>
      </c>
      <c r="I23" s="63">
        <f t="shared" si="1"/>
        <v>1489836</v>
      </c>
      <c r="J23" s="63">
        <f t="shared" si="1"/>
        <v>2884129</v>
      </c>
      <c r="K23" s="63">
        <f t="shared" si="1"/>
        <v>1137066</v>
      </c>
      <c r="L23" s="63">
        <f t="shared" si="1"/>
        <v>1431505</v>
      </c>
      <c r="M23" s="63">
        <f t="shared" si="1"/>
        <v>1157921</v>
      </c>
      <c r="N23" s="63">
        <f t="shared" si="1"/>
        <v>8376935</v>
      </c>
      <c r="O23" s="63">
        <f t="shared" si="1"/>
        <v>1317637</v>
      </c>
      <c r="P23" s="63">
        <f t="shared" si="1"/>
        <v>910201</v>
      </c>
      <c r="Q23" s="63">
        <f t="shared" si="1"/>
        <v>5896036</v>
      </c>
      <c r="R23" s="63">
        <f t="shared" si="1"/>
        <v>2255919</v>
      </c>
      <c r="S23" s="63">
        <f t="shared" si="1"/>
        <v>799300</v>
      </c>
      <c r="T23" s="63">
        <f t="shared" si="1"/>
        <v>5320578</v>
      </c>
      <c r="U23" s="63">
        <f t="shared" si="1"/>
        <v>911673</v>
      </c>
      <c r="V23" s="63">
        <f t="shared" si="1"/>
        <v>5456753</v>
      </c>
      <c r="W23" s="63">
        <f t="shared" si="1"/>
        <v>709963</v>
      </c>
      <c r="X23" s="63">
        <f t="shared" si="1"/>
        <v>156725</v>
      </c>
      <c r="Y23" s="63">
        <f t="shared" si="1"/>
        <v>3928760</v>
      </c>
      <c r="Z23" s="63">
        <f t="shared" si="1"/>
        <v>23376836</v>
      </c>
      <c r="AA23" s="63">
        <f t="shared" si="1"/>
        <v>537072</v>
      </c>
      <c r="AB23" s="63">
        <f t="shared" si="1"/>
        <v>484932</v>
      </c>
      <c r="AC23" s="64"/>
      <c r="AD23" s="58">
        <f>IF((SUM(AD4:AD21)=SUM(B23:AB23)),(SUM(B23:AB23)),"erro")</f>
        <v>76723652</v>
      </c>
    </row>
    <row r="24" spans="1:61">
      <c r="A24" s="60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 spans="1:61">
      <c r="A25" s="126" t="s">
        <v>100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 spans="1:61" s="53" customFormat="1">
      <c r="A26" s="127"/>
      <c r="B26" s="54" t="s">
        <v>53</v>
      </c>
      <c r="C26" s="54" t="s">
        <v>54</v>
      </c>
      <c r="D26" s="54" t="s">
        <v>55</v>
      </c>
      <c r="E26" s="54" t="s">
        <v>56</v>
      </c>
      <c r="F26" s="54" t="s">
        <v>57</v>
      </c>
      <c r="G26" s="54" t="s">
        <v>58</v>
      </c>
      <c r="H26" s="54" t="s">
        <v>59</v>
      </c>
      <c r="I26" s="54" t="s">
        <v>60</v>
      </c>
      <c r="J26" s="54" t="s">
        <v>61</v>
      </c>
      <c r="K26" s="54" t="s">
        <v>62</v>
      </c>
      <c r="L26" s="54" t="s">
        <v>63</v>
      </c>
      <c r="M26" s="54" t="s">
        <v>64</v>
      </c>
      <c r="N26" s="54" t="s">
        <v>65</v>
      </c>
      <c r="O26" s="54" t="s">
        <v>66</v>
      </c>
      <c r="P26" s="54" t="s">
        <v>67</v>
      </c>
      <c r="Q26" s="54" t="s">
        <v>68</v>
      </c>
      <c r="R26" s="54" t="s">
        <v>69</v>
      </c>
      <c r="S26" s="54" t="s">
        <v>70</v>
      </c>
      <c r="T26" s="54" t="s">
        <v>71</v>
      </c>
      <c r="U26" s="54" t="s">
        <v>72</v>
      </c>
      <c r="V26" s="54" t="s">
        <v>73</v>
      </c>
      <c r="W26" s="54" t="s">
        <v>74</v>
      </c>
      <c r="X26" s="54" t="s">
        <v>75</v>
      </c>
      <c r="Y26" s="54" t="s">
        <v>76</v>
      </c>
      <c r="Z26" s="54" t="s">
        <v>77</v>
      </c>
      <c r="AA26" s="54" t="s">
        <v>78</v>
      </c>
      <c r="AB26" s="54" t="s">
        <v>79</v>
      </c>
      <c r="AD26" s="54" t="s">
        <v>80</v>
      </c>
    </row>
    <row r="27" spans="1:61">
      <c r="A27" s="65" t="s">
        <v>81</v>
      </c>
      <c r="B27" s="66">
        <f>B4+B5</f>
        <v>3610</v>
      </c>
      <c r="C27" s="66">
        <f t="shared" ref="C27:AB27" si="2">C4+C5</f>
        <v>23813</v>
      </c>
      <c r="D27" s="66">
        <f t="shared" si="2"/>
        <v>1418</v>
      </c>
      <c r="E27" s="66">
        <f t="shared" si="2"/>
        <v>16229</v>
      </c>
      <c r="F27" s="66">
        <f t="shared" si="2"/>
        <v>95131</v>
      </c>
      <c r="G27" s="66">
        <f t="shared" si="2"/>
        <v>62708</v>
      </c>
      <c r="H27" s="66">
        <f t="shared" si="2"/>
        <v>59501</v>
      </c>
      <c r="I27" s="66">
        <f t="shared" si="2"/>
        <v>53682</v>
      </c>
      <c r="J27" s="66">
        <f t="shared" si="2"/>
        <v>157755</v>
      </c>
      <c r="K27" s="66">
        <f t="shared" si="2"/>
        <v>13573</v>
      </c>
      <c r="L27" s="66">
        <f t="shared" si="2"/>
        <v>47233</v>
      </c>
      <c r="M27" s="66">
        <f t="shared" si="2"/>
        <v>52507</v>
      </c>
      <c r="N27" s="66">
        <f t="shared" si="2"/>
        <v>430856</v>
      </c>
      <c r="O27" s="66">
        <f t="shared" si="2"/>
        <v>23639</v>
      </c>
      <c r="P27" s="66">
        <f t="shared" si="2"/>
        <v>29183</v>
      </c>
      <c r="Q27" s="66">
        <f t="shared" si="2"/>
        <v>418722</v>
      </c>
      <c r="R27" s="66">
        <f t="shared" si="2"/>
        <v>93746</v>
      </c>
      <c r="S27" s="66">
        <f t="shared" si="2"/>
        <v>18061</v>
      </c>
      <c r="T27" s="66">
        <f t="shared" si="2"/>
        <v>310835</v>
      </c>
      <c r="U27" s="66">
        <f t="shared" si="2"/>
        <v>29879</v>
      </c>
      <c r="V27" s="66">
        <f t="shared" si="2"/>
        <v>198022</v>
      </c>
      <c r="W27" s="66">
        <f t="shared" si="2"/>
        <v>10191</v>
      </c>
      <c r="X27" s="66">
        <f t="shared" si="2"/>
        <v>1417</v>
      </c>
      <c r="Y27" s="66">
        <f t="shared" si="2"/>
        <v>134149</v>
      </c>
      <c r="Z27" s="66">
        <f t="shared" si="2"/>
        <v>1841934</v>
      </c>
      <c r="AA27" s="66">
        <f t="shared" si="2"/>
        <v>18365</v>
      </c>
      <c r="AB27" s="66">
        <f t="shared" si="2"/>
        <v>10628</v>
      </c>
      <c r="AC27" s="61"/>
      <c r="AD27" s="58">
        <f t="shared" ref="AD27:AD32" si="3">SUM(B27:AB27)</f>
        <v>4156787</v>
      </c>
      <c r="AH27" s="60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</row>
    <row r="28" spans="1:61">
      <c r="A28" s="65" t="s">
        <v>84</v>
      </c>
      <c r="B28" s="66">
        <f>B7</f>
        <v>52022</v>
      </c>
      <c r="C28" s="66">
        <f t="shared" ref="C28:AB28" si="4">C7</f>
        <v>195092</v>
      </c>
      <c r="D28" s="66">
        <f t="shared" si="4"/>
        <v>54558</v>
      </c>
      <c r="E28" s="66">
        <f t="shared" si="4"/>
        <v>229137</v>
      </c>
      <c r="F28" s="66">
        <f t="shared" si="4"/>
        <v>948559</v>
      </c>
      <c r="G28" s="66">
        <f t="shared" si="4"/>
        <v>622097</v>
      </c>
      <c r="H28" s="66">
        <f t="shared" si="4"/>
        <v>631605</v>
      </c>
      <c r="I28" s="66">
        <f t="shared" si="4"/>
        <v>465754</v>
      </c>
      <c r="J28" s="66">
        <f t="shared" si="4"/>
        <v>829052</v>
      </c>
      <c r="K28" s="66">
        <f t="shared" si="4"/>
        <v>380505</v>
      </c>
      <c r="L28" s="66">
        <f t="shared" si="4"/>
        <v>396796</v>
      </c>
      <c r="M28" s="66">
        <f t="shared" si="4"/>
        <v>306676</v>
      </c>
      <c r="N28" s="66">
        <f t="shared" si="4"/>
        <v>2437049</v>
      </c>
      <c r="O28" s="66">
        <f t="shared" si="4"/>
        <v>405518</v>
      </c>
      <c r="P28" s="66">
        <f t="shared" si="4"/>
        <v>282557</v>
      </c>
      <c r="Q28" s="66">
        <f t="shared" si="4"/>
        <v>1607764</v>
      </c>
      <c r="R28" s="66">
        <f t="shared" si="4"/>
        <v>731635</v>
      </c>
      <c r="S28" s="66">
        <f t="shared" si="4"/>
        <v>213585</v>
      </c>
      <c r="T28" s="66">
        <f t="shared" si="4"/>
        <v>1332207</v>
      </c>
      <c r="U28" s="66">
        <f t="shared" si="4"/>
        <v>254685</v>
      </c>
      <c r="V28" s="66">
        <f t="shared" si="4"/>
        <v>1288447</v>
      </c>
      <c r="W28" s="66">
        <f t="shared" si="4"/>
        <v>199307</v>
      </c>
      <c r="X28" s="66">
        <f t="shared" si="4"/>
        <v>42266</v>
      </c>
      <c r="Y28" s="66">
        <f t="shared" si="4"/>
        <v>1138090</v>
      </c>
      <c r="Z28" s="66">
        <f t="shared" si="4"/>
        <v>6724390</v>
      </c>
      <c r="AA28" s="66">
        <f t="shared" si="4"/>
        <v>170903</v>
      </c>
      <c r="AB28" s="66">
        <f t="shared" si="4"/>
        <v>131088</v>
      </c>
      <c r="AC28" s="61"/>
      <c r="AD28" s="58">
        <f t="shared" si="3"/>
        <v>22071344</v>
      </c>
      <c r="AH28" s="60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</row>
    <row r="29" spans="1:61">
      <c r="A29" s="65" t="s">
        <v>85</v>
      </c>
      <c r="B29" s="66">
        <f>B8++B10</f>
        <v>19142</v>
      </c>
      <c r="C29" s="66">
        <f t="shared" ref="C29:AB29" si="5">C8++C10</f>
        <v>51113</v>
      </c>
      <c r="D29" s="66">
        <f t="shared" si="5"/>
        <v>11284</v>
      </c>
      <c r="E29" s="66">
        <f t="shared" si="5"/>
        <v>56183</v>
      </c>
      <c r="F29" s="66">
        <f t="shared" si="5"/>
        <v>272814</v>
      </c>
      <c r="G29" s="66">
        <f t="shared" si="5"/>
        <v>175582</v>
      </c>
      <c r="H29" s="66">
        <f t="shared" si="5"/>
        <v>82315</v>
      </c>
      <c r="I29" s="66">
        <f t="shared" si="5"/>
        <v>150838</v>
      </c>
      <c r="J29" s="66">
        <f t="shared" si="5"/>
        <v>258448</v>
      </c>
      <c r="K29" s="66">
        <f t="shared" si="5"/>
        <v>89197</v>
      </c>
      <c r="L29" s="66">
        <f t="shared" si="5"/>
        <v>174009</v>
      </c>
      <c r="M29" s="66">
        <f t="shared" si="5"/>
        <v>127590</v>
      </c>
      <c r="N29" s="66">
        <f t="shared" si="5"/>
        <v>657271</v>
      </c>
      <c r="O29" s="66">
        <f t="shared" si="5"/>
        <v>133302</v>
      </c>
      <c r="P29" s="66">
        <f t="shared" si="5"/>
        <v>67285</v>
      </c>
      <c r="Q29" s="66">
        <f t="shared" si="5"/>
        <v>561164</v>
      </c>
      <c r="R29" s="66">
        <f t="shared" si="5"/>
        <v>188183</v>
      </c>
      <c r="S29" s="66">
        <f t="shared" si="5"/>
        <v>63600</v>
      </c>
      <c r="T29" s="66">
        <f t="shared" si="5"/>
        <v>299873</v>
      </c>
      <c r="U29" s="66">
        <f t="shared" si="5"/>
        <v>69408</v>
      </c>
      <c r="V29" s="66">
        <f t="shared" si="5"/>
        <v>478107</v>
      </c>
      <c r="W29" s="66">
        <f t="shared" si="5"/>
        <v>68792</v>
      </c>
      <c r="X29" s="66">
        <f t="shared" si="5"/>
        <v>12999</v>
      </c>
      <c r="Y29" s="66">
        <f t="shared" si="5"/>
        <v>323260</v>
      </c>
      <c r="Z29" s="66">
        <f t="shared" si="5"/>
        <v>1469228</v>
      </c>
      <c r="AA29" s="66">
        <f t="shared" si="5"/>
        <v>42853</v>
      </c>
      <c r="AB29" s="66">
        <f t="shared" si="5"/>
        <v>55506</v>
      </c>
      <c r="AC29" s="61"/>
      <c r="AD29" s="58">
        <f t="shared" si="3"/>
        <v>5959346</v>
      </c>
      <c r="AH29" s="60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</row>
    <row r="30" spans="1:61">
      <c r="A30" s="65" t="s">
        <v>101</v>
      </c>
      <c r="B30" s="66">
        <f>B9+B12+B13+B14+B18+B20</f>
        <v>11</v>
      </c>
      <c r="C30" s="66">
        <f t="shared" ref="C30:AB30" si="6">C9+C12+C13+C14+C18+C20</f>
        <v>0</v>
      </c>
      <c r="D30" s="66">
        <f t="shared" si="6"/>
        <v>8</v>
      </c>
      <c r="E30" s="66">
        <f t="shared" si="6"/>
        <v>43</v>
      </c>
      <c r="F30" s="66">
        <f t="shared" si="6"/>
        <v>67</v>
      </c>
      <c r="G30" s="66">
        <f t="shared" si="6"/>
        <v>21</v>
      </c>
      <c r="H30" s="66">
        <f t="shared" si="6"/>
        <v>50</v>
      </c>
      <c r="I30" s="66">
        <f t="shared" si="6"/>
        <v>21</v>
      </c>
      <c r="J30" s="66">
        <f t="shared" si="6"/>
        <v>47</v>
      </c>
      <c r="K30" s="66">
        <f t="shared" si="6"/>
        <v>71</v>
      </c>
      <c r="L30" s="66">
        <f t="shared" si="6"/>
        <v>132</v>
      </c>
      <c r="M30" s="66">
        <f t="shared" si="6"/>
        <v>27</v>
      </c>
      <c r="N30" s="66">
        <f t="shared" si="6"/>
        <v>106</v>
      </c>
      <c r="O30" s="66">
        <f t="shared" si="6"/>
        <v>39</v>
      </c>
      <c r="P30" s="66">
        <f t="shared" si="6"/>
        <v>2</v>
      </c>
      <c r="Q30" s="66">
        <f t="shared" si="6"/>
        <v>215</v>
      </c>
      <c r="R30" s="66">
        <f t="shared" si="6"/>
        <v>87</v>
      </c>
      <c r="S30" s="66">
        <f t="shared" si="6"/>
        <v>27</v>
      </c>
      <c r="T30" s="66">
        <f t="shared" si="6"/>
        <v>72</v>
      </c>
      <c r="U30" s="66">
        <f t="shared" si="6"/>
        <v>5</v>
      </c>
      <c r="V30" s="66">
        <f t="shared" si="6"/>
        <v>129</v>
      </c>
      <c r="W30" s="66">
        <f t="shared" si="6"/>
        <v>18</v>
      </c>
      <c r="X30" s="66">
        <f t="shared" si="6"/>
        <v>15</v>
      </c>
      <c r="Y30" s="66">
        <f t="shared" si="6"/>
        <v>77</v>
      </c>
      <c r="Z30" s="66">
        <f t="shared" si="6"/>
        <v>1515</v>
      </c>
      <c r="AA30" s="66">
        <f t="shared" si="6"/>
        <v>5</v>
      </c>
      <c r="AB30" s="66">
        <f t="shared" si="6"/>
        <v>17</v>
      </c>
      <c r="AC30" s="61"/>
      <c r="AD30" s="58">
        <f t="shared" si="3"/>
        <v>2827</v>
      </c>
      <c r="AH30" s="60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</row>
    <row r="31" spans="1:61">
      <c r="A31" s="65" t="s">
        <v>16</v>
      </c>
      <c r="B31" s="66">
        <f>B6+B11+B15+B19+B21</f>
        <v>8</v>
      </c>
      <c r="C31" s="66">
        <f t="shared" ref="C31:AB31" si="7">C6+C11+C15+C19+C21</f>
        <v>18130</v>
      </c>
      <c r="D31" s="66">
        <f t="shared" si="7"/>
        <v>6</v>
      </c>
      <c r="E31" s="66">
        <f t="shared" si="7"/>
        <v>1218</v>
      </c>
      <c r="F31" s="66">
        <f t="shared" si="7"/>
        <v>46934</v>
      </c>
      <c r="G31" s="66">
        <f t="shared" si="7"/>
        <v>35050</v>
      </c>
      <c r="H31" s="66">
        <f t="shared" si="7"/>
        <v>1920</v>
      </c>
      <c r="I31" s="66">
        <f t="shared" si="7"/>
        <v>27769</v>
      </c>
      <c r="J31" s="66">
        <f t="shared" si="7"/>
        <v>3412</v>
      </c>
      <c r="K31" s="66">
        <f t="shared" si="7"/>
        <v>170</v>
      </c>
      <c r="L31" s="66">
        <f t="shared" si="7"/>
        <v>1566</v>
      </c>
      <c r="M31" s="66">
        <f t="shared" si="7"/>
        <v>5967</v>
      </c>
      <c r="N31" s="66">
        <f t="shared" si="7"/>
        <v>35101</v>
      </c>
      <c r="O31" s="66">
        <f t="shared" si="7"/>
        <v>219</v>
      </c>
      <c r="P31" s="66">
        <f t="shared" si="7"/>
        <v>20787</v>
      </c>
      <c r="Q31" s="66">
        <f t="shared" si="7"/>
        <v>33575</v>
      </c>
      <c r="R31" s="66">
        <f t="shared" si="7"/>
        <v>43607</v>
      </c>
      <c r="S31" s="66">
        <f t="shared" si="7"/>
        <v>523</v>
      </c>
      <c r="T31" s="66">
        <f t="shared" si="7"/>
        <v>927768</v>
      </c>
      <c r="U31" s="66">
        <f t="shared" si="7"/>
        <v>43621</v>
      </c>
      <c r="V31" s="66">
        <f t="shared" si="7"/>
        <v>59123</v>
      </c>
      <c r="W31" s="66">
        <f t="shared" si="7"/>
        <v>98</v>
      </c>
      <c r="X31" s="66">
        <f t="shared" si="7"/>
        <v>28</v>
      </c>
      <c r="Y31" s="66">
        <f t="shared" si="7"/>
        <v>95127</v>
      </c>
      <c r="Z31" s="66">
        <f t="shared" si="7"/>
        <v>294026</v>
      </c>
      <c r="AA31" s="66">
        <f t="shared" si="7"/>
        <v>19233</v>
      </c>
      <c r="AB31" s="66">
        <f t="shared" si="7"/>
        <v>198</v>
      </c>
      <c r="AC31" s="61"/>
      <c r="AD31" s="58">
        <f t="shared" si="3"/>
        <v>1715184</v>
      </c>
      <c r="AH31" s="60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</row>
    <row r="32" spans="1:61">
      <c r="A32" s="65" t="s">
        <v>94</v>
      </c>
      <c r="B32" s="66">
        <f>B16+B17</f>
        <v>119231</v>
      </c>
      <c r="C32" s="66">
        <f t="shared" ref="C32:AB32" si="8">C16+C17</f>
        <v>279698</v>
      </c>
      <c r="D32" s="66">
        <f t="shared" si="8"/>
        <v>77701</v>
      </c>
      <c r="E32" s="66">
        <f t="shared" si="8"/>
        <v>354122</v>
      </c>
      <c r="F32" s="66">
        <f t="shared" si="8"/>
        <v>1591916</v>
      </c>
      <c r="G32" s="66">
        <f t="shared" si="8"/>
        <v>1330630</v>
      </c>
      <c r="H32" s="66">
        <f t="shared" si="8"/>
        <v>663198</v>
      </c>
      <c r="I32" s="66">
        <f t="shared" si="8"/>
        <v>791772</v>
      </c>
      <c r="J32" s="66">
        <f t="shared" si="8"/>
        <v>1635415</v>
      </c>
      <c r="K32" s="66">
        <f t="shared" si="8"/>
        <v>653550</v>
      </c>
      <c r="L32" s="66">
        <f t="shared" si="8"/>
        <v>811769</v>
      </c>
      <c r="M32" s="66">
        <f t="shared" si="8"/>
        <v>665154</v>
      </c>
      <c r="N32" s="66">
        <f t="shared" si="8"/>
        <v>4816552</v>
      </c>
      <c r="O32" s="66">
        <f t="shared" si="8"/>
        <v>754920</v>
      </c>
      <c r="P32" s="66">
        <f t="shared" si="8"/>
        <v>510387</v>
      </c>
      <c r="Q32" s="66">
        <f t="shared" si="8"/>
        <v>3274596</v>
      </c>
      <c r="R32" s="66">
        <f t="shared" si="8"/>
        <v>1198661</v>
      </c>
      <c r="S32" s="66">
        <f t="shared" si="8"/>
        <v>503504</v>
      </c>
      <c r="T32" s="66">
        <f t="shared" si="8"/>
        <v>2449823</v>
      </c>
      <c r="U32" s="66">
        <f t="shared" si="8"/>
        <v>514075</v>
      </c>
      <c r="V32" s="66">
        <f t="shared" si="8"/>
        <v>3432925</v>
      </c>
      <c r="W32" s="66">
        <f t="shared" si="8"/>
        <v>431557</v>
      </c>
      <c r="X32" s="66">
        <f t="shared" si="8"/>
        <v>100000</v>
      </c>
      <c r="Y32" s="66">
        <f t="shared" si="8"/>
        <v>2238057</v>
      </c>
      <c r="Z32" s="66">
        <f t="shared" si="8"/>
        <v>13045743</v>
      </c>
      <c r="AA32" s="66">
        <f t="shared" si="8"/>
        <v>285713</v>
      </c>
      <c r="AB32" s="66">
        <f t="shared" si="8"/>
        <v>287495</v>
      </c>
      <c r="AC32" s="61"/>
      <c r="AD32" s="58">
        <f t="shared" si="3"/>
        <v>42818164</v>
      </c>
      <c r="AH32" s="60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</row>
    <row r="33" spans="1:61">
      <c r="A33" s="68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9"/>
      <c r="AH33" s="60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</row>
    <row r="34" spans="1:61">
      <c r="A34" s="65" t="s">
        <v>102</v>
      </c>
      <c r="B34" s="58">
        <f t="shared" ref="B34:AB34" si="9">SUM(B27:B32)</f>
        <v>194024</v>
      </c>
      <c r="C34" s="58">
        <f t="shared" si="9"/>
        <v>567846</v>
      </c>
      <c r="D34" s="58">
        <f t="shared" si="9"/>
        <v>144975</v>
      </c>
      <c r="E34" s="58">
        <f t="shared" si="9"/>
        <v>656932</v>
      </c>
      <c r="F34" s="58">
        <f t="shared" si="9"/>
        <v>2955421</v>
      </c>
      <c r="G34" s="58">
        <f t="shared" si="9"/>
        <v>2226088</v>
      </c>
      <c r="H34" s="58">
        <f t="shared" si="9"/>
        <v>1438589</v>
      </c>
      <c r="I34" s="58">
        <f t="shared" si="9"/>
        <v>1489836</v>
      </c>
      <c r="J34" s="58">
        <f t="shared" si="9"/>
        <v>2884129</v>
      </c>
      <c r="K34" s="58">
        <f t="shared" si="9"/>
        <v>1137066</v>
      </c>
      <c r="L34" s="58">
        <f t="shared" si="9"/>
        <v>1431505</v>
      </c>
      <c r="M34" s="58">
        <f t="shared" si="9"/>
        <v>1157921</v>
      </c>
      <c r="N34" s="58">
        <f t="shared" si="9"/>
        <v>8376935</v>
      </c>
      <c r="O34" s="58">
        <f t="shared" si="9"/>
        <v>1317637</v>
      </c>
      <c r="P34" s="58">
        <f t="shared" si="9"/>
        <v>910201</v>
      </c>
      <c r="Q34" s="58">
        <f t="shared" si="9"/>
        <v>5896036</v>
      </c>
      <c r="R34" s="58">
        <f t="shared" si="9"/>
        <v>2255919</v>
      </c>
      <c r="S34" s="58">
        <f t="shared" si="9"/>
        <v>799300</v>
      </c>
      <c r="T34" s="58">
        <f t="shared" si="9"/>
        <v>5320578</v>
      </c>
      <c r="U34" s="58">
        <f t="shared" si="9"/>
        <v>911673</v>
      </c>
      <c r="V34" s="58">
        <f t="shared" si="9"/>
        <v>5456753</v>
      </c>
      <c r="W34" s="58">
        <f t="shared" si="9"/>
        <v>709963</v>
      </c>
      <c r="X34" s="58">
        <f t="shared" si="9"/>
        <v>156725</v>
      </c>
      <c r="Y34" s="58">
        <f t="shared" si="9"/>
        <v>3928760</v>
      </c>
      <c r="Z34" s="58">
        <f t="shared" si="9"/>
        <v>23376836</v>
      </c>
      <c r="AA34" s="58">
        <f t="shared" si="9"/>
        <v>537072</v>
      </c>
      <c r="AB34" s="58">
        <f t="shared" si="9"/>
        <v>484932</v>
      </c>
      <c r="AC34" s="61"/>
      <c r="AD34" s="70">
        <f>IF((SUM(AD27:AD32)=SUM(B34:AB34)),(SUM(B34:AB34)),"erro")</f>
        <v>76723652</v>
      </c>
      <c r="AH34" s="60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</row>
    <row r="35" spans="1:61" ht="15.75" customHeight="1">
      <c r="A35" s="60"/>
    </row>
    <row r="36" spans="1:61">
      <c r="A36" s="126" t="s">
        <v>103</v>
      </c>
    </row>
    <row r="37" spans="1:61">
      <c r="A37" s="127"/>
      <c r="B37" s="54" t="s">
        <v>53</v>
      </c>
      <c r="C37" s="54" t="s">
        <v>54</v>
      </c>
      <c r="D37" s="54" t="s">
        <v>55</v>
      </c>
      <c r="E37" s="54" t="s">
        <v>56</v>
      </c>
      <c r="F37" s="54" t="s">
        <v>57</v>
      </c>
      <c r="G37" s="54" t="s">
        <v>58</v>
      </c>
      <c r="H37" s="54" t="s">
        <v>59</v>
      </c>
      <c r="I37" s="54" t="s">
        <v>60</v>
      </c>
      <c r="J37" s="54" t="s">
        <v>61</v>
      </c>
      <c r="K37" s="54" t="s">
        <v>62</v>
      </c>
      <c r="L37" s="54" t="s">
        <v>63</v>
      </c>
      <c r="M37" s="54" t="s">
        <v>64</v>
      </c>
      <c r="N37" s="54" t="s">
        <v>65</v>
      </c>
      <c r="O37" s="54" t="s">
        <v>66</v>
      </c>
      <c r="P37" s="54" t="s">
        <v>67</v>
      </c>
      <c r="Q37" s="54" t="s">
        <v>68</v>
      </c>
      <c r="R37" s="54" t="s">
        <v>69</v>
      </c>
      <c r="S37" s="54" t="s">
        <v>70</v>
      </c>
      <c r="T37" s="54" t="s">
        <v>71</v>
      </c>
      <c r="U37" s="54" t="s">
        <v>72</v>
      </c>
      <c r="V37" s="54" t="s">
        <v>73</v>
      </c>
      <c r="W37" s="54" t="s">
        <v>74</v>
      </c>
      <c r="X37" s="54" t="s">
        <v>75</v>
      </c>
      <c r="Y37" s="54" t="s">
        <v>76</v>
      </c>
      <c r="Z37" s="54" t="s">
        <v>77</v>
      </c>
      <c r="AA37" s="54" t="s">
        <v>78</v>
      </c>
      <c r="AB37" s="54" t="s">
        <v>79</v>
      </c>
      <c r="AD37" s="54" t="s">
        <v>80</v>
      </c>
    </row>
    <row r="38" spans="1:61" ht="15">
      <c r="A38" s="71" t="s">
        <v>104</v>
      </c>
      <c r="B38" s="57">
        <v>64622</v>
      </c>
      <c r="C38" s="57">
        <v>265459</v>
      </c>
      <c r="D38" s="57">
        <v>62004</v>
      </c>
      <c r="E38" s="57">
        <v>314731</v>
      </c>
      <c r="F38" s="57">
        <v>1357427</v>
      </c>
      <c r="G38" s="57">
        <v>837452</v>
      </c>
      <c r="H38" s="57">
        <v>1063702</v>
      </c>
      <c r="I38" s="57">
        <v>761805</v>
      </c>
      <c r="J38" s="57">
        <v>1444014</v>
      </c>
      <c r="K38" s="57">
        <v>321446</v>
      </c>
      <c r="L38" s="57">
        <v>517145</v>
      </c>
      <c r="M38" s="57">
        <v>554657</v>
      </c>
      <c r="N38" s="57">
        <v>4743164</v>
      </c>
      <c r="O38" s="57">
        <v>434850</v>
      </c>
      <c r="P38" s="57">
        <v>390895</v>
      </c>
      <c r="Q38" s="57">
        <v>3604353</v>
      </c>
      <c r="R38" s="57">
        <v>1051504</v>
      </c>
      <c r="S38" s="57">
        <v>236382</v>
      </c>
      <c r="T38" s="57">
        <v>3721831</v>
      </c>
      <c r="U38" s="57">
        <v>410857</v>
      </c>
      <c r="V38" s="57">
        <v>3465394</v>
      </c>
      <c r="W38" s="57">
        <v>203241</v>
      </c>
      <c r="X38" s="57">
        <v>51321</v>
      </c>
      <c r="Y38" s="57">
        <v>2336461</v>
      </c>
      <c r="Z38" s="57">
        <v>15240187</v>
      </c>
      <c r="AA38" s="57">
        <v>251689</v>
      </c>
      <c r="AB38" s="57">
        <v>150527</v>
      </c>
      <c r="AC38" s="59"/>
      <c r="AD38" s="58">
        <f>SUM(B38:AB38)</f>
        <v>43857120</v>
      </c>
    </row>
    <row r="39" spans="1:61" ht="15">
      <c r="A39" s="71" t="s">
        <v>105</v>
      </c>
      <c r="B39" s="57">
        <v>6087</v>
      </c>
      <c r="C39" s="57">
        <v>18189</v>
      </c>
      <c r="D39" s="57">
        <v>3470</v>
      </c>
      <c r="E39" s="57">
        <v>18324</v>
      </c>
      <c r="F39" s="57">
        <v>101739</v>
      </c>
      <c r="G39" s="57">
        <v>58381</v>
      </c>
      <c r="H39" s="57">
        <v>21172</v>
      </c>
      <c r="I39" s="57">
        <v>62280</v>
      </c>
      <c r="J39" s="57">
        <v>94986</v>
      </c>
      <c r="K39" s="57">
        <v>31624</v>
      </c>
      <c r="L39" s="57">
        <v>56529</v>
      </c>
      <c r="M39" s="57">
        <v>43365</v>
      </c>
      <c r="N39" s="57">
        <v>289361</v>
      </c>
      <c r="O39" s="57">
        <v>48009</v>
      </c>
      <c r="P39" s="57">
        <v>24692</v>
      </c>
      <c r="Q39" s="57">
        <v>235334</v>
      </c>
      <c r="R39" s="57">
        <v>80162</v>
      </c>
      <c r="S39" s="57">
        <v>20991</v>
      </c>
      <c r="T39" s="57">
        <v>127841</v>
      </c>
      <c r="U39" s="57">
        <v>25914</v>
      </c>
      <c r="V39" s="57">
        <v>198748</v>
      </c>
      <c r="W39" s="57">
        <v>25992</v>
      </c>
      <c r="X39" s="57">
        <v>3659</v>
      </c>
      <c r="Y39" s="57">
        <v>134067</v>
      </c>
      <c r="Z39" s="57">
        <v>619939</v>
      </c>
      <c r="AA39" s="57">
        <v>18456</v>
      </c>
      <c r="AB39" s="57">
        <v>20369</v>
      </c>
      <c r="AC39" s="59"/>
      <c r="AD39" s="58">
        <f t="shared" ref="AD39:AD47" si="10">SUM(B39:AB39)</f>
        <v>2389680</v>
      </c>
    </row>
    <row r="40" spans="1:61" ht="15">
      <c r="A40" s="71" t="s">
        <v>106</v>
      </c>
      <c r="B40" s="57">
        <v>546</v>
      </c>
      <c r="C40" s="57">
        <v>2027</v>
      </c>
      <c r="D40" s="57">
        <v>257</v>
      </c>
      <c r="E40" s="57">
        <v>2840</v>
      </c>
      <c r="F40" s="57">
        <v>17196</v>
      </c>
      <c r="G40" s="57">
        <v>6638</v>
      </c>
      <c r="H40" s="57">
        <v>2890</v>
      </c>
      <c r="I40" s="57">
        <v>16608</v>
      </c>
      <c r="J40" s="57">
        <v>24217</v>
      </c>
      <c r="K40" s="57">
        <v>2673</v>
      </c>
      <c r="L40" s="57">
        <v>24415</v>
      </c>
      <c r="M40" s="57">
        <v>12818</v>
      </c>
      <c r="N40" s="57">
        <v>56253</v>
      </c>
      <c r="O40" s="57">
        <v>5834</v>
      </c>
      <c r="P40" s="57">
        <v>2266</v>
      </c>
      <c r="Q40" s="57">
        <v>79368</v>
      </c>
      <c r="R40" s="57">
        <v>10113</v>
      </c>
      <c r="S40" s="57">
        <v>1855</v>
      </c>
      <c r="T40" s="57">
        <v>15287</v>
      </c>
      <c r="U40" s="57">
        <v>2469</v>
      </c>
      <c r="V40" s="57">
        <v>51449</v>
      </c>
      <c r="W40" s="57">
        <v>4987</v>
      </c>
      <c r="X40" s="57">
        <v>478</v>
      </c>
      <c r="Y40" s="57">
        <v>45419</v>
      </c>
      <c r="Z40" s="57">
        <v>152691</v>
      </c>
      <c r="AA40" s="57">
        <v>1715</v>
      </c>
      <c r="AB40" s="57">
        <v>3660</v>
      </c>
      <c r="AC40" s="59"/>
      <c r="AD40" s="58">
        <f t="shared" si="10"/>
        <v>546969</v>
      </c>
    </row>
    <row r="41" spans="1:61" ht="15">
      <c r="A41" s="71" t="s">
        <v>107</v>
      </c>
      <c r="B41" s="57">
        <v>15706</v>
      </c>
      <c r="C41" s="57">
        <v>32490</v>
      </c>
      <c r="D41" s="57">
        <v>13262</v>
      </c>
      <c r="E41" s="57">
        <v>59215</v>
      </c>
      <c r="F41" s="57">
        <v>227498</v>
      </c>
      <c r="G41" s="57">
        <v>112093</v>
      </c>
      <c r="H41" s="57">
        <v>83930</v>
      </c>
      <c r="I41" s="57">
        <v>102530</v>
      </c>
      <c r="J41" s="57">
        <v>276452</v>
      </c>
      <c r="K41" s="57">
        <v>73131</v>
      </c>
      <c r="L41" s="57">
        <v>148887</v>
      </c>
      <c r="M41" s="57">
        <v>116655</v>
      </c>
      <c r="N41" s="57">
        <v>661005</v>
      </c>
      <c r="O41" s="57">
        <v>92378</v>
      </c>
      <c r="P41" s="57">
        <v>46881</v>
      </c>
      <c r="Q41" s="57">
        <v>432934</v>
      </c>
      <c r="R41" s="57">
        <v>112013</v>
      </c>
      <c r="S41" s="57">
        <v>43780</v>
      </c>
      <c r="T41" s="57">
        <v>211438</v>
      </c>
      <c r="U41" s="57">
        <v>51316</v>
      </c>
      <c r="V41" s="57">
        <v>326365</v>
      </c>
      <c r="W41" s="57">
        <v>53441</v>
      </c>
      <c r="X41" s="57">
        <v>12993</v>
      </c>
      <c r="Y41" s="57">
        <v>194463</v>
      </c>
      <c r="Z41" s="57">
        <v>1196366</v>
      </c>
      <c r="AA41" s="57">
        <v>30229</v>
      </c>
      <c r="AB41" s="57">
        <v>36325</v>
      </c>
      <c r="AC41" s="59"/>
      <c r="AD41" s="58">
        <f t="shared" si="10"/>
        <v>4763776</v>
      </c>
    </row>
    <row r="42" spans="1:61" ht="15">
      <c r="A42" s="71" t="s">
        <v>108</v>
      </c>
      <c r="B42" s="57">
        <v>6022</v>
      </c>
      <c r="C42" s="57">
        <v>20807</v>
      </c>
      <c r="D42" s="57">
        <v>5749</v>
      </c>
      <c r="E42" s="57">
        <v>32247</v>
      </c>
      <c r="F42" s="57">
        <v>91208</v>
      </c>
      <c r="G42" s="57">
        <v>71221</v>
      </c>
      <c r="H42" s="57">
        <v>71116</v>
      </c>
      <c r="I42" s="57">
        <v>69888</v>
      </c>
      <c r="J42" s="57">
        <v>60438</v>
      </c>
      <c r="K42" s="57">
        <v>22450</v>
      </c>
      <c r="L42" s="57">
        <v>27872</v>
      </c>
      <c r="M42" s="57">
        <v>22242</v>
      </c>
      <c r="N42" s="57">
        <v>205262</v>
      </c>
      <c r="O42" s="57">
        <v>31580</v>
      </c>
      <c r="P42" s="57">
        <v>30463</v>
      </c>
      <c r="Q42" s="57">
        <v>223220</v>
      </c>
      <c r="R42" s="57">
        <v>84664</v>
      </c>
      <c r="S42" s="57">
        <v>28120</v>
      </c>
      <c r="T42" s="57">
        <v>276657</v>
      </c>
      <c r="U42" s="57">
        <v>31021</v>
      </c>
      <c r="V42" s="57">
        <v>227091</v>
      </c>
      <c r="W42" s="57">
        <v>17620</v>
      </c>
      <c r="X42" s="57">
        <v>7893</v>
      </c>
      <c r="Y42" s="57">
        <v>191894</v>
      </c>
      <c r="Z42" s="57">
        <v>1163413</v>
      </c>
      <c r="AA42" s="57">
        <v>9918</v>
      </c>
      <c r="AB42" s="57">
        <v>16704</v>
      </c>
      <c r="AC42" s="59"/>
      <c r="AD42" s="58">
        <f t="shared" si="10"/>
        <v>3046780</v>
      </c>
    </row>
    <row r="43" spans="1:61" ht="15">
      <c r="A43" s="71" t="s">
        <v>109</v>
      </c>
      <c r="B43" s="57">
        <v>269</v>
      </c>
      <c r="C43" s="57">
        <v>5246</v>
      </c>
      <c r="D43" s="57">
        <v>364</v>
      </c>
      <c r="E43" s="57">
        <v>3165</v>
      </c>
      <c r="F43" s="57">
        <v>22803</v>
      </c>
      <c r="G43" s="57">
        <v>9276</v>
      </c>
      <c r="H43" s="57">
        <v>4830</v>
      </c>
      <c r="I43" s="57">
        <v>6626</v>
      </c>
      <c r="J43" s="57">
        <v>7472</v>
      </c>
      <c r="K43" s="57">
        <v>3988</v>
      </c>
      <c r="L43" s="57">
        <v>2654</v>
      </c>
      <c r="M43" s="57">
        <v>2900</v>
      </c>
      <c r="N43" s="57">
        <v>37473</v>
      </c>
      <c r="O43" s="57">
        <v>5655</v>
      </c>
      <c r="P43" s="57">
        <v>3748</v>
      </c>
      <c r="Q43" s="57">
        <v>18536</v>
      </c>
      <c r="R43" s="57">
        <v>14513</v>
      </c>
      <c r="S43" s="57">
        <v>2380</v>
      </c>
      <c r="T43" s="57">
        <v>35125</v>
      </c>
      <c r="U43" s="57">
        <v>4049</v>
      </c>
      <c r="V43" s="57">
        <v>17095</v>
      </c>
      <c r="W43" s="57">
        <v>946</v>
      </c>
      <c r="X43" s="57">
        <v>553</v>
      </c>
      <c r="Y43" s="57">
        <v>10317</v>
      </c>
      <c r="Z43" s="57">
        <v>101542</v>
      </c>
      <c r="AA43" s="57">
        <v>3018</v>
      </c>
      <c r="AB43" s="57">
        <v>1330</v>
      </c>
      <c r="AC43" s="59"/>
      <c r="AD43" s="58">
        <f t="shared" si="10"/>
        <v>325873</v>
      </c>
    </row>
    <row r="44" spans="1:61" ht="15">
      <c r="A44" s="71" t="s">
        <v>110</v>
      </c>
      <c r="B44" s="57">
        <v>83002</v>
      </c>
      <c r="C44" s="57">
        <v>186617</v>
      </c>
      <c r="D44" s="57">
        <v>49128</v>
      </c>
      <c r="E44" s="57">
        <v>172693</v>
      </c>
      <c r="F44" s="57">
        <v>953869</v>
      </c>
      <c r="G44" s="57">
        <v>986826</v>
      </c>
      <c r="H44" s="57">
        <v>149844</v>
      </c>
      <c r="I44" s="57">
        <v>362102</v>
      </c>
      <c r="J44" s="57">
        <v>720105</v>
      </c>
      <c r="K44" s="57">
        <v>574095</v>
      </c>
      <c r="L44" s="57">
        <v>477671</v>
      </c>
      <c r="M44" s="57">
        <v>303496</v>
      </c>
      <c r="N44" s="57">
        <v>2037021</v>
      </c>
      <c r="O44" s="57">
        <v>551351</v>
      </c>
      <c r="P44" s="57">
        <v>350811</v>
      </c>
      <c r="Q44" s="57">
        <v>979862</v>
      </c>
      <c r="R44" s="57">
        <v>794602</v>
      </c>
      <c r="S44" s="57">
        <v>386599</v>
      </c>
      <c r="T44" s="57">
        <v>717836</v>
      </c>
      <c r="U44" s="57">
        <v>326279</v>
      </c>
      <c r="V44" s="57">
        <v>927553</v>
      </c>
      <c r="W44" s="57">
        <v>310338</v>
      </c>
      <c r="X44" s="57">
        <v>62798</v>
      </c>
      <c r="Y44" s="57">
        <v>741510</v>
      </c>
      <c r="Z44" s="57">
        <v>3858305</v>
      </c>
      <c r="AA44" s="57">
        <v>182367</v>
      </c>
      <c r="AB44" s="57">
        <v>177192</v>
      </c>
      <c r="AC44" s="59"/>
      <c r="AD44" s="58">
        <f t="shared" si="10"/>
        <v>17423872</v>
      </c>
    </row>
    <row r="45" spans="1:61" ht="15">
      <c r="A45" s="65" t="s">
        <v>111</v>
      </c>
      <c r="B45" s="57">
        <v>15792</v>
      </c>
      <c r="C45" s="57">
        <v>27584</v>
      </c>
      <c r="D45" s="57">
        <v>8243</v>
      </c>
      <c r="E45" s="57">
        <v>39362</v>
      </c>
      <c r="F45" s="57">
        <v>129687</v>
      </c>
      <c r="G45" s="57">
        <v>110767</v>
      </c>
      <c r="H45" s="57">
        <v>14074</v>
      </c>
      <c r="I45" s="57">
        <v>80613</v>
      </c>
      <c r="J45" s="57">
        <v>209421</v>
      </c>
      <c r="K45" s="57">
        <v>87582</v>
      </c>
      <c r="L45" s="57">
        <v>152367</v>
      </c>
      <c r="M45" s="57">
        <v>85044</v>
      </c>
      <c r="N45" s="57">
        <v>216462</v>
      </c>
      <c r="O45" s="57">
        <v>120929</v>
      </c>
      <c r="P45" s="57">
        <v>48954</v>
      </c>
      <c r="Q45" s="57">
        <v>239406</v>
      </c>
      <c r="R45" s="57">
        <v>77668</v>
      </c>
      <c r="S45" s="57">
        <v>65687</v>
      </c>
      <c r="T45" s="57">
        <v>127548</v>
      </c>
      <c r="U45" s="57">
        <v>44323</v>
      </c>
      <c r="V45" s="57">
        <v>159353</v>
      </c>
      <c r="W45" s="57">
        <v>86444</v>
      </c>
      <c r="X45" s="57">
        <v>14737</v>
      </c>
      <c r="Y45" s="57">
        <v>223485</v>
      </c>
      <c r="Z45" s="57">
        <v>668917</v>
      </c>
      <c r="AA45" s="57">
        <v>30938</v>
      </c>
      <c r="AB45" s="57">
        <v>70681</v>
      </c>
      <c r="AC45" s="59"/>
      <c r="AD45" s="58">
        <f t="shared" si="10"/>
        <v>3156068</v>
      </c>
    </row>
    <row r="46" spans="1:61" ht="15">
      <c r="A46" s="65" t="s">
        <v>112</v>
      </c>
      <c r="B46" s="57">
        <v>795</v>
      </c>
      <c r="C46" s="57">
        <v>5896</v>
      </c>
      <c r="D46" s="57">
        <v>928</v>
      </c>
      <c r="E46" s="57">
        <v>8214</v>
      </c>
      <c r="F46" s="57">
        <v>32701</v>
      </c>
      <c r="G46" s="57">
        <v>13119</v>
      </c>
      <c r="H46" s="57">
        <v>9082</v>
      </c>
      <c r="I46" s="57">
        <v>13228</v>
      </c>
      <c r="J46" s="57">
        <v>18553</v>
      </c>
      <c r="K46" s="57">
        <v>6687</v>
      </c>
      <c r="L46" s="57">
        <v>9103</v>
      </c>
      <c r="M46" s="57">
        <v>7987</v>
      </c>
      <c r="N46" s="57">
        <v>64564</v>
      </c>
      <c r="O46" s="57">
        <v>13949</v>
      </c>
      <c r="P46" s="57">
        <v>6054</v>
      </c>
      <c r="Q46" s="57">
        <v>34892</v>
      </c>
      <c r="R46" s="57">
        <v>17416</v>
      </c>
      <c r="S46" s="57">
        <v>5093</v>
      </c>
      <c r="T46" s="57">
        <v>43554</v>
      </c>
      <c r="U46" s="57">
        <v>5748</v>
      </c>
      <c r="V46" s="57">
        <v>36243</v>
      </c>
      <c r="W46" s="57">
        <v>4734</v>
      </c>
      <c r="X46" s="57">
        <v>782</v>
      </c>
      <c r="Y46" s="57">
        <v>16761</v>
      </c>
      <c r="Z46" s="57">
        <v>144136</v>
      </c>
      <c r="AA46" s="57">
        <v>5380</v>
      </c>
      <c r="AB46" s="57">
        <v>4297</v>
      </c>
      <c r="AC46" s="59"/>
      <c r="AD46" s="58">
        <f t="shared" si="10"/>
        <v>529896</v>
      </c>
    </row>
    <row r="47" spans="1:61" ht="15">
      <c r="A47" s="65" t="s">
        <v>113</v>
      </c>
      <c r="B47" s="57">
        <v>776</v>
      </c>
      <c r="C47" s="57">
        <v>3220</v>
      </c>
      <c r="D47" s="57">
        <v>663</v>
      </c>
      <c r="E47" s="57">
        <v>3963</v>
      </c>
      <c r="F47" s="57">
        <v>15730</v>
      </c>
      <c r="G47" s="57">
        <v>17670</v>
      </c>
      <c r="H47" s="57">
        <v>14525</v>
      </c>
      <c r="I47" s="57">
        <v>9712</v>
      </c>
      <c r="J47" s="57">
        <v>12661</v>
      </c>
      <c r="K47" s="57">
        <v>5547</v>
      </c>
      <c r="L47" s="57">
        <v>7494</v>
      </c>
      <c r="M47" s="57">
        <v>6174</v>
      </c>
      <c r="N47" s="57">
        <v>32481</v>
      </c>
      <c r="O47" s="57">
        <v>8345</v>
      </c>
      <c r="P47" s="57">
        <v>4965</v>
      </c>
      <c r="Q47" s="57">
        <v>30109</v>
      </c>
      <c r="R47" s="57">
        <v>10620</v>
      </c>
      <c r="S47" s="57">
        <v>2978</v>
      </c>
      <c r="T47" s="57">
        <v>32475</v>
      </c>
      <c r="U47" s="57">
        <v>8434</v>
      </c>
      <c r="V47" s="57">
        <v>27803</v>
      </c>
      <c r="W47" s="57">
        <v>1911</v>
      </c>
      <c r="X47" s="57">
        <v>722</v>
      </c>
      <c r="Y47" s="57">
        <v>24645</v>
      </c>
      <c r="Z47" s="57">
        <v>134550</v>
      </c>
      <c r="AA47" s="57">
        <v>2674</v>
      </c>
      <c r="AB47" s="57">
        <v>1924</v>
      </c>
      <c r="AC47" s="59"/>
      <c r="AD47" s="58">
        <f t="shared" si="10"/>
        <v>422771</v>
      </c>
    </row>
    <row r="48" spans="1:61">
      <c r="A48" s="68"/>
      <c r="B48" s="59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59"/>
      <c r="AD48" s="73"/>
    </row>
    <row r="49" spans="1:62">
      <c r="A49" s="65" t="s">
        <v>80</v>
      </c>
      <c r="B49" s="58">
        <f>SUM(B38:B47)</f>
        <v>193617</v>
      </c>
      <c r="C49" s="58">
        <f t="shared" ref="C49:AB49" si="11">SUM(C38:C47)</f>
        <v>567535</v>
      </c>
      <c r="D49" s="58">
        <f t="shared" si="11"/>
        <v>144068</v>
      </c>
      <c r="E49" s="58">
        <f t="shared" si="11"/>
        <v>654754</v>
      </c>
      <c r="F49" s="58">
        <f t="shared" si="11"/>
        <v>2949858</v>
      </c>
      <c r="G49" s="58">
        <f t="shared" si="11"/>
        <v>2223443</v>
      </c>
      <c r="H49" s="58">
        <f t="shared" si="11"/>
        <v>1435165</v>
      </c>
      <c r="I49" s="58">
        <f t="shared" si="11"/>
        <v>1485392</v>
      </c>
      <c r="J49" s="58">
        <f t="shared" si="11"/>
        <v>2868319</v>
      </c>
      <c r="K49" s="58">
        <f t="shared" si="11"/>
        <v>1129223</v>
      </c>
      <c r="L49" s="58">
        <f t="shared" si="11"/>
        <v>1424137</v>
      </c>
      <c r="M49" s="58">
        <f t="shared" si="11"/>
        <v>1155338</v>
      </c>
      <c r="N49" s="58">
        <f t="shared" si="11"/>
        <v>8343046</v>
      </c>
      <c r="O49" s="58">
        <f t="shared" si="11"/>
        <v>1312880</v>
      </c>
      <c r="P49" s="58">
        <f t="shared" si="11"/>
        <v>909729</v>
      </c>
      <c r="Q49" s="58">
        <f t="shared" si="11"/>
        <v>5878014</v>
      </c>
      <c r="R49" s="58">
        <f t="shared" si="11"/>
        <v>2253275</v>
      </c>
      <c r="S49" s="58">
        <f t="shared" si="11"/>
        <v>793865</v>
      </c>
      <c r="T49" s="58">
        <f t="shared" si="11"/>
        <v>5309592</v>
      </c>
      <c r="U49" s="58">
        <f t="shared" si="11"/>
        <v>910410</v>
      </c>
      <c r="V49" s="58">
        <f t="shared" si="11"/>
        <v>5437094</v>
      </c>
      <c r="W49" s="58">
        <f t="shared" si="11"/>
        <v>709654</v>
      </c>
      <c r="X49" s="58">
        <f t="shared" si="11"/>
        <v>155936</v>
      </c>
      <c r="Y49" s="58">
        <f t="shared" si="11"/>
        <v>3919022</v>
      </c>
      <c r="Z49" s="58">
        <f t="shared" si="11"/>
        <v>23280046</v>
      </c>
      <c r="AA49" s="58">
        <f t="shared" si="11"/>
        <v>536384</v>
      </c>
      <c r="AB49" s="58">
        <f t="shared" si="11"/>
        <v>483009</v>
      </c>
      <c r="AC49" s="74"/>
      <c r="AD49" s="70">
        <f>IF((SUM(AD38:AD47)=SUM(B49:AB49)),(SUM(B49:AB49)),"erro")</f>
        <v>76462805</v>
      </c>
    </row>
    <row r="51" spans="1:62">
      <c r="J51" s="52" t="s">
        <v>114</v>
      </c>
      <c r="L51" s="75">
        <f>ROUND(AD34/AD49,7)</f>
        <v>1.0034114000000001</v>
      </c>
    </row>
    <row r="54" spans="1:62">
      <c r="A54" s="124" t="s">
        <v>115</v>
      </c>
    </row>
    <row r="55" spans="1:62" s="53" customFormat="1">
      <c r="A55" s="125"/>
      <c r="B55" s="76" t="s">
        <v>53</v>
      </c>
      <c r="C55" s="76" t="s">
        <v>54</v>
      </c>
      <c r="D55" s="76" t="s">
        <v>55</v>
      </c>
      <c r="E55" s="76" t="s">
        <v>56</v>
      </c>
      <c r="F55" s="76" t="s">
        <v>57</v>
      </c>
      <c r="G55" s="76" t="s">
        <v>58</v>
      </c>
      <c r="H55" s="76" t="s">
        <v>59</v>
      </c>
      <c r="I55" s="76" t="s">
        <v>60</v>
      </c>
      <c r="J55" s="76" t="s">
        <v>61</v>
      </c>
      <c r="K55" s="76" t="s">
        <v>62</v>
      </c>
      <c r="L55" s="76" t="s">
        <v>63</v>
      </c>
      <c r="M55" s="76" t="s">
        <v>64</v>
      </c>
      <c r="N55" s="76" t="s">
        <v>65</v>
      </c>
      <c r="O55" s="76" t="s">
        <v>66</v>
      </c>
      <c r="P55" s="76" t="s">
        <v>67</v>
      </c>
      <c r="Q55" s="76" t="s">
        <v>68</v>
      </c>
      <c r="R55" s="76" t="s">
        <v>69</v>
      </c>
      <c r="S55" s="76" t="s">
        <v>70</v>
      </c>
      <c r="T55" s="76" t="s">
        <v>71</v>
      </c>
      <c r="U55" s="76" t="s">
        <v>72</v>
      </c>
      <c r="V55" s="76" t="s">
        <v>73</v>
      </c>
      <c r="W55" s="76" t="s">
        <v>74</v>
      </c>
      <c r="X55" s="76" t="s">
        <v>75</v>
      </c>
      <c r="Y55" s="76" t="s">
        <v>76</v>
      </c>
      <c r="Z55" s="76" t="s">
        <v>77</v>
      </c>
      <c r="AA55" s="76" t="s">
        <v>78</v>
      </c>
      <c r="AB55" s="76" t="s">
        <v>79</v>
      </c>
      <c r="AD55" s="54" t="s">
        <v>80</v>
      </c>
    </row>
    <row r="56" spans="1:62">
      <c r="A56" s="65" t="s">
        <v>104</v>
      </c>
      <c r="B56" s="66">
        <f t="shared" ref="B56:AB56" si="12">ROUND(B38*$L$51,0)</f>
        <v>64842</v>
      </c>
      <c r="C56" s="66">
        <f t="shared" si="12"/>
        <v>266365</v>
      </c>
      <c r="D56" s="66">
        <f t="shared" si="12"/>
        <v>62216</v>
      </c>
      <c r="E56" s="66">
        <f t="shared" si="12"/>
        <v>315805</v>
      </c>
      <c r="F56" s="66">
        <f t="shared" si="12"/>
        <v>1362058</v>
      </c>
      <c r="G56" s="66">
        <f t="shared" si="12"/>
        <v>840309</v>
      </c>
      <c r="H56" s="66">
        <f t="shared" si="12"/>
        <v>1067331</v>
      </c>
      <c r="I56" s="66">
        <f t="shared" si="12"/>
        <v>764404</v>
      </c>
      <c r="J56" s="66">
        <f t="shared" si="12"/>
        <v>1448940</v>
      </c>
      <c r="K56" s="66">
        <f t="shared" si="12"/>
        <v>322543</v>
      </c>
      <c r="L56" s="66">
        <f t="shared" si="12"/>
        <v>518909</v>
      </c>
      <c r="M56" s="66">
        <f t="shared" si="12"/>
        <v>556549</v>
      </c>
      <c r="N56" s="66">
        <f t="shared" si="12"/>
        <v>4759345</v>
      </c>
      <c r="O56" s="66">
        <f t="shared" si="12"/>
        <v>436333</v>
      </c>
      <c r="P56" s="66">
        <f t="shared" si="12"/>
        <v>392228</v>
      </c>
      <c r="Q56" s="66">
        <f t="shared" si="12"/>
        <v>3616649</v>
      </c>
      <c r="R56" s="66">
        <f t="shared" si="12"/>
        <v>1055091</v>
      </c>
      <c r="S56" s="66">
        <f t="shared" si="12"/>
        <v>237188</v>
      </c>
      <c r="T56" s="66">
        <f t="shared" si="12"/>
        <v>3734528</v>
      </c>
      <c r="U56" s="66">
        <f t="shared" si="12"/>
        <v>412259</v>
      </c>
      <c r="V56" s="66">
        <f t="shared" si="12"/>
        <v>3477216</v>
      </c>
      <c r="W56" s="66">
        <f t="shared" si="12"/>
        <v>203934</v>
      </c>
      <c r="X56" s="66">
        <f t="shared" si="12"/>
        <v>51496</v>
      </c>
      <c r="Y56" s="66">
        <f t="shared" si="12"/>
        <v>2344432</v>
      </c>
      <c r="Z56" s="66">
        <f t="shared" si="12"/>
        <v>15292177</v>
      </c>
      <c r="AA56" s="66">
        <f t="shared" si="12"/>
        <v>252548</v>
      </c>
      <c r="AB56" s="66">
        <f t="shared" si="12"/>
        <v>151041</v>
      </c>
      <c r="AC56" s="61"/>
      <c r="AD56" s="58">
        <f t="shared" ref="AD56:AD65" si="13">SUM(B56:AB56)</f>
        <v>44006736</v>
      </c>
      <c r="AH56" s="60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</row>
    <row r="57" spans="1:62" s="80" customFormat="1">
      <c r="A57" s="78" t="s">
        <v>105</v>
      </c>
      <c r="B57" s="66">
        <f t="shared" ref="B57:AB57" si="14">ROUND(B39*$L$51,0)</f>
        <v>6108</v>
      </c>
      <c r="C57" s="66">
        <f t="shared" si="14"/>
        <v>18251</v>
      </c>
      <c r="D57" s="66">
        <f t="shared" si="14"/>
        <v>3482</v>
      </c>
      <c r="E57" s="66">
        <f t="shared" si="14"/>
        <v>18387</v>
      </c>
      <c r="F57" s="66">
        <f t="shared" si="14"/>
        <v>102086</v>
      </c>
      <c r="G57" s="66">
        <f t="shared" si="14"/>
        <v>58580</v>
      </c>
      <c r="H57" s="66">
        <f t="shared" si="14"/>
        <v>21244</v>
      </c>
      <c r="I57" s="66">
        <f t="shared" si="14"/>
        <v>62492</v>
      </c>
      <c r="J57" s="66">
        <f t="shared" si="14"/>
        <v>95310</v>
      </c>
      <c r="K57" s="66">
        <f t="shared" si="14"/>
        <v>31732</v>
      </c>
      <c r="L57" s="66">
        <f t="shared" si="14"/>
        <v>56722</v>
      </c>
      <c r="M57" s="66">
        <f t="shared" si="14"/>
        <v>43513</v>
      </c>
      <c r="N57" s="66">
        <f t="shared" si="14"/>
        <v>290348</v>
      </c>
      <c r="O57" s="66">
        <f t="shared" si="14"/>
        <v>48173</v>
      </c>
      <c r="P57" s="66">
        <f t="shared" si="14"/>
        <v>24776</v>
      </c>
      <c r="Q57" s="66">
        <f t="shared" si="14"/>
        <v>236137</v>
      </c>
      <c r="R57" s="66">
        <f t="shared" si="14"/>
        <v>80435</v>
      </c>
      <c r="S57" s="66">
        <f t="shared" si="14"/>
        <v>21063</v>
      </c>
      <c r="T57" s="66">
        <f t="shared" si="14"/>
        <v>128277</v>
      </c>
      <c r="U57" s="66">
        <f t="shared" si="14"/>
        <v>26002</v>
      </c>
      <c r="V57" s="66">
        <f t="shared" si="14"/>
        <v>199426</v>
      </c>
      <c r="W57" s="66">
        <f t="shared" si="14"/>
        <v>26081</v>
      </c>
      <c r="X57" s="66">
        <f t="shared" si="14"/>
        <v>3671</v>
      </c>
      <c r="Y57" s="66">
        <f t="shared" si="14"/>
        <v>134524</v>
      </c>
      <c r="Z57" s="66">
        <f t="shared" si="14"/>
        <v>622054</v>
      </c>
      <c r="AA57" s="66">
        <f t="shared" si="14"/>
        <v>18519</v>
      </c>
      <c r="AB57" s="66">
        <f t="shared" si="14"/>
        <v>20438</v>
      </c>
      <c r="AC57" s="79"/>
      <c r="AD57" s="58">
        <f t="shared" si="13"/>
        <v>2397831</v>
      </c>
      <c r="AH57" s="81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</row>
    <row r="58" spans="1:62" s="80" customFormat="1">
      <c r="A58" s="78" t="s">
        <v>106</v>
      </c>
      <c r="B58" s="66">
        <f t="shared" ref="B58:AB58" si="15">ROUND(B40*$L$51,0)</f>
        <v>548</v>
      </c>
      <c r="C58" s="66">
        <f t="shared" si="15"/>
        <v>2034</v>
      </c>
      <c r="D58" s="66">
        <f t="shared" si="15"/>
        <v>258</v>
      </c>
      <c r="E58" s="66">
        <f t="shared" si="15"/>
        <v>2850</v>
      </c>
      <c r="F58" s="66">
        <f t="shared" si="15"/>
        <v>17255</v>
      </c>
      <c r="G58" s="66">
        <f t="shared" si="15"/>
        <v>6661</v>
      </c>
      <c r="H58" s="66">
        <f t="shared" si="15"/>
        <v>2900</v>
      </c>
      <c r="I58" s="66">
        <f t="shared" si="15"/>
        <v>16665</v>
      </c>
      <c r="J58" s="66">
        <f t="shared" si="15"/>
        <v>24300</v>
      </c>
      <c r="K58" s="66">
        <f t="shared" si="15"/>
        <v>2682</v>
      </c>
      <c r="L58" s="66">
        <f t="shared" si="15"/>
        <v>24498</v>
      </c>
      <c r="M58" s="66">
        <f t="shared" si="15"/>
        <v>12862</v>
      </c>
      <c r="N58" s="66">
        <f t="shared" si="15"/>
        <v>56445</v>
      </c>
      <c r="O58" s="66">
        <f t="shared" si="15"/>
        <v>5854</v>
      </c>
      <c r="P58" s="66">
        <f t="shared" si="15"/>
        <v>2274</v>
      </c>
      <c r="Q58" s="66">
        <f t="shared" si="15"/>
        <v>79639</v>
      </c>
      <c r="R58" s="66">
        <f t="shared" si="15"/>
        <v>10147</v>
      </c>
      <c r="S58" s="66">
        <f t="shared" si="15"/>
        <v>1861</v>
      </c>
      <c r="T58" s="66">
        <f t="shared" si="15"/>
        <v>15339</v>
      </c>
      <c r="U58" s="66">
        <f t="shared" si="15"/>
        <v>2477</v>
      </c>
      <c r="V58" s="66">
        <f t="shared" si="15"/>
        <v>51625</v>
      </c>
      <c r="W58" s="66">
        <f t="shared" si="15"/>
        <v>5004</v>
      </c>
      <c r="X58" s="66">
        <f t="shared" si="15"/>
        <v>480</v>
      </c>
      <c r="Y58" s="66">
        <f t="shared" si="15"/>
        <v>45574</v>
      </c>
      <c r="Z58" s="66">
        <f t="shared" si="15"/>
        <v>153212</v>
      </c>
      <c r="AA58" s="66">
        <f t="shared" si="15"/>
        <v>1721</v>
      </c>
      <c r="AB58" s="66">
        <f t="shared" si="15"/>
        <v>3672</v>
      </c>
      <c r="AC58" s="79"/>
      <c r="AD58" s="58">
        <f t="shared" si="13"/>
        <v>548837</v>
      </c>
      <c r="AH58" s="81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</row>
    <row r="59" spans="1:62">
      <c r="A59" s="65" t="s">
        <v>107</v>
      </c>
      <c r="B59" s="66">
        <f t="shared" ref="B59:AB59" si="16">ROUND(B41*$L$51,0)</f>
        <v>15760</v>
      </c>
      <c r="C59" s="66">
        <f t="shared" si="16"/>
        <v>32601</v>
      </c>
      <c r="D59" s="66">
        <f t="shared" si="16"/>
        <v>13307</v>
      </c>
      <c r="E59" s="66">
        <f t="shared" si="16"/>
        <v>59417</v>
      </c>
      <c r="F59" s="66">
        <f t="shared" si="16"/>
        <v>228274</v>
      </c>
      <c r="G59" s="66">
        <f t="shared" si="16"/>
        <v>112475</v>
      </c>
      <c r="H59" s="66">
        <f t="shared" si="16"/>
        <v>84216</v>
      </c>
      <c r="I59" s="66">
        <f t="shared" si="16"/>
        <v>102880</v>
      </c>
      <c r="J59" s="66">
        <f t="shared" si="16"/>
        <v>277395</v>
      </c>
      <c r="K59" s="66">
        <f t="shared" si="16"/>
        <v>73380</v>
      </c>
      <c r="L59" s="66">
        <f t="shared" si="16"/>
        <v>149395</v>
      </c>
      <c r="M59" s="66">
        <f t="shared" si="16"/>
        <v>117053</v>
      </c>
      <c r="N59" s="66">
        <f t="shared" si="16"/>
        <v>663260</v>
      </c>
      <c r="O59" s="66">
        <f t="shared" si="16"/>
        <v>92693</v>
      </c>
      <c r="P59" s="66">
        <f t="shared" si="16"/>
        <v>47041</v>
      </c>
      <c r="Q59" s="66">
        <f t="shared" si="16"/>
        <v>434411</v>
      </c>
      <c r="R59" s="66">
        <f t="shared" si="16"/>
        <v>112395</v>
      </c>
      <c r="S59" s="66">
        <f t="shared" si="16"/>
        <v>43929</v>
      </c>
      <c r="T59" s="66">
        <f t="shared" si="16"/>
        <v>212159</v>
      </c>
      <c r="U59" s="66">
        <f t="shared" si="16"/>
        <v>51491</v>
      </c>
      <c r="V59" s="66">
        <f t="shared" si="16"/>
        <v>327478</v>
      </c>
      <c r="W59" s="66">
        <f t="shared" si="16"/>
        <v>53623</v>
      </c>
      <c r="X59" s="66">
        <f t="shared" si="16"/>
        <v>13037</v>
      </c>
      <c r="Y59" s="66">
        <f t="shared" si="16"/>
        <v>195126</v>
      </c>
      <c r="Z59" s="66">
        <f t="shared" si="16"/>
        <v>1200447</v>
      </c>
      <c r="AA59" s="66">
        <f t="shared" si="16"/>
        <v>30332</v>
      </c>
      <c r="AB59" s="66">
        <f t="shared" si="16"/>
        <v>36449</v>
      </c>
      <c r="AC59" s="61"/>
      <c r="AD59" s="58">
        <f t="shared" si="13"/>
        <v>4780024</v>
      </c>
      <c r="AH59" s="60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</row>
    <row r="60" spans="1:62">
      <c r="A60" s="65" t="s">
        <v>108</v>
      </c>
      <c r="B60" s="66">
        <f t="shared" ref="B60:AB60" si="17">ROUND(B42*$L$51,0)</f>
        <v>6043</v>
      </c>
      <c r="C60" s="66">
        <f t="shared" si="17"/>
        <v>20878</v>
      </c>
      <c r="D60" s="66">
        <f t="shared" si="17"/>
        <v>5769</v>
      </c>
      <c r="E60" s="66">
        <f t="shared" si="17"/>
        <v>32357</v>
      </c>
      <c r="F60" s="66">
        <f t="shared" si="17"/>
        <v>91519</v>
      </c>
      <c r="G60" s="66">
        <f t="shared" si="17"/>
        <v>71464</v>
      </c>
      <c r="H60" s="66">
        <f t="shared" si="17"/>
        <v>71359</v>
      </c>
      <c r="I60" s="66">
        <f t="shared" si="17"/>
        <v>70126</v>
      </c>
      <c r="J60" s="66">
        <f t="shared" si="17"/>
        <v>60644</v>
      </c>
      <c r="K60" s="66">
        <f t="shared" si="17"/>
        <v>22527</v>
      </c>
      <c r="L60" s="66">
        <f t="shared" si="17"/>
        <v>27967</v>
      </c>
      <c r="M60" s="66">
        <f t="shared" si="17"/>
        <v>22318</v>
      </c>
      <c r="N60" s="66">
        <f t="shared" si="17"/>
        <v>205962</v>
      </c>
      <c r="O60" s="66">
        <f t="shared" si="17"/>
        <v>31688</v>
      </c>
      <c r="P60" s="66">
        <f t="shared" si="17"/>
        <v>30567</v>
      </c>
      <c r="Q60" s="66">
        <f t="shared" si="17"/>
        <v>223981</v>
      </c>
      <c r="R60" s="66">
        <f t="shared" si="17"/>
        <v>84953</v>
      </c>
      <c r="S60" s="66">
        <f t="shared" si="17"/>
        <v>28216</v>
      </c>
      <c r="T60" s="66">
        <f t="shared" si="17"/>
        <v>277601</v>
      </c>
      <c r="U60" s="66">
        <f t="shared" si="17"/>
        <v>31127</v>
      </c>
      <c r="V60" s="66">
        <f t="shared" si="17"/>
        <v>227866</v>
      </c>
      <c r="W60" s="66">
        <f t="shared" si="17"/>
        <v>17680</v>
      </c>
      <c r="X60" s="66">
        <f t="shared" si="17"/>
        <v>7920</v>
      </c>
      <c r="Y60" s="66">
        <f t="shared" si="17"/>
        <v>192549</v>
      </c>
      <c r="Z60" s="66">
        <f t="shared" si="17"/>
        <v>1167382</v>
      </c>
      <c r="AA60" s="66">
        <f t="shared" si="17"/>
        <v>9952</v>
      </c>
      <c r="AB60" s="66">
        <f t="shared" si="17"/>
        <v>16761</v>
      </c>
      <c r="AC60" s="61"/>
      <c r="AD60" s="58">
        <f t="shared" si="13"/>
        <v>3057176</v>
      </c>
      <c r="AH60" s="60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</row>
    <row r="61" spans="1:62" s="80" customFormat="1">
      <c r="A61" s="78" t="s">
        <v>109</v>
      </c>
      <c r="B61" s="66">
        <f t="shared" ref="B61:AB61" si="18">ROUND(B43*$L$51,0)</f>
        <v>270</v>
      </c>
      <c r="C61" s="66">
        <f t="shared" si="18"/>
        <v>5264</v>
      </c>
      <c r="D61" s="66">
        <f t="shared" si="18"/>
        <v>365</v>
      </c>
      <c r="E61" s="66">
        <f t="shared" si="18"/>
        <v>3176</v>
      </c>
      <c r="F61" s="66">
        <f t="shared" si="18"/>
        <v>22881</v>
      </c>
      <c r="G61" s="66">
        <f t="shared" si="18"/>
        <v>9308</v>
      </c>
      <c r="H61" s="66">
        <f t="shared" si="18"/>
        <v>4846</v>
      </c>
      <c r="I61" s="66">
        <f t="shared" si="18"/>
        <v>6649</v>
      </c>
      <c r="J61" s="66">
        <f t="shared" si="18"/>
        <v>7497</v>
      </c>
      <c r="K61" s="66">
        <f t="shared" si="18"/>
        <v>4002</v>
      </c>
      <c r="L61" s="66">
        <f t="shared" si="18"/>
        <v>2663</v>
      </c>
      <c r="M61" s="66">
        <f t="shared" si="18"/>
        <v>2910</v>
      </c>
      <c r="N61" s="66">
        <f t="shared" si="18"/>
        <v>37601</v>
      </c>
      <c r="O61" s="66">
        <f t="shared" si="18"/>
        <v>5674</v>
      </c>
      <c r="P61" s="66">
        <f t="shared" si="18"/>
        <v>3761</v>
      </c>
      <c r="Q61" s="66">
        <f t="shared" si="18"/>
        <v>18599</v>
      </c>
      <c r="R61" s="66">
        <f t="shared" si="18"/>
        <v>14563</v>
      </c>
      <c r="S61" s="66">
        <f t="shared" si="18"/>
        <v>2388</v>
      </c>
      <c r="T61" s="66">
        <f t="shared" si="18"/>
        <v>35245</v>
      </c>
      <c r="U61" s="66">
        <f t="shared" si="18"/>
        <v>4063</v>
      </c>
      <c r="V61" s="66">
        <f t="shared" si="18"/>
        <v>17153</v>
      </c>
      <c r="W61" s="66">
        <f t="shared" si="18"/>
        <v>949</v>
      </c>
      <c r="X61" s="66">
        <f t="shared" si="18"/>
        <v>555</v>
      </c>
      <c r="Y61" s="66">
        <f t="shared" si="18"/>
        <v>10352</v>
      </c>
      <c r="Z61" s="66">
        <f t="shared" si="18"/>
        <v>101888</v>
      </c>
      <c r="AA61" s="66">
        <f t="shared" si="18"/>
        <v>3028</v>
      </c>
      <c r="AB61" s="66">
        <f t="shared" si="18"/>
        <v>1335</v>
      </c>
      <c r="AC61" s="79"/>
      <c r="AD61" s="58">
        <f t="shared" si="13"/>
        <v>326985</v>
      </c>
      <c r="AH61" s="81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</row>
    <row r="62" spans="1:62" s="80" customFormat="1">
      <c r="A62" s="78" t="s">
        <v>110</v>
      </c>
      <c r="B62" s="66">
        <f t="shared" ref="B62:AB62" si="19">ROUND(B44*$L$51,0)</f>
        <v>83285</v>
      </c>
      <c r="C62" s="66">
        <f t="shared" si="19"/>
        <v>187254</v>
      </c>
      <c r="D62" s="66">
        <f t="shared" si="19"/>
        <v>49296</v>
      </c>
      <c r="E62" s="66">
        <f t="shared" si="19"/>
        <v>173282</v>
      </c>
      <c r="F62" s="66">
        <f t="shared" si="19"/>
        <v>957123</v>
      </c>
      <c r="G62" s="66">
        <f t="shared" si="19"/>
        <v>990192</v>
      </c>
      <c r="H62" s="66">
        <f t="shared" si="19"/>
        <v>150355</v>
      </c>
      <c r="I62" s="66">
        <f t="shared" si="19"/>
        <v>363337</v>
      </c>
      <c r="J62" s="66">
        <f t="shared" si="19"/>
        <v>722562</v>
      </c>
      <c r="K62" s="66">
        <f t="shared" si="19"/>
        <v>576053</v>
      </c>
      <c r="L62" s="66">
        <f t="shared" si="19"/>
        <v>479301</v>
      </c>
      <c r="M62" s="66">
        <f t="shared" si="19"/>
        <v>304531</v>
      </c>
      <c r="N62" s="66">
        <f t="shared" si="19"/>
        <v>2043970</v>
      </c>
      <c r="O62" s="66">
        <f t="shared" si="19"/>
        <v>553232</v>
      </c>
      <c r="P62" s="66">
        <f t="shared" si="19"/>
        <v>352008</v>
      </c>
      <c r="Q62" s="66">
        <f t="shared" si="19"/>
        <v>983205</v>
      </c>
      <c r="R62" s="66">
        <f t="shared" si="19"/>
        <v>797313</v>
      </c>
      <c r="S62" s="66">
        <f t="shared" si="19"/>
        <v>387918</v>
      </c>
      <c r="T62" s="66">
        <f t="shared" si="19"/>
        <v>720285</v>
      </c>
      <c r="U62" s="66">
        <f t="shared" si="19"/>
        <v>327392</v>
      </c>
      <c r="V62" s="66">
        <f t="shared" si="19"/>
        <v>930717</v>
      </c>
      <c r="W62" s="66">
        <f t="shared" si="19"/>
        <v>311397</v>
      </c>
      <c r="X62" s="66">
        <f t="shared" si="19"/>
        <v>63012</v>
      </c>
      <c r="Y62" s="66">
        <f t="shared" si="19"/>
        <v>744040</v>
      </c>
      <c r="Z62" s="66">
        <f t="shared" si="19"/>
        <v>3871467</v>
      </c>
      <c r="AA62" s="66">
        <f t="shared" si="19"/>
        <v>182989</v>
      </c>
      <c r="AB62" s="66">
        <f t="shared" si="19"/>
        <v>177796</v>
      </c>
      <c r="AC62" s="79"/>
      <c r="AD62" s="58">
        <f t="shared" si="13"/>
        <v>17483312</v>
      </c>
      <c r="AH62" s="81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</row>
    <row r="63" spans="1:62" s="80" customFormat="1">
      <c r="A63" s="78" t="s">
        <v>111</v>
      </c>
      <c r="B63" s="66">
        <f t="shared" ref="B63:AB63" si="20">ROUND(B45*$L$51,0)</f>
        <v>15846</v>
      </c>
      <c r="C63" s="66">
        <f t="shared" si="20"/>
        <v>27678</v>
      </c>
      <c r="D63" s="66">
        <f t="shared" si="20"/>
        <v>8271</v>
      </c>
      <c r="E63" s="66">
        <f t="shared" si="20"/>
        <v>39496</v>
      </c>
      <c r="F63" s="66">
        <f t="shared" si="20"/>
        <v>130129</v>
      </c>
      <c r="G63" s="66">
        <f t="shared" si="20"/>
        <v>111145</v>
      </c>
      <c r="H63" s="66">
        <f t="shared" si="20"/>
        <v>14122</v>
      </c>
      <c r="I63" s="66">
        <f t="shared" si="20"/>
        <v>80888</v>
      </c>
      <c r="J63" s="66">
        <f t="shared" si="20"/>
        <v>210135</v>
      </c>
      <c r="K63" s="66">
        <f t="shared" si="20"/>
        <v>87881</v>
      </c>
      <c r="L63" s="66">
        <f t="shared" si="20"/>
        <v>152887</v>
      </c>
      <c r="M63" s="66">
        <f t="shared" si="20"/>
        <v>85334</v>
      </c>
      <c r="N63" s="66">
        <f t="shared" si="20"/>
        <v>217200</v>
      </c>
      <c r="O63" s="66">
        <f t="shared" si="20"/>
        <v>121342</v>
      </c>
      <c r="P63" s="66">
        <f t="shared" si="20"/>
        <v>49121</v>
      </c>
      <c r="Q63" s="66">
        <f t="shared" si="20"/>
        <v>240223</v>
      </c>
      <c r="R63" s="66">
        <f t="shared" si="20"/>
        <v>77933</v>
      </c>
      <c r="S63" s="66">
        <f t="shared" si="20"/>
        <v>65911</v>
      </c>
      <c r="T63" s="66">
        <f t="shared" si="20"/>
        <v>127983</v>
      </c>
      <c r="U63" s="66">
        <f t="shared" si="20"/>
        <v>44474</v>
      </c>
      <c r="V63" s="66">
        <f t="shared" si="20"/>
        <v>159897</v>
      </c>
      <c r="W63" s="66">
        <f t="shared" si="20"/>
        <v>86739</v>
      </c>
      <c r="X63" s="66">
        <f t="shared" si="20"/>
        <v>14787</v>
      </c>
      <c r="Y63" s="66">
        <f t="shared" si="20"/>
        <v>224247</v>
      </c>
      <c r="Z63" s="66">
        <f t="shared" si="20"/>
        <v>671199</v>
      </c>
      <c r="AA63" s="66">
        <f t="shared" si="20"/>
        <v>31044</v>
      </c>
      <c r="AB63" s="66">
        <f t="shared" si="20"/>
        <v>70922</v>
      </c>
      <c r="AC63" s="79"/>
      <c r="AD63" s="58">
        <f t="shared" si="13"/>
        <v>3166834</v>
      </c>
      <c r="AH63" s="81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</row>
    <row r="64" spans="1:62" s="80" customFormat="1">
      <c r="A64" s="78" t="s">
        <v>112</v>
      </c>
      <c r="B64" s="66">
        <f t="shared" ref="B64:AB64" si="21">ROUND(B46*$L$51,0)</f>
        <v>798</v>
      </c>
      <c r="C64" s="66">
        <f t="shared" si="21"/>
        <v>5916</v>
      </c>
      <c r="D64" s="66">
        <f t="shared" si="21"/>
        <v>931</v>
      </c>
      <c r="E64" s="66">
        <f t="shared" si="21"/>
        <v>8242</v>
      </c>
      <c r="F64" s="66">
        <f t="shared" si="21"/>
        <v>32813</v>
      </c>
      <c r="G64" s="66">
        <f t="shared" si="21"/>
        <v>13164</v>
      </c>
      <c r="H64" s="66">
        <f t="shared" si="21"/>
        <v>9113</v>
      </c>
      <c r="I64" s="66">
        <f t="shared" si="21"/>
        <v>13273</v>
      </c>
      <c r="J64" s="66">
        <f t="shared" si="21"/>
        <v>18616</v>
      </c>
      <c r="K64" s="66">
        <f t="shared" si="21"/>
        <v>6710</v>
      </c>
      <c r="L64" s="66">
        <f t="shared" si="21"/>
        <v>9134</v>
      </c>
      <c r="M64" s="66">
        <f t="shared" si="21"/>
        <v>8014</v>
      </c>
      <c r="N64" s="66">
        <f t="shared" si="21"/>
        <v>64784</v>
      </c>
      <c r="O64" s="66">
        <f t="shared" si="21"/>
        <v>13997</v>
      </c>
      <c r="P64" s="66">
        <f t="shared" si="21"/>
        <v>6075</v>
      </c>
      <c r="Q64" s="66">
        <f t="shared" si="21"/>
        <v>35011</v>
      </c>
      <c r="R64" s="66">
        <f t="shared" si="21"/>
        <v>17475</v>
      </c>
      <c r="S64" s="66">
        <f t="shared" si="21"/>
        <v>5110</v>
      </c>
      <c r="T64" s="66">
        <f t="shared" si="21"/>
        <v>43703</v>
      </c>
      <c r="U64" s="66">
        <f t="shared" si="21"/>
        <v>5768</v>
      </c>
      <c r="V64" s="66">
        <f t="shared" si="21"/>
        <v>36367</v>
      </c>
      <c r="W64" s="66">
        <f t="shared" si="21"/>
        <v>4750</v>
      </c>
      <c r="X64" s="66">
        <f t="shared" si="21"/>
        <v>785</v>
      </c>
      <c r="Y64" s="66">
        <f t="shared" si="21"/>
        <v>16818</v>
      </c>
      <c r="Z64" s="66">
        <f t="shared" si="21"/>
        <v>144628</v>
      </c>
      <c r="AA64" s="66">
        <f t="shared" si="21"/>
        <v>5398</v>
      </c>
      <c r="AB64" s="66">
        <f t="shared" si="21"/>
        <v>4312</v>
      </c>
      <c r="AC64" s="79"/>
      <c r="AD64" s="58">
        <f t="shared" si="13"/>
        <v>531705</v>
      </c>
      <c r="AH64" s="81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</row>
    <row r="65" spans="1:62">
      <c r="A65" s="65" t="s">
        <v>113</v>
      </c>
      <c r="B65" s="66">
        <f t="shared" ref="B65:AB65" si="22">ROUND(B47*$L$51,0)</f>
        <v>779</v>
      </c>
      <c r="C65" s="66">
        <f t="shared" si="22"/>
        <v>3231</v>
      </c>
      <c r="D65" s="66">
        <f t="shared" si="22"/>
        <v>665</v>
      </c>
      <c r="E65" s="66">
        <f t="shared" si="22"/>
        <v>3977</v>
      </c>
      <c r="F65" s="66">
        <f t="shared" si="22"/>
        <v>15784</v>
      </c>
      <c r="G65" s="66">
        <f t="shared" si="22"/>
        <v>17730</v>
      </c>
      <c r="H65" s="66">
        <f t="shared" si="22"/>
        <v>14575</v>
      </c>
      <c r="I65" s="66">
        <f t="shared" si="22"/>
        <v>9745</v>
      </c>
      <c r="J65" s="66">
        <f t="shared" si="22"/>
        <v>12704</v>
      </c>
      <c r="K65" s="66">
        <f t="shared" si="22"/>
        <v>5566</v>
      </c>
      <c r="L65" s="66">
        <f t="shared" si="22"/>
        <v>7520</v>
      </c>
      <c r="M65" s="66">
        <f t="shared" si="22"/>
        <v>6195</v>
      </c>
      <c r="N65" s="66">
        <f t="shared" si="22"/>
        <v>32592</v>
      </c>
      <c r="O65" s="66">
        <f t="shared" si="22"/>
        <v>8373</v>
      </c>
      <c r="P65" s="66">
        <f t="shared" si="22"/>
        <v>4982</v>
      </c>
      <c r="Q65" s="66">
        <f t="shared" si="22"/>
        <v>30212</v>
      </c>
      <c r="R65" s="66">
        <f t="shared" si="22"/>
        <v>10656</v>
      </c>
      <c r="S65" s="66">
        <f t="shared" si="22"/>
        <v>2988</v>
      </c>
      <c r="T65" s="66">
        <f t="shared" si="22"/>
        <v>32586</v>
      </c>
      <c r="U65" s="66">
        <f t="shared" si="22"/>
        <v>8463</v>
      </c>
      <c r="V65" s="66">
        <f t="shared" si="22"/>
        <v>27898</v>
      </c>
      <c r="W65" s="66">
        <f t="shared" si="22"/>
        <v>1918</v>
      </c>
      <c r="X65" s="66">
        <f t="shared" si="22"/>
        <v>724</v>
      </c>
      <c r="Y65" s="66">
        <f t="shared" si="22"/>
        <v>24729</v>
      </c>
      <c r="Z65" s="66">
        <f t="shared" si="22"/>
        <v>135009</v>
      </c>
      <c r="AA65" s="66">
        <f t="shared" si="22"/>
        <v>2683</v>
      </c>
      <c r="AB65" s="66">
        <f t="shared" si="22"/>
        <v>1931</v>
      </c>
      <c r="AC65" s="61"/>
      <c r="AD65" s="58">
        <f t="shared" si="13"/>
        <v>424215</v>
      </c>
      <c r="AH65" s="60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</row>
    <row r="66" spans="1:62">
      <c r="A66" s="68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9"/>
      <c r="AH66" s="60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</row>
    <row r="67" spans="1:62" s="53" customFormat="1">
      <c r="A67" s="65" t="s">
        <v>80</v>
      </c>
      <c r="B67" s="58">
        <f t="shared" ref="B67:AB67" si="23">SUM(B56:B65)</f>
        <v>194279</v>
      </c>
      <c r="C67" s="58">
        <f t="shared" si="23"/>
        <v>569472</v>
      </c>
      <c r="D67" s="58">
        <f t="shared" si="23"/>
        <v>144560</v>
      </c>
      <c r="E67" s="58">
        <f t="shared" si="23"/>
        <v>656989</v>
      </c>
      <c r="F67" s="58">
        <f t="shared" si="23"/>
        <v>2959922</v>
      </c>
      <c r="G67" s="58">
        <f t="shared" si="23"/>
        <v>2231028</v>
      </c>
      <c r="H67" s="58">
        <f t="shared" si="23"/>
        <v>1440061</v>
      </c>
      <c r="I67" s="58">
        <f t="shared" si="23"/>
        <v>1490459</v>
      </c>
      <c r="J67" s="58">
        <f t="shared" si="23"/>
        <v>2878103</v>
      </c>
      <c r="K67" s="58">
        <f t="shared" si="23"/>
        <v>1133076</v>
      </c>
      <c r="L67" s="58">
        <f t="shared" si="23"/>
        <v>1428996</v>
      </c>
      <c r="M67" s="58">
        <f t="shared" si="23"/>
        <v>1159279</v>
      </c>
      <c r="N67" s="58">
        <f t="shared" si="23"/>
        <v>8371507</v>
      </c>
      <c r="O67" s="58">
        <f t="shared" si="23"/>
        <v>1317359</v>
      </c>
      <c r="P67" s="58">
        <f t="shared" si="23"/>
        <v>912833</v>
      </c>
      <c r="Q67" s="58">
        <f t="shared" si="23"/>
        <v>5898067</v>
      </c>
      <c r="R67" s="58">
        <f t="shared" si="23"/>
        <v>2260961</v>
      </c>
      <c r="S67" s="58">
        <f t="shared" si="23"/>
        <v>796572</v>
      </c>
      <c r="T67" s="58">
        <f t="shared" si="23"/>
        <v>5327706</v>
      </c>
      <c r="U67" s="58">
        <f t="shared" si="23"/>
        <v>913516</v>
      </c>
      <c r="V67" s="58">
        <f t="shared" si="23"/>
        <v>5455643</v>
      </c>
      <c r="W67" s="58">
        <f t="shared" si="23"/>
        <v>712075</v>
      </c>
      <c r="X67" s="58">
        <f t="shared" si="23"/>
        <v>156467</v>
      </c>
      <c r="Y67" s="58">
        <f t="shared" si="23"/>
        <v>3932391</v>
      </c>
      <c r="Z67" s="58">
        <f t="shared" si="23"/>
        <v>23359463</v>
      </c>
      <c r="AA67" s="58">
        <f t="shared" si="23"/>
        <v>538214</v>
      </c>
      <c r="AB67" s="58">
        <f t="shared" si="23"/>
        <v>484657</v>
      </c>
      <c r="AC67" s="69"/>
      <c r="AD67" s="82">
        <f>IF((SUM(AD56:AD65)=SUM(B67:AB67)),(SUM(B67:AB67)),"erro")</f>
        <v>76723655</v>
      </c>
      <c r="AH67" s="60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</row>
    <row r="72" spans="1:62" s="53" customFormat="1"/>
    <row r="73" spans="1:62" s="53" customFormat="1"/>
    <row r="74" spans="1:62" s="53" customFormat="1"/>
    <row r="75" spans="1:62" s="53" customFormat="1"/>
    <row r="76" spans="1:62" s="53" customFormat="1"/>
    <row r="77" spans="1:62" s="53" customFormat="1"/>
    <row r="78" spans="1:62" s="53" customFormat="1"/>
    <row r="79" spans="1:62" s="53" customFormat="1"/>
    <row r="80" spans="1:62" s="53" customFormat="1"/>
    <row r="81" s="53" customFormat="1"/>
    <row r="82" s="53" customFormat="1"/>
    <row r="83" s="53" customFormat="1"/>
    <row r="84" s="53" customFormat="1"/>
    <row r="85" s="53" customFormat="1"/>
    <row r="86" s="53" customFormat="1"/>
    <row r="87" s="53" customFormat="1"/>
    <row r="88" s="53" customFormat="1"/>
    <row r="89" s="53" customFormat="1"/>
    <row r="90" s="53" customFormat="1"/>
    <row r="91" s="53" customFormat="1"/>
    <row r="92" s="53" customFormat="1"/>
    <row r="93" s="53" customFormat="1"/>
    <row r="94" s="53" customFormat="1"/>
    <row r="95" s="53" customFormat="1"/>
    <row r="96" s="53" customFormat="1"/>
    <row r="97" s="53" customFormat="1"/>
    <row r="98" s="53" customFormat="1"/>
    <row r="99" s="53" customFormat="1"/>
    <row r="100" s="53" customFormat="1"/>
    <row r="101" s="53" customFormat="1"/>
    <row r="102" s="53" customFormat="1"/>
    <row r="103" s="53" customFormat="1"/>
    <row r="104" s="53" customFormat="1" ht="15" customHeight="1"/>
    <row r="105" s="53" customFormat="1"/>
    <row r="106" s="53" customFormat="1"/>
    <row r="107" s="53" customFormat="1"/>
    <row r="108" s="53" customFormat="1"/>
    <row r="109" s="53" customFormat="1"/>
    <row r="110" s="53" customFormat="1"/>
    <row r="111" s="53" customFormat="1"/>
    <row r="112" s="53" customFormat="1"/>
    <row r="113" s="53" customFormat="1"/>
    <row r="114" s="53" customFormat="1"/>
    <row r="115" s="53" customFormat="1"/>
    <row r="116" s="53" customFormat="1"/>
    <row r="117" s="53" customFormat="1"/>
    <row r="118" s="53" customFormat="1"/>
    <row r="119" s="53" customFormat="1"/>
    <row r="120" s="53" customFormat="1"/>
    <row r="121" s="53" customFormat="1"/>
    <row r="122" s="53" customFormat="1"/>
    <row r="123" s="53" customFormat="1"/>
    <row r="124" s="53" customFormat="1"/>
    <row r="125" s="53" customFormat="1"/>
    <row r="126" s="53" customFormat="1"/>
    <row r="127" s="53" customFormat="1"/>
    <row r="128" s="53" customFormat="1"/>
    <row r="129" s="53" customFormat="1"/>
    <row r="130" s="53" customFormat="1"/>
    <row r="131" s="53" customFormat="1"/>
    <row r="132" s="53" customFormat="1"/>
    <row r="133" s="53" customFormat="1"/>
    <row r="134" s="53" customFormat="1"/>
    <row r="135" s="53" customFormat="1"/>
    <row r="136" s="53" customFormat="1"/>
    <row r="137" s="53" customFormat="1"/>
    <row r="138" s="53" customFormat="1"/>
    <row r="139" s="53" customFormat="1"/>
    <row r="140" s="53" customFormat="1"/>
    <row r="141" s="53" customFormat="1"/>
    <row r="142" s="53" customFormat="1"/>
    <row r="143" s="53" customFormat="1"/>
    <row r="144" s="53" customFormat="1"/>
    <row r="145" s="53" customFormat="1"/>
    <row r="146" s="53" customFormat="1"/>
    <row r="147" s="53" customFormat="1"/>
    <row r="148" s="53" customFormat="1"/>
    <row r="149" s="53" customFormat="1"/>
    <row r="150" s="53" customFormat="1"/>
    <row r="151" s="53" customFormat="1"/>
    <row r="152" s="53" customFormat="1"/>
    <row r="153" s="53" customFormat="1"/>
    <row r="154" s="53" customFormat="1"/>
    <row r="155" s="53" customFormat="1"/>
    <row r="156" s="53" customFormat="1"/>
    <row r="157" s="53" customFormat="1"/>
    <row r="158" s="53" customFormat="1"/>
    <row r="159" s="53" customFormat="1"/>
    <row r="160" s="53" customFormat="1"/>
    <row r="161" s="53" customFormat="1"/>
    <row r="162" s="53" customFormat="1"/>
    <row r="163" s="53" customFormat="1"/>
    <row r="164" s="53" customFormat="1"/>
    <row r="165" s="53" customFormat="1"/>
    <row r="166" s="53" customFormat="1"/>
  </sheetData>
  <mergeCells count="4">
    <mergeCell ref="A2:A3"/>
    <mergeCell ref="A54:A55"/>
    <mergeCell ref="A25:A26"/>
    <mergeCell ref="A36:A37"/>
  </mergeCells>
  <pageMargins left="0.75" right="0.75" top="1" bottom="1" header="0.5" footer="0.5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"PIAUÍ/"&amp;ONSV_AUX_2013!A1&amp;""</f>
        <v>PIAUÍ/2013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ONSV_AUX_2013!S27</f>
        <v>18061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ONSV_AUX_2013!S28</f>
        <v>213585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ONSV_AUX_2013!S29</f>
        <v>63600</v>
      </c>
      <c r="J7" s="3"/>
      <c r="K7" s="1" t="s">
        <v>121</v>
      </c>
      <c r="L7" s="25">
        <f>I14+I17+I18+I23</f>
        <v>312321</v>
      </c>
      <c r="N7" s="13" t="s">
        <v>122</v>
      </c>
      <c r="O7" s="25">
        <f>J14+J23</f>
        <v>240155.23690049659</v>
      </c>
      <c r="P7" s="29"/>
      <c r="Q7" s="30" t="s">
        <v>123</v>
      </c>
      <c r="R7" s="25">
        <f>J17+J18</f>
        <v>72138.763099503383</v>
      </c>
      <c r="S7" s="31"/>
      <c r="T7" s="30" t="s">
        <v>124</v>
      </c>
      <c r="U7" s="32">
        <f>O11</f>
        <v>2657.1846479248552</v>
      </c>
      <c r="V7" s="24"/>
      <c r="W7" s="30" t="s">
        <v>125</v>
      </c>
      <c r="X7" s="33">
        <f>R13</f>
        <v>12975.957419086564</v>
      </c>
    </row>
    <row r="8" spans="1:24" ht="15.75">
      <c r="H8" s="17" t="s">
        <v>101</v>
      </c>
      <c r="I8" s="25">
        <f>ONSV_AUX_2013!S30</f>
        <v>27</v>
      </c>
      <c r="J8" s="3"/>
      <c r="K8" s="12"/>
      <c r="L8" s="27"/>
      <c r="M8" s="7"/>
      <c r="N8" s="13" t="s">
        <v>126</v>
      </c>
      <c r="O8" s="34">
        <f>J14/O7</f>
        <v>0.98755912330957296</v>
      </c>
      <c r="P8" s="29"/>
      <c r="Q8" s="35" t="s">
        <v>127</v>
      </c>
      <c r="R8" s="28">
        <f>J17/R7</f>
        <v>0.60889874558181445</v>
      </c>
      <c r="S8" s="36"/>
      <c r="T8" s="30" t="s">
        <v>128</v>
      </c>
      <c r="U8" s="32">
        <f>I23-J23</f>
        <v>0.2583111606327293</v>
      </c>
      <c r="V8" s="24"/>
      <c r="W8" s="30" t="s">
        <v>129</v>
      </c>
      <c r="X8" s="33">
        <f>I18-J18</f>
        <v>2.4392596079051145</v>
      </c>
    </row>
    <row r="9" spans="1:24" ht="15.75">
      <c r="H9" s="17" t="s">
        <v>16</v>
      </c>
      <c r="I9" s="25">
        <f>ONSV_AUX_2013!S31</f>
        <v>523</v>
      </c>
      <c r="J9" s="3"/>
      <c r="K9" s="1" t="s">
        <v>130</v>
      </c>
      <c r="L9" s="28">
        <f>I14/L7</f>
        <v>0.75943660528750867</v>
      </c>
      <c r="M9" s="7"/>
      <c r="N9" s="13" t="s">
        <v>131</v>
      </c>
      <c r="O9" s="34">
        <f>J23/O7</f>
        <v>1.2440876690427021E-2</v>
      </c>
      <c r="P9" s="29"/>
      <c r="Q9" s="35" t="s">
        <v>132</v>
      </c>
      <c r="R9" s="28">
        <f>J18/R7</f>
        <v>0.39110125441818566</v>
      </c>
      <c r="S9" s="36"/>
      <c r="T9" s="30" t="s">
        <v>133</v>
      </c>
      <c r="U9" s="37">
        <f>O13</f>
        <v>330.55704091451207</v>
      </c>
      <c r="V9" s="38"/>
      <c r="W9" s="30" t="s">
        <v>134</v>
      </c>
      <c r="X9" s="37">
        <f>R16</f>
        <v>15237.603321305531</v>
      </c>
    </row>
    <row r="10" spans="1:24" ht="15.75">
      <c r="H10" s="17" t="s">
        <v>94</v>
      </c>
      <c r="I10" s="25">
        <f>ONSV_AUX_2013!S32</f>
        <v>503504</v>
      </c>
      <c r="J10" s="4"/>
      <c r="K10" s="1" t="s">
        <v>2</v>
      </c>
      <c r="L10" s="28">
        <f>I17/L7</f>
        <v>0.14065336624818697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9.0342948440866933E-2</v>
      </c>
      <c r="M11" s="7"/>
      <c r="N11" s="13" t="s">
        <v>135</v>
      </c>
      <c r="O11" s="25">
        <f>IF(O9*I6&gt;J23,J23,O9*I6)</f>
        <v>2657.1846479248552</v>
      </c>
      <c r="P11" s="41"/>
      <c r="Q11" s="30" t="s">
        <v>136</v>
      </c>
      <c r="R11" s="25">
        <f>I7-I15-I16-I19-I22</f>
        <v>33178</v>
      </c>
      <c r="S11" s="42"/>
      <c r="T11" s="30" t="s">
        <v>137</v>
      </c>
      <c r="U11" s="32">
        <f>O19</f>
        <v>210927.81535207515</v>
      </c>
      <c r="V11" s="41"/>
      <c r="W11" s="30" t="s">
        <v>138</v>
      </c>
      <c r="X11" s="32">
        <f>I15</f>
        <v>21063</v>
      </c>
    </row>
    <row r="12" spans="1:24" ht="15.75">
      <c r="H12" s="9" t="s">
        <v>139</v>
      </c>
      <c r="K12" s="1" t="s">
        <v>0</v>
      </c>
      <c r="L12" s="28">
        <f>I23/L7</f>
        <v>9.5670800234374243E-3</v>
      </c>
      <c r="O12" s="24"/>
      <c r="P12" s="41"/>
      <c r="Q12" s="30" t="s">
        <v>140</v>
      </c>
      <c r="R12" s="25">
        <f>R8*R11</f>
        <v>20202.042580913439</v>
      </c>
      <c r="S12" s="24"/>
      <c r="T12" s="30" t="s">
        <v>141</v>
      </c>
      <c r="U12" s="32">
        <f>O17</f>
        <v>18061</v>
      </c>
      <c r="V12" s="31"/>
      <c r="W12" s="30" t="s">
        <v>142</v>
      </c>
      <c r="X12" s="32">
        <f>I16</f>
        <v>1861</v>
      </c>
    </row>
    <row r="13" spans="1:24" ht="15.75">
      <c r="K13" s="5"/>
      <c r="L13" s="5"/>
      <c r="M13" s="5"/>
      <c r="N13" s="13" t="s">
        <v>143</v>
      </c>
      <c r="O13" s="25">
        <f>J23-O11</f>
        <v>330.55704091451207</v>
      </c>
      <c r="P13" s="41"/>
      <c r="Q13" s="30" t="s">
        <v>125</v>
      </c>
      <c r="R13" s="25">
        <f>R9*R11</f>
        <v>12975.957419086564</v>
      </c>
      <c r="S13" s="24"/>
      <c r="T13" s="30" t="s">
        <v>144</v>
      </c>
      <c r="U13" s="32">
        <f>O18</f>
        <v>523</v>
      </c>
      <c r="V13" s="36"/>
      <c r="W13" s="24"/>
      <c r="X13" s="27"/>
    </row>
    <row r="14" spans="1:24" ht="15.75">
      <c r="H14" s="18" t="s">
        <v>104</v>
      </c>
      <c r="I14" s="25">
        <f>ONSV_AUX_2013!S56</f>
        <v>237188</v>
      </c>
      <c r="J14" s="26">
        <f>I14-(L9*I8)</f>
        <v>237167.49521165722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20.50478834277601</v>
      </c>
      <c r="V14" s="36"/>
      <c r="W14" s="30" t="s">
        <v>146</v>
      </c>
      <c r="X14" s="32">
        <f>I22</f>
        <v>5110</v>
      </c>
    </row>
    <row r="15" spans="1:24" ht="15.75">
      <c r="H15" s="18" t="s">
        <v>105</v>
      </c>
      <c r="I15" s="25">
        <f>ONSV_AUX_2013!S57</f>
        <v>21063</v>
      </c>
      <c r="J15" s="4">
        <f>I15</f>
        <v>21063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23723.159778197856</v>
      </c>
      <c r="S15" s="24"/>
      <c r="T15" s="30" t="s">
        <v>149</v>
      </c>
      <c r="U15" s="37">
        <f>O20</f>
        <v>7655.6798595820728</v>
      </c>
      <c r="V15" s="24"/>
      <c r="W15" s="30" t="s">
        <v>150</v>
      </c>
      <c r="X15" s="32">
        <f>I19</f>
        <v>2388</v>
      </c>
    </row>
    <row r="16" spans="1:24" ht="15.75">
      <c r="H16" s="18" t="s">
        <v>106</v>
      </c>
      <c r="I16" s="25">
        <f>ONSV_AUX_2013!S58</f>
        <v>1861</v>
      </c>
      <c r="J16" s="4">
        <f>I16</f>
        <v>1861</v>
      </c>
      <c r="K16" s="5"/>
      <c r="L16" s="5"/>
      <c r="M16" s="5"/>
      <c r="O16" s="38"/>
      <c r="P16" s="41"/>
      <c r="Q16" s="30" t="s">
        <v>134</v>
      </c>
      <c r="R16" s="25">
        <f>J18-R13</f>
        <v>15237.603321305531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ONSV_AUX_2013!S59</f>
        <v>43929</v>
      </c>
      <c r="J17" s="26">
        <f>I17-(L10*I8)</f>
        <v>43925.202359111296</v>
      </c>
      <c r="K17" s="5"/>
      <c r="L17" s="5"/>
      <c r="M17" s="5"/>
      <c r="N17" s="13" t="s">
        <v>141</v>
      </c>
      <c r="O17" s="25">
        <f>I5</f>
        <v>18061</v>
      </c>
      <c r="P17" s="41"/>
      <c r="Q17" s="24"/>
      <c r="R17" s="24"/>
      <c r="S17" s="42"/>
      <c r="T17" s="30" t="s">
        <v>140</v>
      </c>
      <c r="U17" s="33">
        <f>R12</f>
        <v>20202.042580913439</v>
      </c>
      <c r="V17" s="24"/>
      <c r="W17" s="30" t="s">
        <v>151</v>
      </c>
      <c r="X17" s="32">
        <f>I20</f>
        <v>387918</v>
      </c>
    </row>
    <row r="18" spans="8:24" ht="15.75">
      <c r="H18" s="18" t="s">
        <v>108</v>
      </c>
      <c r="I18" s="25">
        <f>ONSV_AUX_2013!S60</f>
        <v>28216</v>
      </c>
      <c r="J18" s="26">
        <f>I18-(L11*I8)</f>
        <v>28213.560740392095</v>
      </c>
      <c r="K18" s="5"/>
      <c r="L18" s="5"/>
      <c r="M18" s="5"/>
      <c r="N18" s="13" t="s">
        <v>144</v>
      </c>
      <c r="O18" s="25">
        <f>I9</f>
        <v>523</v>
      </c>
      <c r="P18" s="41"/>
      <c r="Q18" s="24"/>
      <c r="R18" s="24"/>
      <c r="S18" s="24"/>
      <c r="T18" s="30" t="s">
        <v>152</v>
      </c>
      <c r="U18" s="33">
        <f>I17-J17</f>
        <v>3.7976408887043362</v>
      </c>
      <c r="V18" s="24"/>
      <c r="W18" s="30" t="s">
        <v>153</v>
      </c>
      <c r="X18" s="32">
        <f>I21</f>
        <v>65911</v>
      </c>
    </row>
    <row r="19" spans="8:24" ht="15.75">
      <c r="H19" s="18" t="s">
        <v>109</v>
      </c>
      <c r="I19" s="25">
        <f>ONSV_AUX_2013!S61</f>
        <v>2388</v>
      </c>
      <c r="J19" s="4">
        <f>I19</f>
        <v>2388</v>
      </c>
      <c r="K19" s="5"/>
      <c r="L19" s="5"/>
      <c r="M19" s="5"/>
      <c r="N19" s="13" t="s">
        <v>137</v>
      </c>
      <c r="O19" s="25">
        <f>IF(OR((O8*I6&gt;J14),((O17+O18+(O8*I6))&gt;J14)),(J14-O17-O18),(O8*I6))</f>
        <v>210927.81535207515</v>
      </c>
      <c r="P19" s="41"/>
      <c r="Q19" s="24"/>
      <c r="R19" s="43"/>
      <c r="S19" s="24"/>
      <c r="T19" s="30" t="s">
        <v>148</v>
      </c>
      <c r="U19" s="37">
        <f>R15</f>
        <v>23723.159778197856</v>
      </c>
      <c r="V19" s="24"/>
      <c r="W19" s="24"/>
      <c r="X19" s="24"/>
    </row>
    <row r="20" spans="8:24" ht="15.75">
      <c r="H20" s="18" t="s">
        <v>110</v>
      </c>
      <c r="I20" s="25">
        <f>ONSV_AUX_2013!S62</f>
        <v>387918</v>
      </c>
      <c r="J20" s="4">
        <f>I20</f>
        <v>387918</v>
      </c>
      <c r="K20" s="5"/>
      <c r="L20" s="5"/>
      <c r="M20" s="5"/>
      <c r="N20" s="13" t="s">
        <v>149</v>
      </c>
      <c r="O20" s="25">
        <f>IF((J14-O17-O19-O18)&lt;0,0,(J14-O17-O19-O18))</f>
        <v>7655.6798595820728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ONSV_AUX_2013!S63</f>
        <v>65911</v>
      </c>
      <c r="J21" s="4">
        <f>I21</f>
        <v>65911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796572</v>
      </c>
    </row>
    <row r="22" spans="8:24" ht="15.75">
      <c r="H22" s="18" t="s">
        <v>112</v>
      </c>
      <c r="I22" s="25">
        <f>ONSV_AUX_2013!S64</f>
        <v>5110</v>
      </c>
      <c r="J22" s="4">
        <f>I22</f>
        <v>5110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ONSV_AUX_2013!S65</f>
        <v>2988</v>
      </c>
      <c r="J23" s="26">
        <f>I23-(L12*I8)</f>
        <v>2987.7416888393673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39997558519241921"/>
  </sheetPr>
  <dimension ref="A1:X23"/>
  <sheetViews>
    <sheetView showGridLines="0" zoomScale="90" zoomScaleNormal="90" workbookViewId="0">
      <selection activeCell="J25" sqref="J25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2" max="12" width="9.85546875" bestFit="1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"RIO DE JANEIRO/"&amp;ONSV_AUX_2013!A1&amp;""</f>
        <v>RIO DE JANEIRO/2013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ONSV_AUX_2013!T27</f>
        <v>310835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ONSV_AUX_2013!T28</f>
        <v>1332207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ONSV_AUX_2013!T29</f>
        <v>299873</v>
      </c>
      <c r="J7" s="3"/>
      <c r="K7" s="1" t="s">
        <v>121</v>
      </c>
      <c r="L7" s="25">
        <f>I14+I17+I18+I23</f>
        <v>4256874</v>
      </c>
      <c r="N7" s="13" t="s">
        <v>122</v>
      </c>
      <c r="O7" s="25">
        <f>J14+J23</f>
        <v>3767050.2837124146</v>
      </c>
      <c r="P7" s="29"/>
      <c r="Q7" s="30" t="s">
        <v>123</v>
      </c>
      <c r="R7" s="25">
        <f>J17+J18</f>
        <v>489751.71628758567</v>
      </c>
      <c r="S7" s="31"/>
      <c r="T7" s="30" t="s">
        <v>124</v>
      </c>
      <c r="U7" s="32">
        <f>O11</f>
        <v>11523.754604187714</v>
      </c>
      <c r="V7" s="24"/>
      <c r="W7" s="30" t="s">
        <v>125</v>
      </c>
      <c r="X7" s="33">
        <f>R13</f>
        <v>43819.535505145373</v>
      </c>
    </row>
    <row r="8" spans="1:24" ht="15.75">
      <c r="H8" s="17" t="s">
        <v>101</v>
      </c>
      <c r="I8" s="25">
        <f>ONSV_AUX_2013!T30</f>
        <v>72</v>
      </c>
      <c r="J8" s="3"/>
      <c r="K8" s="12"/>
      <c r="L8" s="27"/>
      <c r="M8" s="7"/>
      <c r="N8" s="13" t="s">
        <v>126</v>
      </c>
      <c r="O8" s="34">
        <f>J14/O7</f>
        <v>0.99134987685533271</v>
      </c>
      <c r="P8" s="29"/>
      <c r="Q8" s="35" t="s">
        <v>127</v>
      </c>
      <c r="R8" s="28">
        <f>J17/R7</f>
        <v>0.43318972557987584</v>
      </c>
      <c r="S8" s="36"/>
      <c r="T8" s="30" t="s">
        <v>128</v>
      </c>
      <c r="U8" s="32">
        <f>I23-J23</f>
        <v>0.55115373393709888</v>
      </c>
      <c r="V8" s="24"/>
      <c r="W8" s="30" t="s">
        <v>129</v>
      </c>
      <c r="X8" s="33">
        <f>I18-J18</f>
        <v>4.6952933067805134</v>
      </c>
    </row>
    <row r="9" spans="1:24" ht="15.75">
      <c r="H9" s="17" t="s">
        <v>16</v>
      </c>
      <c r="I9" s="25">
        <f>ONSV_AUX_2013!T31</f>
        <v>927768</v>
      </c>
      <c r="J9" s="3"/>
      <c r="K9" s="1" t="s">
        <v>130</v>
      </c>
      <c r="L9" s="28">
        <f>I14/L7</f>
        <v>0.87729352571863761</v>
      </c>
      <c r="M9" s="7"/>
      <c r="N9" s="13" t="s">
        <v>131</v>
      </c>
      <c r="O9" s="34">
        <f>J23/O7</f>
        <v>8.6501231446672426E-3</v>
      </c>
      <c r="P9" s="29"/>
      <c r="Q9" s="35" t="s">
        <v>132</v>
      </c>
      <c r="R9" s="28">
        <f>J18/R7</f>
        <v>0.5668102744201241</v>
      </c>
      <c r="S9" s="36"/>
      <c r="T9" s="30" t="s">
        <v>133</v>
      </c>
      <c r="U9" s="37">
        <f>O13</f>
        <v>21061.694242078349</v>
      </c>
      <c r="V9" s="38"/>
      <c r="W9" s="30" t="s">
        <v>134</v>
      </c>
      <c r="X9" s="37">
        <f>R16</f>
        <v>233776.76920154784</v>
      </c>
    </row>
    <row r="10" spans="1:24" ht="15.75">
      <c r="H10" s="17" t="s">
        <v>94</v>
      </c>
      <c r="I10" s="25">
        <f>ONSV_AUX_2013!T32</f>
        <v>2449823</v>
      </c>
      <c r="J10" s="4"/>
      <c r="K10" s="1" t="s">
        <v>2</v>
      </c>
      <c r="L10" s="28">
        <f>I17/L7</f>
        <v>4.9839154271420764E-2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6.5212407038592171E-2</v>
      </c>
      <c r="M11" s="7"/>
      <c r="N11" s="13" t="s">
        <v>135</v>
      </c>
      <c r="O11" s="25">
        <f>IF(O9*I6&gt;J23,J23,O9*I6)</f>
        <v>11523.754604187714</v>
      </c>
      <c r="P11" s="41"/>
      <c r="Q11" s="30" t="s">
        <v>136</v>
      </c>
      <c r="R11" s="25">
        <f>I7-I15-I16-I19-I22</f>
        <v>77309</v>
      </c>
      <c r="S11" s="42"/>
      <c r="T11" s="30" t="s">
        <v>137</v>
      </c>
      <c r="U11" s="32">
        <f>O19</f>
        <v>1320683.2453958122</v>
      </c>
      <c r="V11" s="41"/>
      <c r="W11" s="30" t="s">
        <v>138</v>
      </c>
      <c r="X11" s="32">
        <f>I15</f>
        <v>128277</v>
      </c>
    </row>
    <row r="12" spans="1:24" ht="15.75">
      <c r="H12" s="9" t="s">
        <v>139</v>
      </c>
      <c r="K12" s="1" t="s">
        <v>0</v>
      </c>
      <c r="L12" s="28">
        <f>I23/L7</f>
        <v>7.6549129713493983E-3</v>
      </c>
      <c r="O12" s="24"/>
      <c r="P12" s="41"/>
      <c r="Q12" s="30" t="s">
        <v>140</v>
      </c>
      <c r="R12" s="25">
        <f>R8*R11</f>
        <v>33489.464494854619</v>
      </c>
      <c r="S12" s="24"/>
      <c r="T12" s="30" t="s">
        <v>141</v>
      </c>
      <c r="U12" s="32">
        <f>O17</f>
        <v>310835</v>
      </c>
      <c r="V12" s="31"/>
      <c r="W12" s="30" t="s">
        <v>142</v>
      </c>
      <c r="X12" s="32">
        <f>I16</f>
        <v>15339</v>
      </c>
    </row>
    <row r="13" spans="1:24" ht="15.75">
      <c r="K13" s="5"/>
      <c r="L13" s="5"/>
      <c r="M13" s="5"/>
      <c r="N13" s="13" t="s">
        <v>143</v>
      </c>
      <c r="O13" s="25">
        <f>J23-O11</f>
        <v>21061.694242078349</v>
      </c>
      <c r="P13" s="41"/>
      <c r="Q13" s="30" t="s">
        <v>125</v>
      </c>
      <c r="R13" s="25">
        <f>R9*R11</f>
        <v>43819.535505145373</v>
      </c>
      <c r="S13" s="24"/>
      <c r="T13" s="30" t="s">
        <v>144</v>
      </c>
      <c r="U13" s="32">
        <f>O18</f>
        <v>927768</v>
      </c>
      <c r="V13" s="36"/>
      <c r="W13" s="24"/>
      <c r="X13" s="27"/>
    </row>
    <row r="14" spans="1:24" ht="15.75">
      <c r="H14" s="18" t="s">
        <v>104</v>
      </c>
      <c r="I14" s="25">
        <f>ONSV_AUX_2013!T56</f>
        <v>3734528</v>
      </c>
      <c r="J14" s="26">
        <f>I14-(L9*I8)</f>
        <v>3734464.8348661484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63.165133851580322</v>
      </c>
      <c r="V14" s="36"/>
      <c r="W14" s="30" t="s">
        <v>146</v>
      </c>
      <c r="X14" s="32">
        <f>I22</f>
        <v>43703</v>
      </c>
    </row>
    <row r="15" spans="1:24" ht="15.75">
      <c r="H15" s="18" t="s">
        <v>105</v>
      </c>
      <c r="I15" s="25">
        <f>ONSV_AUX_2013!T57</f>
        <v>128277</v>
      </c>
      <c r="J15" s="4">
        <f>I15</f>
        <v>128277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178665.94708603784</v>
      </c>
      <c r="S15" s="24"/>
      <c r="T15" s="30" t="s">
        <v>149</v>
      </c>
      <c r="U15" s="37">
        <f>O20</f>
        <v>1175178.5894703362</v>
      </c>
      <c r="V15" s="24"/>
      <c r="W15" s="30" t="s">
        <v>150</v>
      </c>
      <c r="X15" s="32">
        <f>I19</f>
        <v>35245</v>
      </c>
    </row>
    <row r="16" spans="1:24" ht="15.75">
      <c r="H16" s="18" t="s">
        <v>106</v>
      </c>
      <c r="I16" s="25">
        <f>ONSV_AUX_2013!T58</f>
        <v>15339</v>
      </c>
      <c r="J16" s="4">
        <f>I16</f>
        <v>15339</v>
      </c>
      <c r="K16" s="5"/>
      <c r="L16" s="5"/>
      <c r="M16" s="5"/>
      <c r="O16" s="38"/>
      <c r="P16" s="41"/>
      <c r="Q16" s="30" t="s">
        <v>134</v>
      </c>
      <c r="R16" s="25">
        <f>J18-R13</f>
        <v>233776.76920154784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ONSV_AUX_2013!T59</f>
        <v>212159</v>
      </c>
      <c r="J17" s="26">
        <f>I17-(L10*I8)</f>
        <v>212155.41158089245</v>
      </c>
      <c r="K17" s="5"/>
      <c r="L17" s="5"/>
      <c r="M17" s="5"/>
      <c r="N17" s="13" t="s">
        <v>141</v>
      </c>
      <c r="O17" s="25">
        <f>I5</f>
        <v>310835</v>
      </c>
      <c r="P17" s="41"/>
      <c r="Q17" s="24"/>
      <c r="R17" s="24"/>
      <c r="S17" s="42"/>
      <c r="T17" s="30" t="s">
        <v>140</v>
      </c>
      <c r="U17" s="33">
        <f>R12</f>
        <v>33489.464494854619</v>
      </c>
      <c r="V17" s="24"/>
      <c r="W17" s="30" t="s">
        <v>151</v>
      </c>
      <c r="X17" s="32">
        <f>I20</f>
        <v>720285</v>
      </c>
    </row>
    <row r="18" spans="8:24" ht="15.75">
      <c r="H18" s="18" t="s">
        <v>108</v>
      </c>
      <c r="I18" s="25">
        <f>ONSV_AUX_2013!T60</f>
        <v>277601</v>
      </c>
      <c r="J18" s="26">
        <f>I18-(L11*I8)</f>
        <v>277596.30470669322</v>
      </c>
      <c r="K18" s="5"/>
      <c r="L18" s="5"/>
      <c r="M18" s="5"/>
      <c r="N18" s="13" t="s">
        <v>144</v>
      </c>
      <c r="O18" s="25">
        <f>I9</f>
        <v>927768</v>
      </c>
      <c r="P18" s="41"/>
      <c r="Q18" s="24"/>
      <c r="R18" s="24"/>
      <c r="S18" s="24"/>
      <c r="T18" s="30" t="s">
        <v>152</v>
      </c>
      <c r="U18" s="33">
        <f>I17-J17</f>
        <v>3.5884191075456329</v>
      </c>
      <c r="V18" s="24"/>
      <c r="W18" s="30" t="s">
        <v>153</v>
      </c>
      <c r="X18" s="32">
        <f>I21</f>
        <v>127983</v>
      </c>
    </row>
    <row r="19" spans="8:24" ht="15.75">
      <c r="H19" s="18" t="s">
        <v>109</v>
      </c>
      <c r="I19" s="25">
        <f>ONSV_AUX_2013!T61</f>
        <v>35245</v>
      </c>
      <c r="J19" s="4">
        <f>I19</f>
        <v>35245</v>
      </c>
      <c r="K19" s="5"/>
      <c r="L19" s="5"/>
      <c r="M19" s="5"/>
      <c r="N19" s="13" t="s">
        <v>137</v>
      </c>
      <c r="O19" s="25">
        <f>IF(OR((O8*I6&gt;J14),((O17+O18+(O8*I6))&gt;J14)),(J14-O17-O18),(O8*I6))</f>
        <v>1320683.2453958122</v>
      </c>
      <c r="P19" s="41"/>
      <c r="Q19" s="24"/>
      <c r="R19" s="43"/>
      <c r="S19" s="24"/>
      <c r="T19" s="30" t="s">
        <v>148</v>
      </c>
      <c r="U19" s="37">
        <f>R15</f>
        <v>178665.94708603784</v>
      </c>
      <c r="V19" s="24"/>
      <c r="W19" s="24"/>
      <c r="X19" s="24"/>
    </row>
    <row r="20" spans="8:24" ht="15.75">
      <c r="H20" s="18" t="s">
        <v>110</v>
      </c>
      <c r="I20" s="25">
        <f>ONSV_AUX_2013!T62</f>
        <v>720285</v>
      </c>
      <c r="J20" s="4">
        <f>I20</f>
        <v>720285</v>
      </c>
      <c r="K20" s="5"/>
      <c r="L20" s="5"/>
      <c r="M20" s="5"/>
      <c r="N20" s="13" t="s">
        <v>149</v>
      </c>
      <c r="O20" s="25">
        <f>IF((J14-O17-O19-O18)&lt;0,0,(J14-O17-O19-O18))</f>
        <v>1175178.5894703362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ONSV_AUX_2013!T63</f>
        <v>127983</v>
      </c>
      <c r="J21" s="4">
        <f>I21</f>
        <v>127983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5327706</v>
      </c>
    </row>
    <row r="22" spans="8:24" ht="15.75">
      <c r="H22" s="18" t="s">
        <v>112</v>
      </c>
      <c r="I22" s="25">
        <f>ONSV_AUX_2013!T64</f>
        <v>43703</v>
      </c>
      <c r="J22" s="4">
        <f>I22</f>
        <v>43703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ONSV_AUX_2013!T65</f>
        <v>32586</v>
      </c>
      <c r="J23" s="26">
        <f>I23-(L12*I8)</f>
        <v>32585.448846266063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"RIO GRANDE DO NORTE/"&amp;ONSV_AUX_2013!A1&amp;""</f>
        <v>RIO GRANDE DO NORTE/2013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ONSV_AUX_2013!U27</f>
        <v>29879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ONSV_AUX_2013!U28</f>
        <v>254685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ONSV_AUX_2013!U29</f>
        <v>69408</v>
      </c>
      <c r="J7" s="3"/>
      <c r="K7" s="1" t="s">
        <v>121</v>
      </c>
      <c r="L7" s="25">
        <f>I14+I17+I18+I23</f>
        <v>503340</v>
      </c>
      <c r="N7" s="13" t="s">
        <v>122</v>
      </c>
      <c r="O7" s="25">
        <f>J14+J23</f>
        <v>420717.82069773908</v>
      </c>
      <c r="P7" s="29"/>
      <c r="Q7" s="30" t="s">
        <v>123</v>
      </c>
      <c r="R7" s="25">
        <f>J17+J18</f>
        <v>82617.179302260891</v>
      </c>
      <c r="S7" s="31"/>
      <c r="T7" s="30" t="s">
        <v>124</v>
      </c>
      <c r="U7" s="32">
        <f>O11</f>
        <v>5123.0959041837605</v>
      </c>
      <c r="V7" s="24"/>
      <c r="W7" s="30" t="s">
        <v>125</v>
      </c>
      <c r="X7" s="33">
        <f>R13</f>
        <v>11716.423128131886</v>
      </c>
    </row>
    <row r="8" spans="1:24" ht="15.75">
      <c r="H8" s="17" t="s">
        <v>101</v>
      </c>
      <c r="I8" s="25">
        <f>ONSV_AUX_2013!U30</f>
        <v>5</v>
      </c>
      <c r="J8" s="3"/>
      <c r="K8" s="12"/>
      <c r="L8" s="27"/>
      <c r="M8" s="7"/>
      <c r="N8" s="13" t="s">
        <v>126</v>
      </c>
      <c r="O8" s="34">
        <f>J14/O7</f>
        <v>0.97988457936594719</v>
      </c>
      <c r="P8" s="29"/>
      <c r="Q8" s="35" t="s">
        <v>127</v>
      </c>
      <c r="R8" s="28">
        <f>J17/R7</f>
        <v>0.6232419085429326</v>
      </c>
      <c r="S8" s="36"/>
      <c r="T8" s="30" t="s">
        <v>128</v>
      </c>
      <c r="U8" s="32">
        <f>I23-J23</f>
        <v>8.4068422935160925E-2</v>
      </c>
      <c r="V8" s="24"/>
      <c r="W8" s="30" t="s">
        <v>129</v>
      </c>
      <c r="X8" s="33">
        <f>I18-J18</f>
        <v>0.30920451384736225</v>
      </c>
    </row>
    <row r="9" spans="1:24" ht="15.75">
      <c r="H9" s="17" t="s">
        <v>16</v>
      </c>
      <c r="I9" s="25">
        <f>ONSV_AUX_2013!U31</f>
        <v>43621</v>
      </c>
      <c r="J9" s="3"/>
      <c r="K9" s="1" t="s">
        <v>130</v>
      </c>
      <c r="L9" s="28">
        <f>I14/L7</f>
        <v>0.81904676759248218</v>
      </c>
      <c r="M9" s="7"/>
      <c r="N9" s="13" t="s">
        <v>131</v>
      </c>
      <c r="O9" s="34">
        <f>J23/O7</f>
        <v>2.0115420634052892E-2</v>
      </c>
      <c r="P9" s="29"/>
      <c r="Q9" s="35" t="s">
        <v>132</v>
      </c>
      <c r="R9" s="28">
        <f>J18/R7</f>
        <v>0.37675809145706751</v>
      </c>
      <c r="S9" s="36"/>
      <c r="T9" s="30" t="s">
        <v>133</v>
      </c>
      <c r="U9" s="37">
        <f>O13</f>
        <v>3339.8200273933044</v>
      </c>
      <c r="V9" s="38"/>
      <c r="W9" s="30" t="s">
        <v>134</v>
      </c>
      <c r="X9" s="37">
        <f>R16</f>
        <v>19410.267667354266</v>
      </c>
    </row>
    <row r="10" spans="1:24" ht="15.75">
      <c r="H10" s="17" t="s">
        <v>94</v>
      </c>
      <c r="I10" s="25">
        <f>ONSV_AUX_2013!U32</f>
        <v>514075</v>
      </c>
      <c r="J10" s="4"/>
      <c r="K10" s="1" t="s">
        <v>2</v>
      </c>
      <c r="L10" s="28">
        <f>I17/L7</f>
        <v>0.10229864505105893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6.1840902769499745E-2</v>
      </c>
      <c r="M11" s="7"/>
      <c r="N11" s="13" t="s">
        <v>135</v>
      </c>
      <c r="O11" s="25">
        <f>IF(O9*I6&gt;J23,J23,O9*I6)</f>
        <v>5123.0959041837605</v>
      </c>
      <c r="P11" s="41"/>
      <c r="Q11" s="30" t="s">
        <v>136</v>
      </c>
      <c r="R11" s="25">
        <f>I7-I15-I16-I19-I22</f>
        <v>31098</v>
      </c>
      <c r="S11" s="42"/>
      <c r="T11" s="30" t="s">
        <v>137</v>
      </c>
      <c r="U11" s="32">
        <f>O19</f>
        <v>249561.90409581625</v>
      </c>
      <c r="V11" s="41"/>
      <c r="W11" s="30" t="s">
        <v>138</v>
      </c>
      <c r="X11" s="32">
        <f>I15</f>
        <v>26002</v>
      </c>
    </row>
    <row r="12" spans="1:24" ht="15.75">
      <c r="H12" s="9" t="s">
        <v>139</v>
      </c>
      <c r="K12" s="1" t="s">
        <v>0</v>
      </c>
      <c r="L12" s="28">
        <f>I23/L7</f>
        <v>1.6813684586959112E-2</v>
      </c>
      <c r="O12" s="24"/>
      <c r="P12" s="41"/>
      <c r="Q12" s="30" t="s">
        <v>140</v>
      </c>
      <c r="R12" s="25">
        <f>R8*R11</f>
        <v>19381.576871868117</v>
      </c>
      <c r="S12" s="24"/>
      <c r="T12" s="30" t="s">
        <v>141</v>
      </c>
      <c r="U12" s="32">
        <f>O17</f>
        <v>29879</v>
      </c>
      <c r="V12" s="31"/>
      <c r="W12" s="30" t="s">
        <v>142</v>
      </c>
      <c r="X12" s="32">
        <f>I16</f>
        <v>2477</v>
      </c>
    </row>
    <row r="13" spans="1:24" ht="15.75">
      <c r="K13" s="5"/>
      <c r="L13" s="5"/>
      <c r="M13" s="5"/>
      <c r="N13" s="13" t="s">
        <v>143</v>
      </c>
      <c r="O13" s="25">
        <f>J23-O11</f>
        <v>3339.8200273933044</v>
      </c>
      <c r="P13" s="41"/>
      <c r="Q13" s="30" t="s">
        <v>125</v>
      </c>
      <c r="R13" s="25">
        <f>R9*R11</f>
        <v>11716.423128131886</v>
      </c>
      <c r="S13" s="24"/>
      <c r="T13" s="30" t="s">
        <v>144</v>
      </c>
      <c r="U13" s="32">
        <f>O18</f>
        <v>43621</v>
      </c>
      <c r="V13" s="36"/>
      <c r="W13" s="24"/>
      <c r="X13" s="27"/>
    </row>
    <row r="14" spans="1:24" ht="15.75">
      <c r="H14" s="18" t="s">
        <v>104</v>
      </c>
      <c r="I14" s="25">
        <f>ONSV_AUX_2013!U56</f>
        <v>412259</v>
      </c>
      <c r="J14" s="26">
        <f>I14-(L9*I8)</f>
        <v>412254.90476616204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4.095233837957494</v>
      </c>
      <c r="V14" s="36"/>
      <c r="W14" s="30" t="s">
        <v>146</v>
      </c>
      <c r="X14" s="32">
        <f>I22</f>
        <v>5768</v>
      </c>
    </row>
    <row r="15" spans="1:24" ht="15.75">
      <c r="H15" s="18" t="s">
        <v>105</v>
      </c>
      <c r="I15" s="25">
        <f>ONSV_AUX_2013!U57</f>
        <v>26002</v>
      </c>
      <c r="J15" s="4">
        <f>I15</f>
        <v>26002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32108.911634906628</v>
      </c>
      <c r="S15" s="24"/>
      <c r="T15" s="30" t="s">
        <v>149</v>
      </c>
      <c r="U15" s="37">
        <f>O20</f>
        <v>89193.000670345791</v>
      </c>
      <c r="V15" s="24"/>
      <c r="W15" s="30" t="s">
        <v>150</v>
      </c>
      <c r="X15" s="32">
        <f>I19</f>
        <v>4063</v>
      </c>
    </row>
    <row r="16" spans="1:24" ht="15.75">
      <c r="H16" s="18" t="s">
        <v>106</v>
      </c>
      <c r="I16" s="25">
        <f>ONSV_AUX_2013!U58</f>
        <v>2477</v>
      </c>
      <c r="J16" s="4">
        <f>I16</f>
        <v>2477</v>
      </c>
      <c r="K16" s="5"/>
      <c r="L16" s="5"/>
      <c r="M16" s="5"/>
      <c r="O16" s="38"/>
      <c r="P16" s="41"/>
      <c r="Q16" s="30" t="s">
        <v>134</v>
      </c>
      <c r="R16" s="25">
        <f>J18-R13</f>
        <v>19410.267667354266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ONSV_AUX_2013!U59</f>
        <v>51491</v>
      </c>
      <c r="J17" s="26">
        <f>I17-(L10*I8)</f>
        <v>51490.488506774745</v>
      </c>
      <c r="K17" s="5"/>
      <c r="L17" s="5"/>
      <c r="M17" s="5"/>
      <c r="N17" s="13" t="s">
        <v>141</v>
      </c>
      <c r="O17" s="25">
        <f>I5</f>
        <v>29879</v>
      </c>
      <c r="P17" s="41"/>
      <c r="Q17" s="24"/>
      <c r="R17" s="24"/>
      <c r="S17" s="42"/>
      <c r="T17" s="30" t="s">
        <v>140</v>
      </c>
      <c r="U17" s="33">
        <f>R12</f>
        <v>19381.576871868117</v>
      </c>
      <c r="V17" s="24"/>
      <c r="W17" s="30" t="s">
        <v>151</v>
      </c>
      <c r="X17" s="32">
        <f>I20</f>
        <v>327392</v>
      </c>
    </row>
    <row r="18" spans="8:24" ht="15.75">
      <c r="H18" s="18" t="s">
        <v>108</v>
      </c>
      <c r="I18" s="25">
        <f>ONSV_AUX_2013!U60</f>
        <v>31127</v>
      </c>
      <c r="J18" s="26">
        <f>I18-(L11*I8)</f>
        <v>31126.690795486153</v>
      </c>
      <c r="K18" s="5"/>
      <c r="L18" s="5"/>
      <c r="M18" s="5"/>
      <c r="N18" s="13" t="s">
        <v>144</v>
      </c>
      <c r="O18" s="25">
        <f>I9</f>
        <v>43621</v>
      </c>
      <c r="P18" s="41"/>
      <c r="Q18" s="24"/>
      <c r="R18" s="24"/>
      <c r="S18" s="24"/>
      <c r="T18" s="30" t="s">
        <v>152</v>
      </c>
      <c r="U18" s="33">
        <f>I17-J17</f>
        <v>0.5114932252545259</v>
      </c>
      <c r="V18" s="24"/>
      <c r="W18" s="30" t="s">
        <v>153</v>
      </c>
      <c r="X18" s="32">
        <f>I21</f>
        <v>44474</v>
      </c>
    </row>
    <row r="19" spans="8:24" ht="15.75">
      <c r="H19" s="18" t="s">
        <v>109</v>
      </c>
      <c r="I19" s="25">
        <f>ONSV_AUX_2013!U61</f>
        <v>4063</v>
      </c>
      <c r="J19" s="4">
        <f>I19</f>
        <v>4063</v>
      </c>
      <c r="K19" s="5"/>
      <c r="L19" s="5"/>
      <c r="M19" s="5"/>
      <c r="N19" s="13" t="s">
        <v>137</v>
      </c>
      <c r="O19" s="25">
        <f>IF(OR((O8*I6&gt;J14),((O17+O18+(O8*I6))&gt;J14)),(J14-O17-O18),(O8*I6))</f>
        <v>249561.90409581625</v>
      </c>
      <c r="P19" s="41"/>
      <c r="Q19" s="24"/>
      <c r="R19" s="43"/>
      <c r="S19" s="24"/>
      <c r="T19" s="30" t="s">
        <v>148</v>
      </c>
      <c r="U19" s="37">
        <f>R15</f>
        <v>32108.911634906628</v>
      </c>
      <c r="V19" s="24"/>
      <c r="W19" s="24"/>
      <c r="X19" s="24"/>
    </row>
    <row r="20" spans="8:24" ht="15.75">
      <c r="H20" s="18" t="s">
        <v>110</v>
      </c>
      <c r="I20" s="25">
        <f>ONSV_AUX_2013!U62</f>
        <v>327392</v>
      </c>
      <c r="J20" s="4">
        <f>I20</f>
        <v>327392</v>
      </c>
      <c r="K20" s="5"/>
      <c r="L20" s="5"/>
      <c r="M20" s="5"/>
      <c r="N20" s="13" t="s">
        <v>149</v>
      </c>
      <c r="O20" s="25">
        <f>IF((J14-O17-O19-O18)&lt;0,0,(J14-O17-O19-O18))</f>
        <v>89193.000670345791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ONSV_AUX_2013!U63</f>
        <v>44474</v>
      </c>
      <c r="J21" s="4">
        <f>I21</f>
        <v>44474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913516</v>
      </c>
    </row>
    <row r="22" spans="8:24" ht="15.75">
      <c r="H22" s="18" t="s">
        <v>112</v>
      </c>
      <c r="I22" s="25">
        <f>ONSV_AUX_2013!U64</f>
        <v>5768</v>
      </c>
      <c r="J22" s="4">
        <f>I22</f>
        <v>5768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ONSV_AUX_2013!U65</f>
        <v>8463</v>
      </c>
      <c r="J23" s="26">
        <f>I23-(L12*I8)</f>
        <v>8462.9159315770648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"RIO GRANDE DO SUL/"&amp;ONSV_AUX_2013!A1&amp;""</f>
        <v>RIO GRANDE DO SUL/2013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ONSV_AUX_2013!V27</f>
        <v>198022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ONSV_AUX_2013!V28</f>
        <v>1288447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ONSV_AUX_2013!V29</f>
        <v>478107</v>
      </c>
      <c r="J7" s="3"/>
      <c r="K7" s="1" t="s">
        <v>121</v>
      </c>
      <c r="L7" s="25">
        <f>I14+I17+I18+I23</f>
        <v>4060458</v>
      </c>
      <c r="N7" s="13" t="s">
        <v>122</v>
      </c>
      <c r="O7" s="25">
        <f>J14+J23</f>
        <v>3505002.6431762129</v>
      </c>
      <c r="P7" s="29"/>
      <c r="Q7" s="30" t="s">
        <v>123</v>
      </c>
      <c r="R7" s="25">
        <f>J17+J18</f>
        <v>555326.35682378686</v>
      </c>
      <c r="S7" s="31"/>
      <c r="T7" s="30" t="s">
        <v>124</v>
      </c>
      <c r="U7" s="32">
        <f>O11</f>
        <v>10255.042890473747</v>
      </c>
      <c r="V7" s="24"/>
      <c r="W7" s="30" t="s">
        <v>125</v>
      </c>
      <c r="X7" s="33">
        <f>R13</f>
        <v>71204.432164568265</v>
      </c>
    </row>
    <row r="8" spans="1:24" ht="15.75">
      <c r="H8" s="17" t="s">
        <v>101</v>
      </c>
      <c r="I8" s="25">
        <f>ONSV_AUX_2013!V30</f>
        <v>129</v>
      </c>
      <c r="J8" s="3"/>
      <c r="K8" s="12"/>
      <c r="L8" s="27"/>
      <c r="M8" s="7"/>
      <c r="N8" s="13" t="s">
        <v>126</v>
      </c>
      <c r="O8" s="34">
        <f>J14/O7</f>
        <v>0.99204077242566158</v>
      </c>
      <c r="P8" s="29"/>
      <c r="Q8" s="35" t="s">
        <v>127</v>
      </c>
      <c r="R8" s="28">
        <f>J17/R7</f>
        <v>0.58968495202973292</v>
      </c>
      <c r="S8" s="36"/>
      <c r="T8" s="30" t="s">
        <v>128</v>
      </c>
      <c r="U8" s="32">
        <f>I23-J23</f>
        <v>0.88631430247551179</v>
      </c>
      <c r="V8" s="24"/>
      <c r="W8" s="30" t="s">
        <v>129</v>
      </c>
      <c r="X8" s="33">
        <f>I18-J18</f>
        <v>7.2392606942448765</v>
      </c>
    </row>
    <row r="9" spans="1:24" ht="15.75">
      <c r="H9" s="17" t="s">
        <v>16</v>
      </c>
      <c r="I9" s="25">
        <f>ONSV_AUX_2013!V31</f>
        <v>59123</v>
      </c>
      <c r="J9" s="3"/>
      <c r="K9" s="1" t="s">
        <v>130</v>
      </c>
      <c r="L9" s="28">
        <f>I14/L7</f>
        <v>0.85636053863874473</v>
      </c>
      <c r="M9" s="7"/>
      <c r="N9" s="13" t="s">
        <v>131</v>
      </c>
      <c r="O9" s="34">
        <f>J23/O7</f>
        <v>7.9592275743385239E-3</v>
      </c>
      <c r="P9" s="29"/>
      <c r="Q9" s="35" t="s">
        <v>132</v>
      </c>
      <c r="R9" s="28">
        <f>J18/R7</f>
        <v>0.41031504797026708</v>
      </c>
      <c r="S9" s="36"/>
      <c r="T9" s="30" t="s">
        <v>133</v>
      </c>
      <c r="U9" s="37">
        <f>O13</f>
        <v>17642.070795223779</v>
      </c>
      <c r="V9" s="38"/>
      <c r="W9" s="30" t="s">
        <v>134</v>
      </c>
      <c r="X9" s="37">
        <f>R16</f>
        <v>156654.32857473748</v>
      </c>
    </row>
    <row r="10" spans="1:24" ht="15.75">
      <c r="H10" s="17" t="s">
        <v>94</v>
      </c>
      <c r="I10" s="25">
        <f>ONSV_AUX_2013!V32</f>
        <v>3432925</v>
      </c>
      <c r="J10" s="4"/>
      <c r="K10" s="1" t="s">
        <v>2</v>
      </c>
      <c r="L10" s="28">
        <f>I17/L7</f>
        <v>8.0650507898370083E-2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5.6118299955325239E-2</v>
      </c>
      <c r="M11" s="7"/>
      <c r="N11" s="13" t="s">
        <v>135</v>
      </c>
      <c r="O11" s="25">
        <f>IF(O9*I6&gt;J23,J23,O9*I6)</f>
        <v>10255.042890473747</v>
      </c>
      <c r="P11" s="41"/>
      <c r="Q11" s="30" t="s">
        <v>136</v>
      </c>
      <c r="R11" s="25">
        <f>I7-I15-I16-I19-I22</f>
        <v>173536</v>
      </c>
      <c r="S11" s="42"/>
      <c r="T11" s="30" t="s">
        <v>137</v>
      </c>
      <c r="U11" s="32">
        <f>O19</f>
        <v>1278191.9571095263</v>
      </c>
      <c r="V11" s="41"/>
      <c r="W11" s="30" t="s">
        <v>138</v>
      </c>
      <c r="X11" s="32">
        <f>I15</f>
        <v>199426</v>
      </c>
    </row>
    <row r="12" spans="1:24" ht="15.75">
      <c r="H12" s="9" t="s">
        <v>139</v>
      </c>
      <c r="K12" s="1" t="s">
        <v>0</v>
      </c>
      <c r="L12" s="28">
        <f>I23/L7</f>
        <v>6.8706535075599845E-3</v>
      </c>
      <c r="O12" s="24"/>
      <c r="P12" s="41"/>
      <c r="Q12" s="30" t="s">
        <v>140</v>
      </c>
      <c r="R12" s="25">
        <f>R8*R11</f>
        <v>102331.56783543174</v>
      </c>
      <c r="S12" s="24"/>
      <c r="T12" s="30" t="s">
        <v>141</v>
      </c>
      <c r="U12" s="32">
        <f>O17</f>
        <v>198022</v>
      </c>
      <c r="V12" s="31"/>
      <c r="W12" s="30" t="s">
        <v>142</v>
      </c>
      <c r="X12" s="32">
        <f>I16</f>
        <v>51625</v>
      </c>
    </row>
    <row r="13" spans="1:24" ht="15.75">
      <c r="K13" s="5"/>
      <c r="L13" s="5"/>
      <c r="M13" s="5"/>
      <c r="N13" s="13" t="s">
        <v>143</v>
      </c>
      <c r="O13" s="25">
        <f>J23-O11</f>
        <v>17642.070795223779</v>
      </c>
      <c r="P13" s="41"/>
      <c r="Q13" s="30" t="s">
        <v>125</v>
      </c>
      <c r="R13" s="25">
        <f>R9*R11</f>
        <v>71204.432164568265</v>
      </c>
      <c r="S13" s="24"/>
      <c r="T13" s="30" t="s">
        <v>144</v>
      </c>
      <c r="U13" s="32">
        <f>O18</f>
        <v>59123</v>
      </c>
      <c r="V13" s="36"/>
      <c r="W13" s="24"/>
      <c r="X13" s="27"/>
    </row>
    <row r="14" spans="1:24" ht="15.75">
      <c r="H14" s="18" t="s">
        <v>104</v>
      </c>
      <c r="I14" s="25">
        <f>ONSV_AUX_2013!V56</f>
        <v>3477216</v>
      </c>
      <c r="J14" s="26">
        <f>I14-(L9*I8)</f>
        <v>3477105.5294905156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110.47050948441029</v>
      </c>
      <c r="V14" s="36"/>
      <c r="W14" s="30" t="s">
        <v>146</v>
      </c>
      <c r="X14" s="32">
        <f>I22</f>
        <v>36367</v>
      </c>
    </row>
    <row r="15" spans="1:24" ht="15.75">
      <c r="H15" s="18" t="s">
        <v>105</v>
      </c>
      <c r="I15" s="25">
        <f>ONSV_AUX_2013!V57</f>
        <v>199426</v>
      </c>
      <c r="J15" s="4">
        <f>I15</f>
        <v>199426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225136.02824904938</v>
      </c>
      <c r="S15" s="24"/>
      <c r="T15" s="30" t="s">
        <v>149</v>
      </c>
      <c r="U15" s="37">
        <f>O20</f>
        <v>1941768.5723809893</v>
      </c>
      <c r="V15" s="24"/>
      <c r="W15" s="30" t="s">
        <v>150</v>
      </c>
      <c r="X15" s="32">
        <f>I19</f>
        <v>17153</v>
      </c>
    </row>
    <row r="16" spans="1:24" ht="15.75">
      <c r="H16" s="18" t="s">
        <v>106</v>
      </c>
      <c r="I16" s="25">
        <f>ONSV_AUX_2013!V58</f>
        <v>51625</v>
      </c>
      <c r="J16" s="4">
        <f>I16</f>
        <v>51625</v>
      </c>
      <c r="K16" s="5"/>
      <c r="L16" s="5"/>
      <c r="M16" s="5"/>
      <c r="O16" s="38"/>
      <c r="P16" s="41"/>
      <c r="Q16" s="30" t="s">
        <v>134</v>
      </c>
      <c r="R16" s="25">
        <f>J18-R13</f>
        <v>156654.32857473748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ONSV_AUX_2013!V59</f>
        <v>327478</v>
      </c>
      <c r="J17" s="26">
        <f>I17-(L10*I8)</f>
        <v>327467.59608448111</v>
      </c>
      <c r="K17" s="5"/>
      <c r="L17" s="5"/>
      <c r="M17" s="5"/>
      <c r="N17" s="13" t="s">
        <v>141</v>
      </c>
      <c r="O17" s="25">
        <f>I5</f>
        <v>198022</v>
      </c>
      <c r="P17" s="41"/>
      <c r="Q17" s="24"/>
      <c r="R17" s="24"/>
      <c r="S17" s="42"/>
      <c r="T17" s="30" t="s">
        <v>140</v>
      </c>
      <c r="U17" s="33">
        <f>R12</f>
        <v>102331.56783543174</v>
      </c>
      <c r="V17" s="24"/>
      <c r="W17" s="30" t="s">
        <v>151</v>
      </c>
      <c r="X17" s="32">
        <f>I20</f>
        <v>930717</v>
      </c>
    </row>
    <row r="18" spans="8:24" ht="15.75">
      <c r="H18" s="18" t="s">
        <v>108</v>
      </c>
      <c r="I18" s="25">
        <f>ONSV_AUX_2013!V60</f>
        <v>227866</v>
      </c>
      <c r="J18" s="26">
        <f>I18-(L11*I8)</f>
        <v>227858.76073930576</v>
      </c>
      <c r="K18" s="5"/>
      <c r="L18" s="5"/>
      <c r="M18" s="5"/>
      <c r="N18" s="13" t="s">
        <v>144</v>
      </c>
      <c r="O18" s="25">
        <f>I9</f>
        <v>59123</v>
      </c>
      <c r="P18" s="41"/>
      <c r="Q18" s="24"/>
      <c r="R18" s="24"/>
      <c r="S18" s="24"/>
      <c r="T18" s="30" t="s">
        <v>152</v>
      </c>
      <c r="U18" s="33">
        <f>I17-J17</f>
        <v>10.403915518894792</v>
      </c>
      <c r="V18" s="24"/>
      <c r="W18" s="30" t="s">
        <v>153</v>
      </c>
      <c r="X18" s="32">
        <f>I21</f>
        <v>159897</v>
      </c>
    </row>
    <row r="19" spans="8:24" ht="15.75">
      <c r="H19" s="18" t="s">
        <v>109</v>
      </c>
      <c r="I19" s="25">
        <f>ONSV_AUX_2013!V61</f>
        <v>17153</v>
      </c>
      <c r="J19" s="4">
        <f>I19</f>
        <v>17153</v>
      </c>
      <c r="K19" s="5"/>
      <c r="L19" s="5"/>
      <c r="M19" s="5"/>
      <c r="N19" s="13" t="s">
        <v>137</v>
      </c>
      <c r="O19" s="25">
        <f>IF(OR((O8*I6&gt;J14),((O17+O18+(O8*I6))&gt;J14)),(J14-O17-O18),(O8*I6))</f>
        <v>1278191.9571095263</v>
      </c>
      <c r="P19" s="41"/>
      <c r="Q19" s="24"/>
      <c r="R19" s="43"/>
      <c r="S19" s="24"/>
      <c r="T19" s="30" t="s">
        <v>148</v>
      </c>
      <c r="U19" s="37">
        <f>R15</f>
        <v>225136.02824904938</v>
      </c>
      <c r="V19" s="24"/>
      <c r="W19" s="24"/>
      <c r="X19" s="24"/>
    </row>
    <row r="20" spans="8:24" ht="15.75">
      <c r="H20" s="18" t="s">
        <v>110</v>
      </c>
      <c r="I20" s="25">
        <f>ONSV_AUX_2013!V62</f>
        <v>930717</v>
      </c>
      <c r="J20" s="4">
        <f>I20</f>
        <v>930717</v>
      </c>
      <c r="K20" s="5"/>
      <c r="L20" s="5"/>
      <c r="M20" s="5"/>
      <c r="N20" s="13" t="s">
        <v>149</v>
      </c>
      <c r="O20" s="25">
        <f>IF((J14-O17-O19-O18)&lt;0,0,(J14-O17-O19-O18))</f>
        <v>1941768.5723809893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ONSV_AUX_2013!V63</f>
        <v>159897</v>
      </c>
      <c r="J21" s="4">
        <f>I21</f>
        <v>159897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5455643</v>
      </c>
    </row>
    <row r="22" spans="8:24" ht="15.75">
      <c r="H22" s="18" t="s">
        <v>112</v>
      </c>
      <c r="I22" s="25">
        <f>ONSV_AUX_2013!V64</f>
        <v>36367</v>
      </c>
      <c r="J22" s="4">
        <f>I22</f>
        <v>36367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ONSV_AUX_2013!V65</f>
        <v>27898</v>
      </c>
      <c r="J23" s="26">
        <f>I23-(L12*I8)</f>
        <v>27897.113685697524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X23"/>
  <sheetViews>
    <sheetView showGridLines="0" zoomScale="90" zoomScaleNormal="90" workbookViewId="0">
      <selection activeCell="I24" sqref="I2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"RONDÔNIA/"&amp;ONSV_AUX_2013!A1&amp;""</f>
        <v>RONDÔNIA/2013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ONSV_AUX_2013!W27</f>
        <v>10191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ONSV_AUX_2013!W28</f>
        <v>199307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ONSV_AUX_2013!W29</f>
        <v>68792</v>
      </c>
      <c r="J7" s="3"/>
      <c r="K7" s="1" t="s">
        <v>121</v>
      </c>
      <c r="L7" s="25">
        <f>I14+I17+I18+I23</f>
        <v>277155</v>
      </c>
      <c r="N7" s="13" t="s">
        <v>122</v>
      </c>
      <c r="O7" s="25">
        <f>J14+J23</f>
        <v>205838.63081669103</v>
      </c>
      <c r="P7" s="29"/>
      <c r="Q7" s="30" t="s">
        <v>123</v>
      </c>
      <c r="R7" s="25">
        <f>J17+J18</f>
        <v>71298.369183308969</v>
      </c>
      <c r="S7" s="31"/>
      <c r="T7" s="30" t="s">
        <v>124</v>
      </c>
      <c r="U7" s="32">
        <f>O11</f>
        <v>1857.0177894798201</v>
      </c>
      <c r="V7" s="24"/>
      <c r="W7" s="30" t="s">
        <v>125</v>
      </c>
      <c r="X7" s="33">
        <f>R13</f>
        <v>7936.5726547270106</v>
      </c>
    </row>
    <row r="8" spans="1:24" ht="15.75">
      <c r="H8" s="17" t="s">
        <v>101</v>
      </c>
      <c r="I8" s="25">
        <f>ONSV_AUX_2013!W30</f>
        <v>18</v>
      </c>
      <c r="J8" s="3"/>
      <c r="K8" s="12"/>
      <c r="L8" s="27"/>
      <c r="M8" s="7"/>
      <c r="N8" s="13" t="s">
        <v>126</v>
      </c>
      <c r="O8" s="34">
        <f>J14/O7</f>
        <v>0.99068262635291371</v>
      </c>
      <c r="P8" s="29"/>
      <c r="Q8" s="35" t="s">
        <v>127</v>
      </c>
      <c r="R8" s="28">
        <f>J17/R7</f>
        <v>0.75204409351640189</v>
      </c>
      <c r="S8" s="36"/>
      <c r="T8" s="30" t="s">
        <v>128</v>
      </c>
      <c r="U8" s="32">
        <f>I23-J23</f>
        <v>0.12456567624622039</v>
      </c>
      <c r="V8" s="24"/>
      <c r="W8" s="30" t="s">
        <v>129</v>
      </c>
      <c r="X8" s="33">
        <f>I18-J18</f>
        <v>1.1482383503825986</v>
      </c>
    </row>
    <row r="9" spans="1:24" ht="15.75">
      <c r="H9" s="17" t="s">
        <v>16</v>
      </c>
      <c r="I9" s="25">
        <f>ONSV_AUX_2013!W31</f>
        <v>98</v>
      </c>
      <c r="J9" s="3"/>
      <c r="K9" s="1" t="s">
        <v>130</v>
      </c>
      <c r="L9" s="28">
        <f>I14/L7</f>
        <v>0.73581209070736586</v>
      </c>
      <c r="M9" s="7"/>
      <c r="N9" s="13" t="s">
        <v>131</v>
      </c>
      <c r="O9" s="34">
        <f>J23/O7</f>
        <v>9.3173736470862547E-3</v>
      </c>
      <c r="P9" s="29"/>
      <c r="Q9" s="35" t="s">
        <v>132</v>
      </c>
      <c r="R9" s="28">
        <f>J18/R7</f>
        <v>0.24795590648359819</v>
      </c>
      <c r="S9" s="36"/>
      <c r="T9" s="30" t="s">
        <v>133</v>
      </c>
      <c r="U9" s="37">
        <f>O13</f>
        <v>60.857644843933713</v>
      </c>
      <c r="V9" s="38"/>
      <c r="W9" s="30" t="s">
        <v>134</v>
      </c>
      <c r="X9" s="37">
        <f>R16</f>
        <v>9742.2791069226078</v>
      </c>
    </row>
    <row r="10" spans="1:24" ht="15.75">
      <c r="H10" s="17" t="s">
        <v>94</v>
      </c>
      <c r="I10" s="25">
        <f>ONSV_AUX_2013!W32</f>
        <v>431557</v>
      </c>
      <c r="J10" s="4"/>
      <c r="K10" s="1" t="s">
        <v>2</v>
      </c>
      <c r="L10" s="28">
        <f>I17/L7</f>
        <v>0.19347657447998412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6.3791019465641974E-2</v>
      </c>
      <c r="M11" s="7"/>
      <c r="N11" s="13" t="s">
        <v>135</v>
      </c>
      <c r="O11" s="25">
        <f>IF(O9*I6&gt;J23,J23,O9*I6)</f>
        <v>1857.0177894798201</v>
      </c>
      <c r="P11" s="41"/>
      <c r="Q11" s="30" t="s">
        <v>136</v>
      </c>
      <c r="R11" s="25">
        <f>I7-I15-I16-I19-I22</f>
        <v>32008</v>
      </c>
      <c r="S11" s="42"/>
      <c r="T11" s="30" t="s">
        <v>137</v>
      </c>
      <c r="U11" s="32">
        <f>O19</f>
        <v>193631.75538236726</v>
      </c>
      <c r="V11" s="41"/>
      <c r="W11" s="30" t="s">
        <v>138</v>
      </c>
      <c r="X11" s="32">
        <f>I15</f>
        <v>26081</v>
      </c>
    </row>
    <row r="12" spans="1:24" ht="15.75">
      <c r="H12" s="9" t="s">
        <v>139</v>
      </c>
      <c r="K12" s="1" t="s">
        <v>0</v>
      </c>
      <c r="L12" s="28">
        <f>I23/L7</f>
        <v>6.9203153470079916E-3</v>
      </c>
      <c r="O12" s="24"/>
      <c r="P12" s="41"/>
      <c r="Q12" s="30" t="s">
        <v>140</v>
      </c>
      <c r="R12" s="25">
        <f>R8*R11</f>
        <v>24071.42734527299</v>
      </c>
      <c r="S12" s="24"/>
      <c r="T12" s="30" t="s">
        <v>141</v>
      </c>
      <c r="U12" s="32">
        <f>O17</f>
        <v>10191</v>
      </c>
      <c r="V12" s="31"/>
      <c r="W12" s="30" t="s">
        <v>142</v>
      </c>
      <c r="X12" s="32">
        <f>I16</f>
        <v>5004</v>
      </c>
    </row>
    <row r="13" spans="1:24" ht="15.75">
      <c r="K13" s="5"/>
      <c r="L13" s="5"/>
      <c r="M13" s="5"/>
      <c r="N13" s="13" t="s">
        <v>143</v>
      </c>
      <c r="O13" s="25">
        <f>J23-O11</f>
        <v>60.857644843933713</v>
      </c>
      <c r="P13" s="41"/>
      <c r="Q13" s="30" t="s">
        <v>125</v>
      </c>
      <c r="R13" s="25">
        <f>R9*R11</f>
        <v>7936.5726547270106</v>
      </c>
      <c r="S13" s="24"/>
      <c r="T13" s="30" t="s">
        <v>144</v>
      </c>
      <c r="U13" s="32">
        <f>O18</f>
        <v>98</v>
      </c>
      <c r="V13" s="36"/>
      <c r="W13" s="24"/>
      <c r="X13" s="27"/>
    </row>
    <row r="14" spans="1:24" ht="15.75">
      <c r="H14" s="18" t="s">
        <v>104</v>
      </c>
      <c r="I14" s="25">
        <f>ONSV_AUX_2013!W56</f>
        <v>203934</v>
      </c>
      <c r="J14" s="26">
        <f>I14-(L9*I8)</f>
        <v>203920.75538236726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13.244617632735753</v>
      </c>
      <c r="V14" s="36"/>
      <c r="W14" s="30" t="s">
        <v>146</v>
      </c>
      <c r="X14" s="32">
        <f>I22</f>
        <v>4750</v>
      </c>
    </row>
    <row r="15" spans="1:24" ht="15.75">
      <c r="H15" s="18" t="s">
        <v>105</v>
      </c>
      <c r="I15" s="25">
        <f>ONSV_AUX_2013!W57</f>
        <v>26081</v>
      </c>
      <c r="J15" s="4">
        <f>I15</f>
        <v>26081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29548.090076386368</v>
      </c>
      <c r="S15" s="24"/>
      <c r="T15" s="30" t="s">
        <v>149</v>
      </c>
      <c r="U15" s="37">
        <f>O20</f>
        <v>0</v>
      </c>
      <c r="V15" s="24"/>
      <c r="W15" s="30" t="s">
        <v>150</v>
      </c>
      <c r="X15" s="32">
        <f>I19</f>
        <v>949</v>
      </c>
    </row>
    <row r="16" spans="1:24" ht="15.75">
      <c r="H16" s="18" t="s">
        <v>106</v>
      </c>
      <c r="I16" s="25">
        <f>ONSV_AUX_2013!W58</f>
        <v>5004</v>
      </c>
      <c r="J16" s="4">
        <f>I16</f>
        <v>5004</v>
      </c>
      <c r="K16" s="5"/>
      <c r="L16" s="5"/>
      <c r="M16" s="5"/>
      <c r="O16" s="38"/>
      <c r="P16" s="41"/>
      <c r="Q16" s="30" t="s">
        <v>134</v>
      </c>
      <c r="R16" s="25">
        <f>J18-R13</f>
        <v>9742.2791069226078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ONSV_AUX_2013!W59</f>
        <v>53623</v>
      </c>
      <c r="J17" s="26">
        <f>I17-(L10*I8)</f>
        <v>53619.517421659359</v>
      </c>
      <c r="K17" s="5"/>
      <c r="L17" s="5"/>
      <c r="M17" s="5"/>
      <c r="N17" s="13" t="s">
        <v>141</v>
      </c>
      <c r="O17" s="25">
        <f>I5</f>
        <v>10191</v>
      </c>
      <c r="P17" s="41"/>
      <c r="Q17" s="24"/>
      <c r="R17" s="24"/>
      <c r="S17" s="42"/>
      <c r="T17" s="30" t="s">
        <v>140</v>
      </c>
      <c r="U17" s="33">
        <f>R12</f>
        <v>24071.42734527299</v>
      </c>
      <c r="V17" s="24"/>
      <c r="W17" s="30" t="s">
        <v>151</v>
      </c>
      <c r="X17" s="32">
        <f>I20</f>
        <v>311397</v>
      </c>
    </row>
    <row r="18" spans="8:24" ht="15.75">
      <c r="H18" s="18" t="s">
        <v>108</v>
      </c>
      <c r="I18" s="25">
        <f>ONSV_AUX_2013!W60</f>
        <v>17680</v>
      </c>
      <c r="J18" s="26">
        <f>I18-(L11*I8)</f>
        <v>17678.851761649617</v>
      </c>
      <c r="K18" s="5"/>
      <c r="L18" s="5"/>
      <c r="M18" s="5"/>
      <c r="N18" s="13" t="s">
        <v>144</v>
      </c>
      <c r="O18" s="25">
        <f>I9</f>
        <v>98</v>
      </c>
      <c r="P18" s="41"/>
      <c r="Q18" s="24"/>
      <c r="R18" s="24"/>
      <c r="S18" s="24"/>
      <c r="T18" s="30" t="s">
        <v>152</v>
      </c>
      <c r="U18" s="33">
        <f>I17-J17</f>
        <v>3.4825783406413393</v>
      </c>
      <c r="V18" s="24"/>
      <c r="W18" s="30" t="s">
        <v>153</v>
      </c>
      <c r="X18" s="32">
        <f>I21</f>
        <v>86739</v>
      </c>
    </row>
    <row r="19" spans="8:24" ht="15.75">
      <c r="H19" s="18" t="s">
        <v>109</v>
      </c>
      <c r="I19" s="25">
        <f>ONSV_AUX_2013!W61</f>
        <v>949</v>
      </c>
      <c r="J19" s="4">
        <f>I19</f>
        <v>949</v>
      </c>
      <c r="K19" s="5"/>
      <c r="L19" s="5"/>
      <c r="M19" s="5"/>
      <c r="N19" s="13" t="s">
        <v>137</v>
      </c>
      <c r="O19" s="25">
        <f>IF(OR((O8*I6&gt;J14),((O17+O18+(O8*I6))&gt;J14)),(J14-O17-O18),(O8*I6))</f>
        <v>193631.75538236726</v>
      </c>
      <c r="P19" s="41"/>
      <c r="Q19" s="24"/>
      <c r="R19" s="43"/>
      <c r="S19" s="24"/>
      <c r="T19" s="30" t="s">
        <v>148</v>
      </c>
      <c r="U19" s="37">
        <f>R15</f>
        <v>29548.090076386368</v>
      </c>
      <c r="V19" s="24"/>
      <c r="W19" s="24"/>
      <c r="X19" s="24"/>
    </row>
    <row r="20" spans="8:24" ht="15.75">
      <c r="H20" s="18" t="s">
        <v>110</v>
      </c>
      <c r="I20" s="25">
        <f>ONSV_AUX_2013!W62</f>
        <v>311397</v>
      </c>
      <c r="J20" s="4">
        <f>I20</f>
        <v>311397</v>
      </c>
      <c r="K20" s="5"/>
      <c r="L20" s="5"/>
      <c r="M20" s="5"/>
      <c r="N20" s="13" t="s">
        <v>149</v>
      </c>
      <c r="O20" s="25">
        <f>IF((J14-O17-O19-O18)&lt;0,0,(J14-O17-O19-O18))</f>
        <v>0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ONSV_AUX_2013!W63</f>
        <v>86739</v>
      </c>
      <c r="J21" s="4">
        <f>I21</f>
        <v>86739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712075</v>
      </c>
    </row>
    <row r="22" spans="8:24" ht="15.75">
      <c r="H22" s="18" t="s">
        <v>112</v>
      </c>
      <c r="I22" s="25">
        <f>ONSV_AUX_2013!W64</f>
        <v>4750</v>
      </c>
      <c r="J22" s="4">
        <f>I22</f>
        <v>4750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ONSV_AUX_2013!W65</f>
        <v>1918</v>
      </c>
      <c r="J23" s="26">
        <f>I23-(L12*I8)</f>
        <v>1917.8754343237538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"RORAIMA/"&amp;ONSV_AUX_2013!A1&amp;""</f>
        <v>RORAIMA/2013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ONSV_AUX_2013!X27</f>
        <v>1417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ONSV_AUX_2013!X28</f>
        <v>42266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ONSV_AUX_2013!X29</f>
        <v>12999</v>
      </c>
      <c r="J7" s="3"/>
      <c r="K7" s="1" t="s">
        <v>121</v>
      </c>
      <c r="L7" s="25">
        <f>I14+I17+I18+I23</f>
        <v>73177</v>
      </c>
      <c r="N7" s="13" t="s">
        <v>122</v>
      </c>
      <c r="O7" s="25">
        <f>J14+J23</f>
        <v>52209.295816991682</v>
      </c>
      <c r="P7" s="29"/>
      <c r="Q7" s="30" t="s">
        <v>123</v>
      </c>
      <c r="R7" s="25">
        <f>J17+J18</f>
        <v>20952.704183008322</v>
      </c>
      <c r="S7" s="31"/>
      <c r="T7" s="30" t="s">
        <v>124</v>
      </c>
      <c r="U7" s="32">
        <f>O11</f>
        <v>585.99356568364612</v>
      </c>
      <c r="V7" s="24"/>
      <c r="W7" s="30" t="s">
        <v>125</v>
      </c>
      <c r="X7" s="33">
        <f>R13</f>
        <v>2837.3984826072433</v>
      </c>
    </row>
    <row r="8" spans="1:24" ht="15.75">
      <c r="H8" s="17" t="s">
        <v>101</v>
      </c>
      <c r="I8" s="25">
        <f>ONSV_AUX_2013!X30</f>
        <v>15</v>
      </c>
      <c r="J8" s="3"/>
      <c r="K8" s="12"/>
      <c r="L8" s="27"/>
      <c r="M8" s="7"/>
      <c r="N8" s="13" t="s">
        <v>126</v>
      </c>
      <c r="O8" s="34">
        <f>J14/O7</f>
        <v>0.98613558023745684</v>
      </c>
      <c r="P8" s="29"/>
      <c r="Q8" s="35" t="s">
        <v>127</v>
      </c>
      <c r="R8" s="28">
        <f>J17/R7</f>
        <v>0.62208331345135282</v>
      </c>
      <c r="S8" s="36"/>
      <c r="T8" s="30" t="s">
        <v>128</v>
      </c>
      <c r="U8" s="32">
        <f>I23-J23</f>
        <v>0.14840728644242063</v>
      </c>
      <c r="V8" s="24"/>
      <c r="W8" s="30" t="s">
        <v>129</v>
      </c>
      <c r="X8" s="33">
        <f>I18-J18</f>
        <v>1.623460923514358</v>
      </c>
    </row>
    <row r="9" spans="1:24" ht="15.75">
      <c r="H9" s="17" t="s">
        <v>16</v>
      </c>
      <c r="I9" s="25">
        <f>ONSV_AUX_2013!X31</f>
        <v>28</v>
      </c>
      <c r="J9" s="3"/>
      <c r="K9" s="1" t="s">
        <v>130</v>
      </c>
      <c r="L9" s="28">
        <f>I14/L7</f>
        <v>0.70371838145865506</v>
      </c>
      <c r="M9" s="7"/>
      <c r="N9" s="13" t="s">
        <v>131</v>
      </c>
      <c r="O9" s="34">
        <f>J23/O7</f>
        <v>1.3864419762543087E-2</v>
      </c>
      <c r="P9" s="29"/>
      <c r="Q9" s="35" t="s">
        <v>132</v>
      </c>
      <c r="R9" s="28">
        <f>J18/R7</f>
        <v>0.37791668654864724</v>
      </c>
      <c r="S9" s="36"/>
      <c r="T9" s="30" t="s">
        <v>133</v>
      </c>
      <c r="U9" s="37">
        <f>O13</f>
        <v>137.85802702991145</v>
      </c>
      <c r="V9" s="38"/>
      <c r="W9" s="30" t="s">
        <v>134</v>
      </c>
      <c r="X9" s="37">
        <f>R16</f>
        <v>5080.9780564692428</v>
      </c>
    </row>
    <row r="10" spans="1:24" ht="15.75">
      <c r="H10" s="17" t="s">
        <v>94</v>
      </c>
      <c r="I10" s="25">
        <f>ONSV_AUX_2013!X32</f>
        <v>100000</v>
      </c>
      <c r="J10" s="4"/>
      <c r="K10" s="1" t="s">
        <v>2</v>
      </c>
      <c r="L10" s="28">
        <f>I17/L7</f>
        <v>0.1781570712108996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0.10823072823428126</v>
      </c>
      <c r="M11" s="7"/>
      <c r="N11" s="13" t="s">
        <v>135</v>
      </c>
      <c r="O11" s="25">
        <f>IF(O9*I6&gt;J23,J23,O9*I6)</f>
        <v>585.99356568364612</v>
      </c>
      <c r="P11" s="41"/>
      <c r="Q11" s="30" t="s">
        <v>136</v>
      </c>
      <c r="R11" s="25">
        <f>I7-I15-I16-I19-I22</f>
        <v>7508</v>
      </c>
      <c r="S11" s="42"/>
      <c r="T11" s="30" t="s">
        <v>137</v>
      </c>
      <c r="U11" s="32">
        <f>O19</f>
        <v>41680.006434316354</v>
      </c>
      <c r="V11" s="41"/>
      <c r="W11" s="30" t="s">
        <v>138</v>
      </c>
      <c r="X11" s="32">
        <f>I15</f>
        <v>3671</v>
      </c>
    </row>
    <row r="12" spans="1:24" ht="15.75">
      <c r="H12" s="9" t="s">
        <v>139</v>
      </c>
      <c r="K12" s="1" t="s">
        <v>0</v>
      </c>
      <c r="L12" s="28">
        <f>I23/L7</f>
        <v>9.8938190961640957E-3</v>
      </c>
      <c r="O12" s="24"/>
      <c r="P12" s="41"/>
      <c r="Q12" s="30" t="s">
        <v>140</v>
      </c>
      <c r="R12" s="25">
        <f>R8*R11</f>
        <v>4670.6015173927572</v>
      </c>
      <c r="S12" s="24"/>
      <c r="T12" s="30" t="s">
        <v>141</v>
      </c>
      <c r="U12" s="32">
        <f>O17</f>
        <v>1417</v>
      </c>
      <c r="V12" s="31"/>
      <c r="W12" s="30" t="s">
        <v>142</v>
      </c>
      <c r="X12" s="32">
        <f>I16</f>
        <v>480</v>
      </c>
    </row>
    <row r="13" spans="1:24" ht="15.75">
      <c r="K13" s="5"/>
      <c r="L13" s="5"/>
      <c r="M13" s="5"/>
      <c r="N13" s="13" t="s">
        <v>143</v>
      </c>
      <c r="O13" s="25">
        <f>J23-O11</f>
        <v>137.85802702991145</v>
      </c>
      <c r="P13" s="41"/>
      <c r="Q13" s="30" t="s">
        <v>125</v>
      </c>
      <c r="R13" s="25">
        <f>R9*R11</f>
        <v>2837.3984826072433</v>
      </c>
      <c r="S13" s="24"/>
      <c r="T13" s="30" t="s">
        <v>144</v>
      </c>
      <c r="U13" s="32">
        <f>O18</f>
        <v>28</v>
      </c>
      <c r="V13" s="36"/>
      <c r="W13" s="24"/>
      <c r="X13" s="27"/>
    </row>
    <row r="14" spans="1:24" ht="15.75">
      <c r="H14" s="18" t="s">
        <v>104</v>
      </c>
      <c r="I14" s="25">
        <f>ONSV_AUX_2013!X56</f>
        <v>51496</v>
      </c>
      <c r="J14" s="26">
        <f>I14-(L9*I8)</f>
        <v>51485.444224278122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10.555775721877581</v>
      </c>
      <c r="V14" s="36"/>
      <c r="W14" s="30" t="s">
        <v>146</v>
      </c>
      <c r="X14" s="32">
        <f>I22</f>
        <v>785</v>
      </c>
    </row>
    <row r="15" spans="1:24" ht="15.75">
      <c r="H15" s="18" t="s">
        <v>105</v>
      </c>
      <c r="I15" s="25">
        <f>ONSV_AUX_2013!X57</f>
        <v>3671</v>
      </c>
      <c r="J15" s="4">
        <f>I15</f>
        <v>3671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8363.7261265390789</v>
      </c>
      <c r="S15" s="24"/>
      <c r="T15" s="30" t="s">
        <v>149</v>
      </c>
      <c r="U15" s="37">
        <f>O20</f>
        <v>8360.4377899617684</v>
      </c>
      <c r="V15" s="24"/>
      <c r="W15" s="30" t="s">
        <v>150</v>
      </c>
      <c r="X15" s="32">
        <f>I19</f>
        <v>555</v>
      </c>
    </row>
    <row r="16" spans="1:24" ht="15.75">
      <c r="H16" s="18" t="s">
        <v>106</v>
      </c>
      <c r="I16" s="25">
        <f>ONSV_AUX_2013!X58</f>
        <v>480</v>
      </c>
      <c r="J16" s="4">
        <f>I16</f>
        <v>480</v>
      </c>
      <c r="K16" s="5"/>
      <c r="L16" s="5"/>
      <c r="M16" s="5"/>
      <c r="O16" s="38"/>
      <c r="P16" s="41"/>
      <c r="Q16" s="30" t="s">
        <v>134</v>
      </c>
      <c r="R16" s="25">
        <f>J18-R13</f>
        <v>5080.9780564692428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ONSV_AUX_2013!X59</f>
        <v>13037</v>
      </c>
      <c r="J17" s="26">
        <f>I17-(L10*I8)</f>
        <v>13034.327643931836</v>
      </c>
      <c r="K17" s="5"/>
      <c r="L17" s="5"/>
      <c r="M17" s="5"/>
      <c r="N17" s="13" t="s">
        <v>141</v>
      </c>
      <c r="O17" s="25">
        <f>I5</f>
        <v>1417</v>
      </c>
      <c r="P17" s="41"/>
      <c r="Q17" s="24"/>
      <c r="R17" s="24"/>
      <c r="S17" s="42"/>
      <c r="T17" s="30" t="s">
        <v>140</v>
      </c>
      <c r="U17" s="33">
        <f>R12</f>
        <v>4670.6015173927572</v>
      </c>
      <c r="V17" s="24"/>
      <c r="W17" s="30" t="s">
        <v>151</v>
      </c>
      <c r="X17" s="32">
        <f>I20</f>
        <v>63012</v>
      </c>
    </row>
    <row r="18" spans="8:24" ht="15.75">
      <c r="H18" s="18" t="s">
        <v>108</v>
      </c>
      <c r="I18" s="25">
        <f>ONSV_AUX_2013!X60</f>
        <v>7920</v>
      </c>
      <c r="J18" s="26">
        <f>I18-(L11*I8)</f>
        <v>7918.3765390764856</v>
      </c>
      <c r="K18" s="5"/>
      <c r="L18" s="5"/>
      <c r="M18" s="5"/>
      <c r="N18" s="13" t="s">
        <v>144</v>
      </c>
      <c r="O18" s="25">
        <f>I9</f>
        <v>28</v>
      </c>
      <c r="P18" s="41"/>
      <c r="Q18" s="24"/>
      <c r="R18" s="24"/>
      <c r="S18" s="24"/>
      <c r="T18" s="30" t="s">
        <v>152</v>
      </c>
      <c r="U18" s="33">
        <f>I17-J17</f>
        <v>2.6723560681639356</v>
      </c>
      <c r="V18" s="24"/>
      <c r="W18" s="30" t="s">
        <v>153</v>
      </c>
      <c r="X18" s="32">
        <f>I21</f>
        <v>14787</v>
      </c>
    </row>
    <row r="19" spans="8:24" ht="15.75">
      <c r="H19" s="18" t="s">
        <v>109</v>
      </c>
      <c r="I19" s="25">
        <f>ONSV_AUX_2013!X61</f>
        <v>555</v>
      </c>
      <c r="J19" s="4">
        <f>I19</f>
        <v>555</v>
      </c>
      <c r="K19" s="5"/>
      <c r="L19" s="5"/>
      <c r="M19" s="5"/>
      <c r="N19" s="13" t="s">
        <v>137</v>
      </c>
      <c r="O19" s="25">
        <f>IF(OR((O8*I6&gt;J14),((O17+O18+(O8*I6))&gt;J14)),(J14-O17-O18),(O8*I6))</f>
        <v>41680.006434316354</v>
      </c>
      <c r="P19" s="41"/>
      <c r="Q19" s="24"/>
      <c r="R19" s="43"/>
      <c r="S19" s="24"/>
      <c r="T19" s="30" t="s">
        <v>148</v>
      </c>
      <c r="U19" s="37">
        <f>R15</f>
        <v>8363.7261265390789</v>
      </c>
      <c r="V19" s="24"/>
      <c r="W19" s="24"/>
      <c r="X19" s="24"/>
    </row>
    <row r="20" spans="8:24" ht="15.75">
      <c r="H20" s="18" t="s">
        <v>110</v>
      </c>
      <c r="I20" s="25">
        <f>ONSV_AUX_2013!X62</f>
        <v>63012</v>
      </c>
      <c r="J20" s="4">
        <f>I20</f>
        <v>63012</v>
      </c>
      <c r="K20" s="5"/>
      <c r="L20" s="5"/>
      <c r="M20" s="5"/>
      <c r="N20" s="13" t="s">
        <v>149</v>
      </c>
      <c r="O20" s="25">
        <f>IF((J14-O17-O19-O18)&lt;0,0,(J14-O17-O19-O18))</f>
        <v>8360.4377899617684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ONSV_AUX_2013!X63</f>
        <v>14787</v>
      </c>
      <c r="J21" s="4">
        <f>I21</f>
        <v>14787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156467</v>
      </c>
    </row>
    <row r="22" spans="8:24" ht="15.75">
      <c r="H22" s="18" t="s">
        <v>112</v>
      </c>
      <c r="I22" s="25">
        <f>ONSV_AUX_2013!X64</f>
        <v>785</v>
      </c>
      <c r="J22" s="4">
        <f>I22</f>
        <v>785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ONSV_AUX_2013!X65</f>
        <v>724</v>
      </c>
      <c r="J23" s="26">
        <f>I23-(L12*I8)</f>
        <v>723.85159271355758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"SANTA CATARINA/"&amp;ONSV_AUX_2013!A1&amp;""</f>
        <v>SANTA CATARINA/2013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ONSV_AUX_2013!Y27</f>
        <v>134149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ONSV_AUX_2013!Y28</f>
        <v>1138090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ONSV_AUX_2013!Y29</f>
        <v>323260</v>
      </c>
      <c r="J7" s="3"/>
      <c r="K7" s="1" t="s">
        <v>121</v>
      </c>
      <c r="L7" s="25">
        <f>I14+I17+I18+I23</f>
        <v>2756836</v>
      </c>
      <c r="N7" s="13" t="s">
        <v>122</v>
      </c>
      <c r="O7" s="25">
        <f>J14+J23</f>
        <v>2369094.8279836015</v>
      </c>
      <c r="P7" s="29"/>
      <c r="Q7" s="30" t="s">
        <v>123</v>
      </c>
      <c r="R7" s="25">
        <f>J17+J18</f>
        <v>387664.17201639852</v>
      </c>
      <c r="S7" s="31"/>
      <c r="T7" s="30" t="s">
        <v>124</v>
      </c>
      <c r="U7" s="32">
        <f>O11</f>
        <v>11879.238097368647</v>
      </c>
      <c r="V7" s="24"/>
      <c r="W7" s="30" t="s">
        <v>125</v>
      </c>
      <c r="X7" s="33">
        <f>R13</f>
        <v>57610.481996517694</v>
      </c>
    </row>
    <row r="8" spans="1:24" ht="15.75">
      <c r="H8" s="17" t="s">
        <v>101</v>
      </c>
      <c r="I8" s="25">
        <f>ONSV_AUX_2013!Y30</f>
        <v>77</v>
      </c>
      <c r="J8" s="3"/>
      <c r="K8" s="12"/>
      <c r="L8" s="27"/>
      <c r="M8" s="7"/>
      <c r="N8" s="13" t="s">
        <v>126</v>
      </c>
      <c r="O8" s="34">
        <f>J14/O7</f>
        <v>0.98956212768992902</v>
      </c>
      <c r="P8" s="29"/>
      <c r="Q8" s="35" t="s">
        <v>127</v>
      </c>
      <c r="R8" s="28">
        <f>J17/R7</f>
        <v>0.50332366028245301</v>
      </c>
      <c r="S8" s="36"/>
      <c r="T8" s="30" t="s">
        <v>128</v>
      </c>
      <c r="U8" s="32">
        <f>I23-J23</f>
        <v>0.69069505766674411</v>
      </c>
      <c r="V8" s="24"/>
      <c r="W8" s="30" t="s">
        <v>129</v>
      </c>
      <c r="X8" s="33">
        <f>I18-J18</f>
        <v>5.3780032617214601</v>
      </c>
    </row>
    <row r="9" spans="1:24" ht="15.75">
      <c r="H9" s="17" t="s">
        <v>16</v>
      </c>
      <c r="I9" s="25">
        <f>ONSV_AUX_2013!Y31</f>
        <v>95127</v>
      </c>
      <c r="J9" s="3"/>
      <c r="K9" s="1" t="s">
        <v>130</v>
      </c>
      <c r="L9" s="28">
        <f>I14/L7</f>
        <v>0.8504067706602787</v>
      </c>
      <c r="M9" s="7"/>
      <c r="N9" s="13" t="s">
        <v>131</v>
      </c>
      <c r="O9" s="34">
        <f>J23/O7</f>
        <v>1.0437872310070949E-2</v>
      </c>
      <c r="P9" s="29"/>
      <c r="Q9" s="35" t="s">
        <v>132</v>
      </c>
      <c r="R9" s="28">
        <f>J18/R7</f>
        <v>0.49667633971754688</v>
      </c>
      <c r="S9" s="36"/>
      <c r="T9" s="30" t="s">
        <v>133</v>
      </c>
      <c r="U9" s="37">
        <f>O13</f>
        <v>12849.071207573686</v>
      </c>
      <c r="V9" s="38"/>
      <c r="W9" s="30" t="s">
        <v>134</v>
      </c>
      <c r="X9" s="37">
        <f>R16</f>
        <v>134933.14000022059</v>
      </c>
    </row>
    <row r="10" spans="1:24" ht="15.75">
      <c r="H10" s="17" t="s">
        <v>94</v>
      </c>
      <c r="I10" s="25">
        <f>ONSV_AUX_2013!Y32</f>
        <v>2238057</v>
      </c>
      <c r="J10" s="4"/>
      <c r="K10" s="1" t="s">
        <v>2</v>
      </c>
      <c r="L10" s="28">
        <f>I17/L7</f>
        <v>7.0778965451698983E-2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6.9844198204028096E-2</v>
      </c>
      <c r="M11" s="7"/>
      <c r="N11" s="13" t="s">
        <v>135</v>
      </c>
      <c r="O11" s="25">
        <f>IF(O9*I6&gt;J23,J23,O9*I6)</f>
        <v>11879.238097368647</v>
      </c>
      <c r="P11" s="41"/>
      <c r="Q11" s="30" t="s">
        <v>136</v>
      </c>
      <c r="R11" s="25">
        <f>I7-I15-I16-I19-I22</f>
        <v>115992</v>
      </c>
      <c r="S11" s="42"/>
      <c r="T11" s="30" t="s">
        <v>137</v>
      </c>
      <c r="U11" s="32">
        <f>O19</f>
        <v>1126210.7619026313</v>
      </c>
      <c r="V11" s="41"/>
      <c r="W11" s="30" t="s">
        <v>138</v>
      </c>
      <c r="X11" s="32">
        <f>I15</f>
        <v>134524</v>
      </c>
    </row>
    <row r="12" spans="1:24" ht="15.75">
      <c r="H12" s="9" t="s">
        <v>139</v>
      </c>
      <c r="K12" s="1" t="s">
        <v>0</v>
      </c>
      <c r="L12" s="28">
        <f>I23/L7</f>
        <v>8.9700656839942598E-3</v>
      </c>
      <c r="O12" s="24"/>
      <c r="P12" s="41"/>
      <c r="Q12" s="30" t="s">
        <v>140</v>
      </c>
      <c r="R12" s="25">
        <f>R8*R11</f>
        <v>58381.518003482292</v>
      </c>
      <c r="S12" s="24"/>
      <c r="T12" s="30" t="s">
        <v>141</v>
      </c>
      <c r="U12" s="32">
        <f>O17</f>
        <v>134149</v>
      </c>
      <c r="V12" s="31"/>
      <c r="W12" s="30" t="s">
        <v>142</v>
      </c>
      <c r="X12" s="32">
        <f>I16</f>
        <v>45574</v>
      </c>
    </row>
    <row r="13" spans="1:24" ht="15.75">
      <c r="K13" s="5"/>
      <c r="L13" s="5"/>
      <c r="M13" s="5"/>
      <c r="N13" s="13" t="s">
        <v>143</v>
      </c>
      <c r="O13" s="25">
        <f>J23-O11</f>
        <v>12849.071207573686</v>
      </c>
      <c r="P13" s="41"/>
      <c r="Q13" s="30" t="s">
        <v>125</v>
      </c>
      <c r="R13" s="25">
        <f>R9*R11</f>
        <v>57610.481996517694</v>
      </c>
      <c r="S13" s="24"/>
      <c r="T13" s="30" t="s">
        <v>144</v>
      </c>
      <c r="U13" s="32">
        <f>O18</f>
        <v>95127</v>
      </c>
      <c r="V13" s="36"/>
      <c r="W13" s="24"/>
      <c r="X13" s="27"/>
    </row>
    <row r="14" spans="1:24" ht="15.75">
      <c r="H14" s="18" t="s">
        <v>104</v>
      </c>
      <c r="I14" s="25">
        <f>ONSV_AUX_2013!Y56</f>
        <v>2344432</v>
      </c>
      <c r="J14" s="26">
        <f>I14-(L9*I8)</f>
        <v>2344366.5186786591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65.481321340892464</v>
      </c>
      <c r="V14" s="36"/>
      <c r="W14" s="30" t="s">
        <v>146</v>
      </c>
      <c r="X14" s="32">
        <f>I22</f>
        <v>16818</v>
      </c>
    </row>
    <row r="15" spans="1:24" ht="15.75">
      <c r="H15" s="18" t="s">
        <v>105</v>
      </c>
      <c r="I15" s="25">
        <f>ONSV_AUX_2013!Y57</f>
        <v>134524</v>
      </c>
      <c r="J15" s="4">
        <f>I15</f>
        <v>134524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136739.03201617792</v>
      </c>
      <c r="S15" s="24"/>
      <c r="T15" s="30" t="s">
        <v>149</v>
      </c>
      <c r="U15" s="37">
        <f>O20</f>
        <v>988879.75677602785</v>
      </c>
      <c r="V15" s="24"/>
      <c r="W15" s="30" t="s">
        <v>150</v>
      </c>
      <c r="X15" s="32">
        <f>I19</f>
        <v>10352</v>
      </c>
    </row>
    <row r="16" spans="1:24" ht="15.75">
      <c r="H16" s="18" t="s">
        <v>106</v>
      </c>
      <c r="I16" s="25">
        <f>ONSV_AUX_2013!Y58</f>
        <v>45574</v>
      </c>
      <c r="J16" s="4">
        <f>I16</f>
        <v>45574</v>
      </c>
      <c r="K16" s="5"/>
      <c r="L16" s="5"/>
      <c r="M16" s="5"/>
      <c r="O16" s="38"/>
      <c r="P16" s="41"/>
      <c r="Q16" s="30" t="s">
        <v>134</v>
      </c>
      <c r="R16" s="25">
        <f>J18-R13</f>
        <v>134933.14000022059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ONSV_AUX_2013!Y59</f>
        <v>195126</v>
      </c>
      <c r="J17" s="26">
        <f>I17-(L10*I8)</f>
        <v>195120.55001966021</v>
      </c>
      <c r="K17" s="5"/>
      <c r="L17" s="5"/>
      <c r="M17" s="5"/>
      <c r="N17" s="13" t="s">
        <v>141</v>
      </c>
      <c r="O17" s="25">
        <f>I5</f>
        <v>134149</v>
      </c>
      <c r="P17" s="41"/>
      <c r="Q17" s="24"/>
      <c r="R17" s="24"/>
      <c r="S17" s="42"/>
      <c r="T17" s="30" t="s">
        <v>140</v>
      </c>
      <c r="U17" s="33">
        <f>R12</f>
        <v>58381.518003482292</v>
      </c>
      <c r="V17" s="24"/>
      <c r="W17" s="30" t="s">
        <v>151</v>
      </c>
      <c r="X17" s="32">
        <f>I20</f>
        <v>744040</v>
      </c>
    </row>
    <row r="18" spans="8:24" ht="15.75">
      <c r="H18" s="18" t="s">
        <v>108</v>
      </c>
      <c r="I18" s="25">
        <f>ONSV_AUX_2013!Y60</f>
        <v>192549</v>
      </c>
      <c r="J18" s="26">
        <f>I18-(L11*I8)</f>
        <v>192543.62199673828</v>
      </c>
      <c r="K18" s="5"/>
      <c r="L18" s="5"/>
      <c r="M18" s="5"/>
      <c r="N18" s="13" t="s">
        <v>144</v>
      </c>
      <c r="O18" s="25">
        <f>I9</f>
        <v>95127</v>
      </c>
      <c r="P18" s="41"/>
      <c r="Q18" s="24"/>
      <c r="R18" s="24"/>
      <c r="S18" s="24"/>
      <c r="T18" s="30" t="s">
        <v>152</v>
      </c>
      <c r="U18" s="33">
        <f>I17-J17</f>
        <v>5.4499803397920914</v>
      </c>
      <c r="V18" s="24"/>
      <c r="W18" s="30" t="s">
        <v>153</v>
      </c>
      <c r="X18" s="32">
        <f>I21</f>
        <v>224247</v>
      </c>
    </row>
    <row r="19" spans="8:24" ht="15.75">
      <c r="H19" s="18" t="s">
        <v>109</v>
      </c>
      <c r="I19" s="25">
        <f>ONSV_AUX_2013!Y61</f>
        <v>10352</v>
      </c>
      <c r="J19" s="4">
        <f>I19</f>
        <v>10352</v>
      </c>
      <c r="K19" s="5"/>
      <c r="L19" s="5"/>
      <c r="M19" s="5"/>
      <c r="N19" s="13" t="s">
        <v>137</v>
      </c>
      <c r="O19" s="25">
        <f>IF(OR((O8*I6&gt;J14),((O17+O18+(O8*I6))&gt;J14)),(J14-O17-O18),(O8*I6))</f>
        <v>1126210.7619026313</v>
      </c>
      <c r="P19" s="41"/>
      <c r="Q19" s="24"/>
      <c r="R19" s="43"/>
      <c r="S19" s="24"/>
      <c r="T19" s="30" t="s">
        <v>148</v>
      </c>
      <c r="U19" s="37">
        <f>R15</f>
        <v>136739.03201617792</v>
      </c>
      <c r="V19" s="24"/>
      <c r="W19" s="24"/>
      <c r="X19" s="24"/>
    </row>
    <row r="20" spans="8:24" ht="15.75">
      <c r="H20" s="18" t="s">
        <v>110</v>
      </c>
      <c r="I20" s="25">
        <f>ONSV_AUX_2013!Y62</f>
        <v>744040</v>
      </c>
      <c r="J20" s="4">
        <f>I20</f>
        <v>744040</v>
      </c>
      <c r="K20" s="5"/>
      <c r="L20" s="5"/>
      <c r="M20" s="5"/>
      <c r="N20" s="13" t="s">
        <v>149</v>
      </c>
      <c r="O20" s="25">
        <f>IF((J14-O17-O19-O18)&lt;0,0,(J14-O17-O19-O18))</f>
        <v>988879.75677602785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ONSV_AUX_2013!Y63</f>
        <v>224247</v>
      </c>
      <c r="J21" s="4">
        <f>I21</f>
        <v>224247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3932391</v>
      </c>
    </row>
    <row r="22" spans="8:24" ht="15.75">
      <c r="H22" s="18" t="s">
        <v>112</v>
      </c>
      <c r="I22" s="25">
        <f>ONSV_AUX_2013!Y64</f>
        <v>16818</v>
      </c>
      <c r="J22" s="4">
        <f>I22</f>
        <v>16818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ONSV_AUX_2013!Y65</f>
        <v>24729</v>
      </c>
      <c r="J23" s="26">
        <f>I23-(L12*I8)</f>
        <v>24728.309304942333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"SÃO PAULO/"&amp;ONSV_AUX_2013!A1&amp;""</f>
        <v>SÃO PAULO/2013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ONSV_AUX_2013!Z27</f>
        <v>1841934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ONSV_AUX_2013!Z28</f>
        <v>6724390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ONSV_AUX_2013!Z29</f>
        <v>1469228</v>
      </c>
      <c r="J7" s="3"/>
      <c r="K7" s="1" t="s">
        <v>121</v>
      </c>
      <c r="L7" s="25">
        <f>I14+I17+I18+I23</f>
        <v>17795015</v>
      </c>
      <c r="N7" s="13" t="s">
        <v>122</v>
      </c>
      <c r="O7" s="25">
        <f>J14+J23</f>
        <v>15425872.58796916</v>
      </c>
      <c r="P7" s="29"/>
      <c r="Q7" s="30" t="s">
        <v>123</v>
      </c>
      <c r="R7" s="25">
        <f>J17+J18</f>
        <v>2367627.4120308412</v>
      </c>
      <c r="S7" s="31"/>
      <c r="T7" s="30" t="s">
        <v>124</v>
      </c>
      <c r="U7" s="32">
        <f>O11</f>
        <v>58847.619359097633</v>
      </c>
      <c r="V7" s="24"/>
      <c r="W7" s="30" t="s">
        <v>125</v>
      </c>
      <c r="X7" s="33">
        <f>R13</f>
        <v>220598.87195063496</v>
      </c>
    </row>
    <row r="8" spans="1:24" ht="15.75">
      <c r="H8" s="17" t="s">
        <v>101</v>
      </c>
      <c r="I8" s="25">
        <f>ONSV_AUX_2013!Z30</f>
        <v>1515</v>
      </c>
      <c r="J8" s="3"/>
      <c r="K8" s="12"/>
      <c r="L8" s="27"/>
      <c r="M8" s="7"/>
      <c r="N8" s="13" t="s">
        <v>126</v>
      </c>
      <c r="O8" s="34">
        <f>J14/O7</f>
        <v>0.99124863082612735</v>
      </c>
      <c r="P8" s="29"/>
      <c r="Q8" s="35" t="s">
        <v>127</v>
      </c>
      <c r="R8" s="28">
        <f>J17/R7</f>
        <v>0.50698213426729721</v>
      </c>
      <c r="S8" s="36"/>
      <c r="T8" s="30" t="s">
        <v>128</v>
      </c>
      <c r="U8" s="32">
        <f>I23-J23</f>
        <v>11.494153559295228</v>
      </c>
      <c r="V8" s="24"/>
      <c r="W8" s="30" t="s">
        <v>129</v>
      </c>
      <c r="X8" s="33">
        <f>I18-J18</f>
        <v>99.38647031201981</v>
      </c>
    </row>
    <row r="9" spans="1:24" ht="15.75">
      <c r="H9" s="17" t="s">
        <v>16</v>
      </c>
      <c r="I9" s="25">
        <f>ONSV_AUX_2013!Z31</f>
        <v>294026</v>
      </c>
      <c r="J9" s="3"/>
      <c r="K9" s="1" t="s">
        <v>130</v>
      </c>
      <c r="L9" s="28">
        <f>I14/L7</f>
        <v>0.85935173417948796</v>
      </c>
      <c r="M9" s="7"/>
      <c r="N9" s="13" t="s">
        <v>131</v>
      </c>
      <c r="O9" s="34">
        <f>J23/O7</f>
        <v>8.7513691738726682E-3</v>
      </c>
      <c r="P9" s="29"/>
      <c r="Q9" s="35" t="s">
        <v>132</v>
      </c>
      <c r="R9" s="28">
        <f>J18/R7</f>
        <v>0.49301786573270284</v>
      </c>
      <c r="S9" s="36"/>
      <c r="T9" s="30" t="s">
        <v>133</v>
      </c>
      <c r="U9" s="37">
        <f>O13</f>
        <v>76149.886487343072</v>
      </c>
      <c r="V9" s="38"/>
      <c r="W9" s="30" t="s">
        <v>134</v>
      </c>
      <c r="X9" s="37">
        <f>R16</f>
        <v>946683.74157905299</v>
      </c>
    </row>
    <row r="10" spans="1:24" ht="15.75">
      <c r="H10" s="17" t="s">
        <v>94</v>
      </c>
      <c r="I10" s="25">
        <f>ONSV_AUX_2013!Z32</f>
        <v>13045743</v>
      </c>
      <c r="J10" s="4"/>
      <c r="K10" s="1" t="s">
        <v>2</v>
      </c>
      <c r="L10" s="28">
        <f>I17/L7</f>
        <v>6.7459735212361441E-2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6.5601630569010472E-2</v>
      </c>
      <c r="M11" s="7"/>
      <c r="N11" s="13" t="s">
        <v>135</v>
      </c>
      <c r="O11" s="25">
        <f>IF(O9*I6&gt;J23,J23,O9*I6)</f>
        <v>58847.619359097633</v>
      </c>
      <c r="P11" s="41"/>
      <c r="Q11" s="30" t="s">
        <v>136</v>
      </c>
      <c r="R11" s="25">
        <f>I7-I15-I16-I19-I22</f>
        <v>447446</v>
      </c>
      <c r="S11" s="42"/>
      <c r="T11" s="30" t="s">
        <v>137</v>
      </c>
      <c r="U11" s="32">
        <f>O19</f>
        <v>6665542.3806409026</v>
      </c>
      <c r="V11" s="41"/>
      <c r="W11" s="30" t="s">
        <v>138</v>
      </c>
      <c r="X11" s="32">
        <f>I15</f>
        <v>622054</v>
      </c>
    </row>
    <row r="12" spans="1:24" ht="15.75">
      <c r="H12" s="9" t="s">
        <v>139</v>
      </c>
      <c r="K12" s="1" t="s">
        <v>0</v>
      </c>
      <c r="L12" s="28">
        <f>I23/L7</f>
        <v>7.5869000391401752E-3</v>
      </c>
      <c r="O12" s="24"/>
      <c r="P12" s="41"/>
      <c r="Q12" s="30" t="s">
        <v>140</v>
      </c>
      <c r="R12" s="25">
        <f>R8*R11</f>
        <v>226847.12804936507</v>
      </c>
      <c r="S12" s="24"/>
      <c r="T12" s="30" t="s">
        <v>141</v>
      </c>
      <c r="U12" s="32">
        <f>O17</f>
        <v>1841934</v>
      </c>
      <c r="V12" s="31"/>
      <c r="W12" s="30" t="s">
        <v>142</v>
      </c>
      <c r="X12" s="32">
        <f>I16</f>
        <v>153212</v>
      </c>
    </row>
    <row r="13" spans="1:24" ht="15.75">
      <c r="K13" s="5"/>
      <c r="L13" s="5"/>
      <c r="M13" s="5"/>
      <c r="N13" s="13" t="s">
        <v>143</v>
      </c>
      <c r="O13" s="25">
        <f>J23-O11</f>
        <v>76149.886487343072</v>
      </c>
      <c r="P13" s="41"/>
      <c r="Q13" s="30" t="s">
        <v>125</v>
      </c>
      <c r="R13" s="25">
        <f>R9*R11</f>
        <v>220598.87195063496</v>
      </c>
      <c r="S13" s="24"/>
      <c r="T13" s="30" t="s">
        <v>144</v>
      </c>
      <c r="U13" s="32">
        <f>O18</f>
        <v>294026</v>
      </c>
      <c r="V13" s="36"/>
      <c r="W13" s="24"/>
      <c r="X13" s="27"/>
    </row>
    <row r="14" spans="1:24" ht="15.75">
      <c r="H14" s="18" t="s">
        <v>104</v>
      </c>
      <c r="I14" s="25">
        <f>ONSV_AUX_2013!Z56</f>
        <v>15292177</v>
      </c>
      <c r="J14" s="26">
        <f>I14-(L9*I8)</f>
        <v>15290875.082122719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1301.9178772810847</v>
      </c>
      <c r="V14" s="36"/>
      <c r="W14" s="30" t="s">
        <v>146</v>
      </c>
      <c r="X14" s="32">
        <f>I22</f>
        <v>144628</v>
      </c>
    </row>
    <row r="15" spans="1:24" ht="15.75">
      <c r="H15" s="18" t="s">
        <v>105</v>
      </c>
      <c r="I15" s="25">
        <f>ONSV_AUX_2013!Z57</f>
        <v>622054</v>
      </c>
      <c r="J15" s="4">
        <f>I15</f>
        <v>622054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973497.67045178823</v>
      </c>
      <c r="S15" s="24"/>
      <c r="T15" s="30" t="s">
        <v>149</v>
      </c>
      <c r="U15" s="37">
        <f>O20</f>
        <v>6489372.7014818164</v>
      </c>
      <c r="V15" s="24"/>
      <c r="W15" s="30" t="s">
        <v>150</v>
      </c>
      <c r="X15" s="32">
        <f>I19</f>
        <v>101888</v>
      </c>
    </row>
    <row r="16" spans="1:24" ht="15.75">
      <c r="H16" s="18" t="s">
        <v>106</v>
      </c>
      <c r="I16" s="25">
        <f>ONSV_AUX_2013!Z58</f>
        <v>153212</v>
      </c>
      <c r="J16" s="4">
        <f>I16</f>
        <v>153212</v>
      </c>
      <c r="K16" s="5"/>
      <c r="L16" s="5"/>
      <c r="M16" s="5"/>
      <c r="O16" s="38"/>
      <c r="P16" s="41"/>
      <c r="Q16" s="30" t="s">
        <v>134</v>
      </c>
      <c r="R16" s="25">
        <f>J18-R13</f>
        <v>946683.74157905299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ONSV_AUX_2013!Z59</f>
        <v>1200447</v>
      </c>
      <c r="J17" s="26">
        <f>I17-(L10*I8)</f>
        <v>1200344.7985011532</v>
      </c>
      <c r="K17" s="5"/>
      <c r="L17" s="5"/>
      <c r="M17" s="5"/>
      <c r="N17" s="13" t="s">
        <v>141</v>
      </c>
      <c r="O17" s="25">
        <f>I5</f>
        <v>1841934</v>
      </c>
      <c r="P17" s="41"/>
      <c r="Q17" s="24"/>
      <c r="R17" s="24"/>
      <c r="S17" s="42"/>
      <c r="T17" s="30" t="s">
        <v>140</v>
      </c>
      <c r="U17" s="33">
        <f>R12</f>
        <v>226847.12804936507</v>
      </c>
      <c r="V17" s="24"/>
      <c r="W17" s="30" t="s">
        <v>151</v>
      </c>
      <c r="X17" s="32">
        <f>I20</f>
        <v>3871467</v>
      </c>
    </row>
    <row r="18" spans="8:24" ht="15.75">
      <c r="H18" s="18" t="s">
        <v>108</v>
      </c>
      <c r="I18" s="25">
        <f>ONSV_AUX_2013!Z60</f>
        <v>1167382</v>
      </c>
      <c r="J18" s="26">
        <f>I18-(L11*I8)</f>
        <v>1167282.613529688</v>
      </c>
      <c r="K18" s="5"/>
      <c r="L18" s="5"/>
      <c r="M18" s="5"/>
      <c r="N18" s="13" t="s">
        <v>144</v>
      </c>
      <c r="O18" s="25">
        <f>I9</f>
        <v>294026</v>
      </c>
      <c r="P18" s="41"/>
      <c r="Q18" s="24"/>
      <c r="R18" s="24"/>
      <c r="S18" s="24"/>
      <c r="T18" s="30" t="s">
        <v>152</v>
      </c>
      <c r="U18" s="33">
        <f>I17-J17</f>
        <v>102.20149884675629</v>
      </c>
      <c r="V18" s="24"/>
      <c r="W18" s="30" t="s">
        <v>153</v>
      </c>
      <c r="X18" s="32">
        <f>I21</f>
        <v>671199</v>
      </c>
    </row>
    <row r="19" spans="8:24" ht="15.75">
      <c r="H19" s="18" t="s">
        <v>109</v>
      </c>
      <c r="I19" s="25">
        <f>ONSV_AUX_2013!Z61</f>
        <v>101888</v>
      </c>
      <c r="J19" s="4">
        <f>I19</f>
        <v>101888</v>
      </c>
      <c r="K19" s="5"/>
      <c r="L19" s="5"/>
      <c r="M19" s="5"/>
      <c r="N19" s="13" t="s">
        <v>137</v>
      </c>
      <c r="O19" s="25">
        <f>IF(OR((O8*I6&gt;J14),((O17+O18+(O8*I6))&gt;J14)),(J14-O17-O18),(O8*I6))</f>
        <v>6665542.3806409026</v>
      </c>
      <c r="P19" s="41"/>
      <c r="Q19" s="24"/>
      <c r="R19" s="43"/>
      <c r="S19" s="24"/>
      <c r="T19" s="30" t="s">
        <v>148</v>
      </c>
      <c r="U19" s="37">
        <f>R15</f>
        <v>973497.67045178823</v>
      </c>
      <c r="V19" s="24"/>
      <c r="W19" s="24"/>
      <c r="X19" s="24"/>
    </row>
    <row r="20" spans="8:24" ht="15.75">
      <c r="H20" s="18" t="s">
        <v>110</v>
      </c>
      <c r="I20" s="25">
        <f>ONSV_AUX_2013!Z62</f>
        <v>3871467</v>
      </c>
      <c r="J20" s="4">
        <f>I20</f>
        <v>3871467</v>
      </c>
      <c r="K20" s="5"/>
      <c r="L20" s="5"/>
      <c r="M20" s="5"/>
      <c r="N20" s="13" t="s">
        <v>149</v>
      </c>
      <c r="O20" s="25">
        <f>IF((J14-O17-O19-O18)&lt;0,0,(J14-O17-O19-O18))</f>
        <v>6489372.7014818164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ONSV_AUX_2013!Z63</f>
        <v>671199</v>
      </c>
      <c r="J21" s="4">
        <f>I21</f>
        <v>671199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23359462.999999996</v>
      </c>
    </row>
    <row r="22" spans="8:24" ht="15.75">
      <c r="H22" s="18" t="s">
        <v>112</v>
      </c>
      <c r="I22" s="25">
        <f>ONSV_AUX_2013!Z64</f>
        <v>144628</v>
      </c>
      <c r="J22" s="4">
        <f>I22</f>
        <v>144628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ONSV_AUX_2013!Z65</f>
        <v>135009</v>
      </c>
      <c r="J23" s="26">
        <f>I23-(L12*I8)</f>
        <v>134997.5058464407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X23"/>
  <sheetViews>
    <sheetView showGridLines="0" zoomScale="90" zoomScaleNormal="90" workbookViewId="0">
      <selection activeCell="A2" sqref="A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6" customFormat="1" ht="15.75">
      <c r="A1" s="131" t="str">
        <f>"SERGIPE/"&amp;ONSV_AUX_2013!A1&amp;""</f>
        <v>SERGIPE/2013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ONSV_AUX_2013!AA27</f>
        <v>18365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ONSV_AUX_2013!AA28</f>
        <v>170903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ONSV_AUX_2013!AA29</f>
        <v>42853</v>
      </c>
      <c r="J7" s="3"/>
      <c r="K7" s="1" t="s">
        <v>121</v>
      </c>
      <c r="L7" s="25">
        <f>I14+I17+I18+I23</f>
        <v>295515</v>
      </c>
      <c r="N7" s="13" t="s">
        <v>122</v>
      </c>
      <c r="O7" s="25">
        <f>J14+J23</f>
        <v>255226.68158976702</v>
      </c>
      <c r="P7" s="29"/>
      <c r="Q7" s="30" t="s">
        <v>123</v>
      </c>
      <c r="R7" s="25">
        <f>J17+J18</f>
        <v>40283.318410232983</v>
      </c>
      <c r="S7" s="31"/>
      <c r="T7" s="30" t="s">
        <v>124</v>
      </c>
      <c r="U7" s="32">
        <f>O11</f>
        <v>1796.5401890836145</v>
      </c>
      <c r="V7" s="24"/>
      <c r="W7" s="30" t="s">
        <v>125</v>
      </c>
      <c r="X7" s="33">
        <f>R13</f>
        <v>3504.8412272862674</v>
      </c>
    </row>
    <row r="8" spans="1:24" ht="15.75">
      <c r="H8" s="17" t="s">
        <v>101</v>
      </c>
      <c r="I8" s="25">
        <f>ONSV_AUX_2013!AA30</f>
        <v>5</v>
      </c>
      <c r="J8" s="3"/>
      <c r="K8" s="12"/>
      <c r="L8" s="27"/>
      <c r="M8" s="7"/>
      <c r="N8" s="13" t="s">
        <v>126</v>
      </c>
      <c r="O8" s="34">
        <f>J14/O7</f>
        <v>0.98948795404946888</v>
      </c>
      <c r="P8" s="29"/>
      <c r="Q8" s="35" t="s">
        <v>127</v>
      </c>
      <c r="R8" s="28">
        <f>J17/R7</f>
        <v>0.75295402641247144</v>
      </c>
      <c r="S8" s="36"/>
      <c r="T8" s="30" t="s">
        <v>128</v>
      </c>
      <c r="U8" s="32">
        <f>I23-J23</f>
        <v>4.5395326802463387E-2</v>
      </c>
      <c r="V8" s="24"/>
      <c r="W8" s="30" t="s">
        <v>129</v>
      </c>
      <c r="X8" s="33">
        <f>I18-J18</f>
        <v>0.16838400758024363</v>
      </c>
    </row>
    <row r="9" spans="1:24" ht="15.75">
      <c r="H9" s="17" t="s">
        <v>16</v>
      </c>
      <c r="I9" s="25">
        <f>ONSV_AUX_2013!AA31</f>
        <v>19233</v>
      </c>
      <c r="J9" s="3"/>
      <c r="K9" s="1" t="s">
        <v>130</v>
      </c>
      <c r="L9" s="28">
        <f>I14/L7</f>
        <v>0.85460298123614709</v>
      </c>
      <c r="M9" s="7"/>
      <c r="N9" s="13" t="s">
        <v>131</v>
      </c>
      <c r="O9" s="34">
        <f>J23/O7</f>
        <v>1.0512045950531087E-2</v>
      </c>
      <c r="P9" s="29"/>
      <c r="Q9" s="35" t="s">
        <v>132</v>
      </c>
      <c r="R9" s="28">
        <f>J18/R7</f>
        <v>0.24704597358752853</v>
      </c>
      <c r="S9" s="36"/>
      <c r="T9" s="30" t="s">
        <v>133</v>
      </c>
      <c r="U9" s="37">
        <f>O13</f>
        <v>886.41441558958309</v>
      </c>
      <c r="V9" s="38"/>
      <c r="W9" s="30" t="s">
        <v>134</v>
      </c>
      <c r="X9" s="37">
        <f>R16</f>
        <v>6446.9903887061519</v>
      </c>
    </row>
    <row r="10" spans="1:24" ht="15.75">
      <c r="H10" s="17" t="s">
        <v>94</v>
      </c>
      <c r="I10" s="25">
        <f>ONSV_AUX_2013!AA32</f>
        <v>285713</v>
      </c>
      <c r="J10" s="4"/>
      <c r="K10" s="1" t="s">
        <v>2</v>
      </c>
      <c r="L10" s="28">
        <f>I17/L7</f>
        <v>0.10264115188738304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3.3676801515997494E-2</v>
      </c>
      <c r="M11" s="7"/>
      <c r="N11" s="13" t="s">
        <v>135</v>
      </c>
      <c r="O11" s="25">
        <f>IF(O9*I6&gt;J23,J23,O9*I6)</f>
        <v>1796.5401890836145</v>
      </c>
      <c r="P11" s="41"/>
      <c r="Q11" s="30" t="s">
        <v>136</v>
      </c>
      <c r="R11" s="25">
        <f>I7-I15-I16-I19-I22</f>
        <v>14187</v>
      </c>
      <c r="S11" s="42"/>
      <c r="T11" s="30" t="s">
        <v>137</v>
      </c>
      <c r="U11" s="32">
        <f>O19</f>
        <v>169106.45981091639</v>
      </c>
      <c r="V11" s="41"/>
      <c r="W11" s="30" t="s">
        <v>138</v>
      </c>
      <c r="X11" s="32">
        <f>I15</f>
        <v>18519</v>
      </c>
    </row>
    <row r="12" spans="1:24" ht="15.75">
      <c r="H12" s="9" t="s">
        <v>139</v>
      </c>
      <c r="K12" s="1" t="s">
        <v>0</v>
      </c>
      <c r="L12" s="28">
        <f>I23/L7</f>
        <v>9.0790653604723957E-3</v>
      </c>
      <c r="O12" s="24"/>
      <c r="P12" s="41"/>
      <c r="Q12" s="30" t="s">
        <v>140</v>
      </c>
      <c r="R12" s="25">
        <f>R8*R11</f>
        <v>10682.158772713732</v>
      </c>
      <c r="S12" s="24"/>
      <c r="T12" s="30" t="s">
        <v>141</v>
      </c>
      <c r="U12" s="32">
        <f>O17</f>
        <v>18365</v>
      </c>
      <c r="V12" s="31"/>
      <c r="W12" s="30" t="s">
        <v>142</v>
      </c>
      <c r="X12" s="32">
        <f>I16</f>
        <v>1721</v>
      </c>
    </row>
    <row r="13" spans="1:24" ht="15.75">
      <c r="K13" s="5"/>
      <c r="L13" s="5"/>
      <c r="M13" s="5"/>
      <c r="N13" s="13" t="s">
        <v>143</v>
      </c>
      <c r="O13" s="25">
        <f>J23-O11</f>
        <v>886.41441558958309</v>
      </c>
      <c r="P13" s="41"/>
      <c r="Q13" s="30" t="s">
        <v>125</v>
      </c>
      <c r="R13" s="25">
        <f>R9*R11</f>
        <v>3504.8412272862674</v>
      </c>
      <c r="S13" s="24"/>
      <c r="T13" s="30" t="s">
        <v>144</v>
      </c>
      <c r="U13" s="32">
        <f>O18</f>
        <v>19233</v>
      </c>
      <c r="V13" s="36"/>
      <c r="W13" s="24"/>
      <c r="X13" s="27"/>
    </row>
    <row r="14" spans="1:24" ht="15.75">
      <c r="H14" s="18" t="s">
        <v>104</v>
      </c>
      <c r="I14" s="25">
        <f>ONSV_AUX_2013!AA56</f>
        <v>252548</v>
      </c>
      <c r="J14" s="26">
        <f>I14-(L9*I8)</f>
        <v>252543.72698509382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4.2730149061826523</v>
      </c>
      <c r="V14" s="36"/>
      <c r="W14" s="30" t="s">
        <v>146</v>
      </c>
      <c r="X14" s="32">
        <f>I22</f>
        <v>5398</v>
      </c>
    </row>
    <row r="15" spans="1:24" ht="15.75">
      <c r="H15" s="18" t="s">
        <v>105</v>
      </c>
      <c r="I15" s="25">
        <f>ONSV_AUX_2013!AA57</f>
        <v>18519</v>
      </c>
      <c r="J15" s="4">
        <f>I15</f>
        <v>18519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19649.328021526831</v>
      </c>
      <c r="S15" s="24"/>
      <c r="T15" s="30" t="s">
        <v>149</v>
      </c>
      <c r="U15" s="37">
        <f>O20</f>
        <v>45839.267174177425</v>
      </c>
      <c r="V15" s="24"/>
      <c r="W15" s="30" t="s">
        <v>150</v>
      </c>
      <c r="X15" s="32">
        <f>I19</f>
        <v>3028</v>
      </c>
    </row>
    <row r="16" spans="1:24" ht="15.75">
      <c r="H16" s="18" t="s">
        <v>106</v>
      </c>
      <c r="I16" s="25">
        <f>ONSV_AUX_2013!AA58</f>
        <v>1721</v>
      </c>
      <c r="J16" s="4">
        <f>I16</f>
        <v>1721</v>
      </c>
      <c r="K16" s="5"/>
      <c r="L16" s="5"/>
      <c r="M16" s="5"/>
      <c r="O16" s="38"/>
      <c r="P16" s="41"/>
      <c r="Q16" s="30" t="s">
        <v>134</v>
      </c>
      <c r="R16" s="25">
        <f>J18-R13</f>
        <v>6446.9903887061519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ONSV_AUX_2013!AA59</f>
        <v>30332</v>
      </c>
      <c r="J17" s="26">
        <f>I17-(L10*I8)</f>
        <v>30331.486794240562</v>
      </c>
      <c r="K17" s="5"/>
      <c r="L17" s="5"/>
      <c r="M17" s="5"/>
      <c r="N17" s="13" t="s">
        <v>141</v>
      </c>
      <c r="O17" s="25">
        <f>I5</f>
        <v>18365</v>
      </c>
      <c r="P17" s="41"/>
      <c r="Q17" s="24"/>
      <c r="R17" s="24"/>
      <c r="S17" s="42"/>
      <c r="T17" s="30" t="s">
        <v>140</v>
      </c>
      <c r="U17" s="33">
        <f>R12</f>
        <v>10682.158772713732</v>
      </c>
      <c r="V17" s="24"/>
      <c r="W17" s="30" t="s">
        <v>151</v>
      </c>
      <c r="X17" s="32">
        <f>I20</f>
        <v>182989</v>
      </c>
    </row>
    <row r="18" spans="8:24" ht="15.75">
      <c r="H18" s="18" t="s">
        <v>108</v>
      </c>
      <c r="I18" s="25">
        <f>ONSV_AUX_2013!AA60</f>
        <v>9952</v>
      </c>
      <c r="J18" s="26">
        <f>I18-(L11*I8)</f>
        <v>9951.8316159924198</v>
      </c>
      <c r="K18" s="5"/>
      <c r="L18" s="5"/>
      <c r="M18" s="5"/>
      <c r="N18" s="13" t="s">
        <v>144</v>
      </c>
      <c r="O18" s="25">
        <f>I9</f>
        <v>19233</v>
      </c>
      <c r="P18" s="41"/>
      <c r="Q18" s="24"/>
      <c r="R18" s="24"/>
      <c r="S18" s="24"/>
      <c r="T18" s="30" t="s">
        <v>152</v>
      </c>
      <c r="U18" s="33">
        <f>I17-J17</f>
        <v>0.51320575943827862</v>
      </c>
      <c r="V18" s="24"/>
      <c r="W18" s="30" t="s">
        <v>153</v>
      </c>
      <c r="X18" s="32">
        <f>I21</f>
        <v>31044</v>
      </c>
    </row>
    <row r="19" spans="8:24" ht="15.75">
      <c r="H19" s="18" t="s">
        <v>109</v>
      </c>
      <c r="I19" s="25">
        <f>ONSV_AUX_2013!AA61</f>
        <v>3028</v>
      </c>
      <c r="J19" s="4">
        <f>I19</f>
        <v>3028</v>
      </c>
      <c r="K19" s="5"/>
      <c r="L19" s="5"/>
      <c r="M19" s="5"/>
      <c r="N19" s="13" t="s">
        <v>137</v>
      </c>
      <c r="O19" s="25">
        <f>IF(OR((O8*I6&gt;J14),((O17+O18+(O8*I6))&gt;J14)),(J14-O17-O18),(O8*I6))</f>
        <v>169106.45981091639</v>
      </c>
      <c r="P19" s="41"/>
      <c r="Q19" s="24"/>
      <c r="R19" s="43"/>
      <c r="S19" s="24"/>
      <c r="T19" s="30" t="s">
        <v>148</v>
      </c>
      <c r="U19" s="37">
        <f>R15</f>
        <v>19649.328021526831</v>
      </c>
      <c r="V19" s="24"/>
      <c r="W19" s="24"/>
      <c r="X19" s="24"/>
    </row>
    <row r="20" spans="8:24" ht="15.75">
      <c r="H20" s="18" t="s">
        <v>110</v>
      </c>
      <c r="I20" s="25">
        <f>ONSV_AUX_2013!AA62</f>
        <v>182989</v>
      </c>
      <c r="J20" s="4">
        <f>I20</f>
        <v>182989</v>
      </c>
      <c r="K20" s="5"/>
      <c r="L20" s="5"/>
      <c r="M20" s="5"/>
      <c r="N20" s="13" t="s">
        <v>149</v>
      </c>
      <c r="O20" s="25">
        <f>IF((J14-O17-O19-O18)&lt;0,0,(J14-O17-O19-O18))</f>
        <v>45839.267174177425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ONSV_AUX_2013!AA63</f>
        <v>31044</v>
      </c>
      <c r="J21" s="4">
        <f>I21</f>
        <v>31044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538214</v>
      </c>
    </row>
    <row r="22" spans="8:24" ht="15.75">
      <c r="H22" s="18" t="s">
        <v>112</v>
      </c>
      <c r="I22" s="25">
        <f>ONSV_AUX_2013!AA64</f>
        <v>5398</v>
      </c>
      <c r="J22" s="4">
        <f>I22</f>
        <v>5398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ONSV_AUX_2013!AA65</f>
        <v>2683</v>
      </c>
      <c r="J23" s="26">
        <f>I23-(L12*I8)</f>
        <v>2682.9546046731975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X23"/>
  <sheetViews>
    <sheetView showGridLines="0" zoomScale="90" zoomScaleNormal="90" workbookViewId="0">
      <selection activeCell="F29" sqref="F29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15" customFormat="1" ht="15.75">
      <c r="A1" s="131" t="str">
        <f>"TOCANTINS/"&amp;ONSV_AUX_2013!A1&amp;""</f>
        <v>TOCANTINS/2013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ONSV_AUX_2013!AB27</f>
        <v>10628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ONSV_AUX_2013!AB28</f>
        <v>131088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ONSV_AUX_2013!AB29</f>
        <v>55506</v>
      </c>
      <c r="J7" s="3"/>
      <c r="K7" s="1" t="s">
        <v>121</v>
      </c>
      <c r="L7" s="25">
        <f>I14+I17+I18+I23</f>
        <v>206182</v>
      </c>
      <c r="N7" s="13" t="s">
        <v>122</v>
      </c>
      <c r="O7" s="25">
        <f>J14+J23</f>
        <v>152959.38724039926</v>
      </c>
      <c r="P7" s="29"/>
      <c r="Q7" s="30" t="s">
        <v>123</v>
      </c>
      <c r="R7" s="25">
        <f>J17+J18</f>
        <v>53205.612759600743</v>
      </c>
      <c r="S7" s="31"/>
      <c r="T7" s="30" t="s">
        <v>124</v>
      </c>
      <c r="U7" s="32">
        <f>O11</f>
        <v>1654.7533404806106</v>
      </c>
      <c r="V7" s="24"/>
      <c r="W7" s="30" t="s">
        <v>125</v>
      </c>
      <c r="X7" s="33">
        <f>R13</f>
        <v>8110.8624130802491</v>
      </c>
    </row>
    <row r="8" spans="1:24" ht="15.75">
      <c r="H8" s="17" t="s">
        <v>101</v>
      </c>
      <c r="I8" s="25">
        <f>ONSV_AUX_2013!AB30</f>
        <v>17</v>
      </c>
      <c r="J8" s="3"/>
      <c r="K8" s="12"/>
      <c r="L8" s="27"/>
      <c r="M8" s="7"/>
      <c r="N8" s="13" t="s">
        <v>126</v>
      </c>
      <c r="O8" s="34">
        <f>J14/O7</f>
        <v>0.98737677483461028</v>
      </c>
      <c r="P8" s="29"/>
      <c r="Q8" s="35" t="s">
        <v>127</v>
      </c>
      <c r="R8" s="28">
        <f>J17/R7</f>
        <v>0.68500281901898141</v>
      </c>
      <c r="S8" s="36"/>
      <c r="T8" s="30" t="s">
        <v>128</v>
      </c>
      <c r="U8" s="32">
        <f>I23-J23</f>
        <v>0.15921370439718885</v>
      </c>
      <c r="V8" s="24"/>
      <c r="W8" s="30" t="s">
        <v>129</v>
      </c>
      <c r="X8" s="33">
        <f>I18-J18</f>
        <v>1.3819683580513811</v>
      </c>
    </row>
    <row r="9" spans="1:24" ht="15.75">
      <c r="H9" s="17" t="s">
        <v>16</v>
      </c>
      <c r="I9" s="25">
        <f>ONSV_AUX_2013!AB31</f>
        <v>198</v>
      </c>
      <c r="J9" s="3"/>
      <c r="K9" s="1" t="s">
        <v>130</v>
      </c>
      <c r="L9" s="28">
        <f>I14/L7</f>
        <v>0.73256152331435331</v>
      </c>
      <c r="M9" s="7"/>
      <c r="N9" s="13" t="s">
        <v>131</v>
      </c>
      <c r="O9" s="34">
        <f>J23/O7</f>
        <v>1.2623225165389744E-2</v>
      </c>
      <c r="P9" s="29"/>
      <c r="Q9" s="35" t="s">
        <v>132</v>
      </c>
      <c r="R9" s="28">
        <f>J18/R7</f>
        <v>0.31499718098101864</v>
      </c>
      <c r="S9" s="36"/>
      <c r="T9" s="30" t="s">
        <v>133</v>
      </c>
      <c r="U9" s="37">
        <f>O13</f>
        <v>276.08744581499218</v>
      </c>
      <c r="V9" s="38"/>
      <c r="W9" s="30" t="s">
        <v>134</v>
      </c>
      <c r="X9" s="37">
        <f>R16</f>
        <v>8648.7556185616995</v>
      </c>
    </row>
    <row r="10" spans="1:24" ht="15.75">
      <c r="H10" s="17" t="s">
        <v>94</v>
      </c>
      <c r="I10" s="25">
        <f>ONSV_AUX_2013!AB32</f>
        <v>287495</v>
      </c>
      <c r="J10" s="4"/>
      <c r="K10" s="1" t="s">
        <v>2</v>
      </c>
      <c r="L10" s="28">
        <f>I17/L7</f>
        <v>0.1767807083062537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8.1292256356034959E-2</v>
      </c>
      <c r="M11" s="7"/>
      <c r="N11" s="13" t="s">
        <v>135</v>
      </c>
      <c r="O11" s="25">
        <f>IF(O9*I6&gt;J23,J23,O9*I6)</f>
        <v>1654.7533404806106</v>
      </c>
      <c r="P11" s="41"/>
      <c r="Q11" s="30" t="s">
        <v>136</v>
      </c>
      <c r="R11" s="25">
        <f>I7-I15-I16-I19-I22</f>
        <v>25749</v>
      </c>
      <c r="S11" s="42"/>
      <c r="T11" s="30" t="s">
        <v>137</v>
      </c>
      <c r="U11" s="32">
        <f>O19</f>
        <v>129433.2466595194</v>
      </c>
      <c r="V11" s="41"/>
      <c r="W11" s="30" t="s">
        <v>138</v>
      </c>
      <c r="X11" s="32">
        <f>I15</f>
        <v>20438</v>
      </c>
    </row>
    <row r="12" spans="1:24" ht="15.75">
      <c r="H12" s="9" t="s">
        <v>139</v>
      </c>
      <c r="K12" s="1" t="s">
        <v>0</v>
      </c>
      <c r="L12" s="28">
        <f>I23/L7</f>
        <v>9.3655120233580042E-3</v>
      </c>
      <c r="O12" s="24"/>
      <c r="P12" s="41"/>
      <c r="Q12" s="30" t="s">
        <v>140</v>
      </c>
      <c r="R12" s="25">
        <f>R8*R11</f>
        <v>17638.137586919751</v>
      </c>
      <c r="S12" s="24"/>
      <c r="T12" s="30" t="s">
        <v>141</v>
      </c>
      <c r="U12" s="32">
        <f>O17</f>
        <v>10628</v>
      </c>
      <c r="V12" s="31"/>
      <c r="W12" s="30" t="s">
        <v>142</v>
      </c>
      <c r="X12" s="32">
        <f>I16</f>
        <v>3672</v>
      </c>
    </row>
    <row r="13" spans="1:24" ht="15.75">
      <c r="K13" s="5"/>
      <c r="L13" s="5"/>
      <c r="M13" s="5"/>
      <c r="N13" s="13" t="s">
        <v>143</v>
      </c>
      <c r="O13" s="25">
        <f>J23-O11</f>
        <v>276.08744581499218</v>
      </c>
      <c r="P13" s="41"/>
      <c r="Q13" s="30" t="s">
        <v>125</v>
      </c>
      <c r="R13" s="25">
        <f>R9*R11</f>
        <v>8110.8624130802491</v>
      </c>
      <c r="S13" s="24"/>
      <c r="T13" s="30" t="s">
        <v>144</v>
      </c>
      <c r="U13" s="32">
        <f>O18</f>
        <v>198</v>
      </c>
      <c r="V13" s="36"/>
      <c r="W13" s="24"/>
      <c r="X13" s="27"/>
    </row>
    <row r="14" spans="1:24" ht="15.75">
      <c r="H14" s="18" t="s">
        <v>104</v>
      </c>
      <c r="I14" s="25">
        <f>ONSV_AUX_2013!AB56</f>
        <v>151041</v>
      </c>
      <c r="J14" s="26">
        <f>I14-(L9*I8)</f>
        <v>151028.54645410366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12.453545896336436</v>
      </c>
      <c r="V14" s="36"/>
      <c r="W14" s="30" t="s">
        <v>146</v>
      </c>
      <c r="X14" s="32">
        <f>I22</f>
        <v>4312</v>
      </c>
    </row>
    <row r="15" spans="1:24" ht="15.75">
      <c r="H15" s="18" t="s">
        <v>105</v>
      </c>
      <c r="I15" s="25">
        <f>ONSV_AUX_2013!AB57</f>
        <v>20438</v>
      </c>
      <c r="J15" s="4">
        <f>I15</f>
        <v>20438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18807.857141039043</v>
      </c>
      <c r="S15" s="24"/>
      <c r="T15" s="30" t="s">
        <v>149</v>
      </c>
      <c r="U15" s="37">
        <f>O20</f>
        <v>10769.299794584265</v>
      </c>
      <c r="V15" s="24"/>
      <c r="W15" s="30" t="s">
        <v>150</v>
      </c>
      <c r="X15" s="32">
        <f>I19</f>
        <v>1335</v>
      </c>
    </row>
    <row r="16" spans="1:24" ht="15.75">
      <c r="H16" s="18" t="s">
        <v>106</v>
      </c>
      <c r="I16" s="25">
        <f>ONSV_AUX_2013!AB58</f>
        <v>3672</v>
      </c>
      <c r="J16" s="4">
        <f>I16</f>
        <v>3672</v>
      </c>
      <c r="K16" s="5"/>
      <c r="L16" s="5"/>
      <c r="M16" s="5"/>
      <c r="O16" s="38"/>
      <c r="P16" s="41"/>
      <c r="Q16" s="30" t="s">
        <v>134</v>
      </c>
      <c r="R16" s="25">
        <f>J18-R13</f>
        <v>8648.7556185616995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ONSV_AUX_2013!AB59</f>
        <v>36449</v>
      </c>
      <c r="J17" s="26">
        <f>I17-(L10*I8)</f>
        <v>36445.994727958794</v>
      </c>
      <c r="K17" s="5"/>
      <c r="L17" s="5"/>
      <c r="M17" s="5"/>
      <c r="N17" s="13" t="s">
        <v>141</v>
      </c>
      <c r="O17" s="25">
        <f>I5</f>
        <v>10628</v>
      </c>
      <c r="P17" s="41"/>
      <c r="Q17" s="24"/>
      <c r="R17" s="24"/>
      <c r="S17" s="42"/>
      <c r="T17" s="30" t="s">
        <v>140</v>
      </c>
      <c r="U17" s="33">
        <f>R12</f>
        <v>17638.137586919751</v>
      </c>
      <c r="V17" s="24"/>
      <c r="W17" s="30" t="s">
        <v>151</v>
      </c>
      <c r="X17" s="32">
        <f>I20</f>
        <v>177796</v>
      </c>
    </row>
    <row r="18" spans="8:24" ht="15.75">
      <c r="H18" s="18" t="s">
        <v>108</v>
      </c>
      <c r="I18" s="25">
        <f>ONSV_AUX_2013!AB60</f>
        <v>16761</v>
      </c>
      <c r="J18" s="26">
        <f>I18-(L11*I8)</f>
        <v>16759.618031641949</v>
      </c>
      <c r="K18" s="5"/>
      <c r="L18" s="5"/>
      <c r="M18" s="5"/>
      <c r="N18" s="13" t="s">
        <v>144</v>
      </c>
      <c r="O18" s="25">
        <f>I9</f>
        <v>198</v>
      </c>
      <c r="P18" s="41"/>
      <c r="Q18" s="24"/>
      <c r="R18" s="24"/>
      <c r="S18" s="24"/>
      <c r="T18" s="30" t="s">
        <v>152</v>
      </c>
      <c r="U18" s="33">
        <f>I17-J17</f>
        <v>3.0052720412058989</v>
      </c>
      <c r="V18" s="24"/>
      <c r="W18" s="30" t="s">
        <v>153</v>
      </c>
      <c r="X18" s="32">
        <f>I21</f>
        <v>70922</v>
      </c>
    </row>
    <row r="19" spans="8:24" ht="15.75">
      <c r="H19" s="18" t="s">
        <v>109</v>
      </c>
      <c r="I19" s="25">
        <f>ONSV_AUX_2013!AB61</f>
        <v>1335</v>
      </c>
      <c r="J19" s="4">
        <f>I19</f>
        <v>1335</v>
      </c>
      <c r="K19" s="5"/>
      <c r="L19" s="5"/>
      <c r="M19" s="5"/>
      <c r="N19" s="13" t="s">
        <v>137</v>
      </c>
      <c r="O19" s="25">
        <f>IF(OR((O8*I6&gt;J14),((O17+O18+(O8*I6))&gt;J14)),(J14-O17-O18),(O8*I6))</f>
        <v>129433.2466595194</v>
      </c>
      <c r="P19" s="41"/>
      <c r="Q19" s="24"/>
      <c r="R19" s="43"/>
      <c r="S19" s="24"/>
      <c r="T19" s="30" t="s">
        <v>148</v>
      </c>
      <c r="U19" s="37">
        <f>R15</f>
        <v>18807.857141039043</v>
      </c>
      <c r="V19" s="24"/>
      <c r="W19" s="24"/>
      <c r="X19" s="24"/>
    </row>
    <row r="20" spans="8:24" ht="15.75">
      <c r="H20" s="18" t="s">
        <v>110</v>
      </c>
      <c r="I20" s="25">
        <f>ONSV_AUX_2013!AB62</f>
        <v>177796</v>
      </c>
      <c r="J20" s="4">
        <f>I20</f>
        <v>177796</v>
      </c>
      <c r="K20" s="5"/>
      <c r="L20" s="5"/>
      <c r="M20" s="5"/>
      <c r="N20" s="13" t="s">
        <v>149</v>
      </c>
      <c r="O20" s="25">
        <f>IF((J14-O17-O19-O18)&lt;0,0,(J14-O17-O19-O18))</f>
        <v>10769.299794584265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ONSV_AUX_2013!AB63</f>
        <v>70922</v>
      </c>
      <c r="J21" s="4">
        <f>I21</f>
        <v>70922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484657</v>
      </c>
    </row>
    <row r="22" spans="8:24" ht="15.75">
      <c r="H22" s="18" t="s">
        <v>112</v>
      </c>
      <c r="I22" s="25">
        <f>ONSV_AUX_2013!AB64</f>
        <v>4312</v>
      </c>
      <c r="J22" s="4">
        <f>I22</f>
        <v>4312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ONSV_AUX_2013!AB65</f>
        <v>1931</v>
      </c>
      <c r="J23" s="26">
        <f>I23-(L12*I8)</f>
        <v>1930.8407862956028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Y23"/>
  <sheetViews>
    <sheetView showGridLines="0" tabSelected="1" zoomScale="90" zoomScaleNormal="90" workbookViewId="0">
      <selection activeCell="I14" sqref="I14"/>
    </sheetView>
  </sheetViews>
  <sheetFormatPr defaultRowHeight="14.25"/>
  <cols>
    <col min="1" max="1" width="9.140625" style="52"/>
    <col min="2" max="2" width="6.42578125" style="52" customWidth="1"/>
    <col min="3" max="3" width="20.140625" style="52" bestFit="1" customWidth="1"/>
    <col min="4" max="4" width="9.140625" style="52"/>
    <col min="5" max="5" width="17.28515625" style="52" customWidth="1"/>
    <col min="6" max="6" width="9.140625" style="52"/>
    <col min="7" max="7" width="13.7109375" style="52" customWidth="1"/>
    <col min="8" max="8" width="22.7109375" style="52" customWidth="1"/>
    <col min="9" max="9" width="9.140625" style="52"/>
    <col min="10" max="10" width="12.5703125" style="52" customWidth="1"/>
    <col min="11" max="11" width="18.5703125" style="52" customWidth="1"/>
    <col min="12" max="12" width="13.85546875" style="52" customWidth="1"/>
    <col min="13" max="13" width="9.140625" style="52"/>
    <col min="14" max="14" width="26.28515625" style="52" customWidth="1"/>
    <col min="15" max="15" width="10.42578125" style="52" customWidth="1"/>
    <col min="16" max="16" width="9.140625" style="52"/>
    <col min="17" max="17" width="29.140625" style="52" customWidth="1"/>
    <col min="18" max="18" width="11.28515625" style="52" customWidth="1"/>
    <col min="19" max="19" width="13.28515625" style="52" customWidth="1"/>
    <col min="20" max="20" width="24.5703125" style="52" customWidth="1"/>
    <col min="21" max="21" width="10.85546875" style="52" customWidth="1"/>
    <col min="22" max="22" width="2.7109375" style="52" customWidth="1"/>
    <col min="23" max="23" width="25.7109375" style="52" customWidth="1"/>
    <col min="24" max="24" width="9.5703125" style="52" customWidth="1"/>
    <col min="25" max="16384" width="9.140625" style="52"/>
  </cols>
  <sheetData>
    <row r="1" spans="1:25" s="84" customFormat="1" ht="15.75">
      <c r="A1" s="129" t="str">
        <f>"ACRE/"&amp;ONSV_AUX_2013!A1&amp;""</f>
        <v>ACRE/2013</v>
      </c>
      <c r="B1" s="130"/>
      <c r="C1" s="130"/>
      <c r="D1" s="130"/>
      <c r="E1" s="130"/>
      <c r="F1" s="130"/>
    </row>
    <row r="2" spans="1:25"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25" ht="15.75">
      <c r="H3" s="86" t="s">
        <v>116</v>
      </c>
      <c r="N3" s="87"/>
      <c r="O3" s="87"/>
      <c r="P3" s="88"/>
      <c r="Q3" s="87"/>
      <c r="R3" s="87"/>
      <c r="S3" s="87"/>
      <c r="T3" s="89"/>
      <c r="U3" s="89"/>
      <c r="V3" s="89"/>
      <c r="W3" s="89"/>
      <c r="X3" s="89"/>
    </row>
    <row r="4" spans="1:25" ht="15.75">
      <c r="J4" s="88"/>
      <c r="M4" s="89"/>
      <c r="N4" s="88"/>
      <c r="O4" s="88"/>
      <c r="P4" s="88"/>
      <c r="Q4" s="90"/>
      <c r="R4" s="90"/>
      <c r="S4" s="90"/>
    </row>
    <row r="5" spans="1:25" ht="15.75">
      <c r="H5" s="47" t="s">
        <v>81</v>
      </c>
      <c r="I5" s="48">
        <f>ONSV_AUX_2013!B27</f>
        <v>3610</v>
      </c>
      <c r="J5" s="88"/>
      <c r="K5" s="128" t="s">
        <v>117</v>
      </c>
      <c r="L5" s="128"/>
      <c r="M5" s="88"/>
      <c r="N5" s="128" t="s">
        <v>118</v>
      </c>
      <c r="O5" s="128"/>
      <c r="Q5" s="87" t="s">
        <v>119</v>
      </c>
      <c r="R5" s="87"/>
      <c r="S5" s="87"/>
      <c r="T5" s="128" t="s">
        <v>120</v>
      </c>
      <c r="U5" s="128"/>
      <c r="V5" s="128"/>
      <c r="W5" s="128"/>
      <c r="X5" s="128"/>
    </row>
    <row r="6" spans="1:25" ht="15.75">
      <c r="H6" s="47" t="s">
        <v>84</v>
      </c>
      <c r="I6" s="48">
        <f>ONSV_AUX_2013!B28</f>
        <v>52022</v>
      </c>
      <c r="J6" s="88"/>
      <c r="K6" s="88"/>
      <c r="L6" s="88"/>
      <c r="M6" s="88"/>
      <c r="N6" s="88"/>
      <c r="O6" s="88"/>
      <c r="P6" s="91"/>
      <c r="Q6" s="90"/>
      <c r="R6" s="90"/>
      <c r="S6" s="90"/>
    </row>
    <row r="7" spans="1:25" ht="15.75">
      <c r="H7" s="47" t="s">
        <v>85</v>
      </c>
      <c r="I7" s="48">
        <f>ONSV_AUX_2013!B29</f>
        <v>19142</v>
      </c>
      <c r="J7" s="88"/>
      <c r="K7" s="92" t="s">
        <v>121</v>
      </c>
      <c r="L7" s="48">
        <f>I14+I17+I18+I23</f>
        <v>87424</v>
      </c>
      <c r="N7" s="93" t="s">
        <v>122</v>
      </c>
      <c r="O7" s="48">
        <f>J14+J23</f>
        <v>65612.743331350663</v>
      </c>
      <c r="P7" s="94"/>
      <c r="Q7" s="95" t="s">
        <v>123</v>
      </c>
      <c r="R7" s="48">
        <f>J17+J18</f>
        <v>21800.256668649341</v>
      </c>
      <c r="S7" s="96"/>
      <c r="T7" s="95" t="s">
        <v>124</v>
      </c>
      <c r="U7" s="97">
        <f>O11</f>
        <v>617.56355434997931</v>
      </c>
      <c r="V7" s="61"/>
      <c r="W7" s="95" t="s">
        <v>125</v>
      </c>
      <c r="X7" s="98">
        <f>R13</f>
        <v>3164.6550474705314</v>
      </c>
    </row>
    <row r="8" spans="1:25" ht="15.75">
      <c r="H8" s="47" t="s">
        <v>101</v>
      </c>
      <c r="I8" s="48">
        <f>ONSV_AUX_2013!B30</f>
        <v>11</v>
      </c>
      <c r="J8" s="88"/>
      <c r="K8" s="99"/>
      <c r="L8" s="100"/>
      <c r="M8" s="91"/>
      <c r="N8" s="93" t="s">
        <v>126</v>
      </c>
      <c r="O8" s="101">
        <f>J14/O7</f>
        <v>0.98812880023163308</v>
      </c>
      <c r="P8" s="94"/>
      <c r="Q8" s="102" t="s">
        <v>127</v>
      </c>
      <c r="R8" s="103">
        <f>J17/R7</f>
        <v>0.72283630693023893</v>
      </c>
      <c r="S8" s="104"/>
      <c r="T8" s="95" t="s">
        <v>128</v>
      </c>
      <c r="U8" s="97">
        <f>I23-J23</f>
        <v>9.8016562957582209E-2</v>
      </c>
      <c r="V8" s="61"/>
      <c r="W8" s="95" t="s">
        <v>129</v>
      </c>
      <c r="X8" s="98">
        <f>I18-J18</f>
        <v>0.76035184846296033</v>
      </c>
    </row>
    <row r="9" spans="1:25" ht="15.75">
      <c r="H9" s="47" t="s">
        <v>16</v>
      </c>
      <c r="I9" s="48">
        <f>ONSV_AUX_2013!B31</f>
        <v>8</v>
      </c>
      <c r="J9" s="88"/>
      <c r="K9" s="92" t="s">
        <v>130</v>
      </c>
      <c r="L9" s="103">
        <f>I14/L7</f>
        <v>0.7416956442166911</v>
      </c>
      <c r="M9" s="91"/>
      <c r="N9" s="93" t="s">
        <v>131</v>
      </c>
      <c r="O9" s="101">
        <f>J23/O7</f>
        <v>1.1871199768366833E-2</v>
      </c>
      <c r="P9" s="94"/>
      <c r="Q9" s="102" t="s">
        <v>132</v>
      </c>
      <c r="R9" s="103">
        <f>J18/R7</f>
        <v>0.27716369306976102</v>
      </c>
      <c r="S9" s="104"/>
      <c r="T9" s="95" t="s">
        <v>133</v>
      </c>
      <c r="U9" s="105">
        <f>O13</f>
        <v>161.3384290870631</v>
      </c>
      <c r="V9" s="106"/>
      <c r="W9" s="95" t="s">
        <v>134</v>
      </c>
      <c r="X9" s="105">
        <f>R16</f>
        <v>2877.5846006810057</v>
      </c>
    </row>
    <row r="10" spans="1:25" ht="15.75">
      <c r="H10" s="47" t="s">
        <v>94</v>
      </c>
      <c r="I10" s="48">
        <f>ONSV_AUX_2013!B32</f>
        <v>119231</v>
      </c>
      <c r="J10" s="51"/>
      <c r="K10" s="92" t="s">
        <v>2</v>
      </c>
      <c r="L10" s="103">
        <f>I17/L7</f>
        <v>0.18027086383601756</v>
      </c>
      <c r="M10" s="91"/>
      <c r="N10" s="91"/>
      <c r="O10" s="107"/>
      <c r="P10" s="61"/>
      <c r="Q10" s="61"/>
      <c r="R10" s="61"/>
      <c r="S10" s="61"/>
      <c r="T10" s="61"/>
      <c r="U10" s="100"/>
      <c r="V10" s="108"/>
      <c r="W10" s="61"/>
      <c r="X10" s="100"/>
    </row>
    <row r="11" spans="1:25" ht="15">
      <c r="K11" s="92" t="s">
        <v>3</v>
      </c>
      <c r="L11" s="103">
        <f>I18/L7</f>
        <v>6.91228953147877E-2</v>
      </c>
      <c r="M11" s="91"/>
      <c r="N11" s="93" t="s">
        <v>135</v>
      </c>
      <c r="O11" s="48">
        <f>IF(O9*I6&gt;J23,J23,O9*I6)</f>
        <v>617.56355434997931</v>
      </c>
      <c r="P11" s="109"/>
      <c r="Q11" s="95" t="s">
        <v>136</v>
      </c>
      <c r="R11" s="48">
        <f>I7-I15-I16-I19-I22</f>
        <v>11418</v>
      </c>
      <c r="S11" s="110"/>
      <c r="T11" s="95" t="s">
        <v>137</v>
      </c>
      <c r="U11" s="97">
        <f>O19</f>
        <v>51404.436445650019</v>
      </c>
      <c r="V11" s="109"/>
      <c r="W11" s="95" t="s">
        <v>138</v>
      </c>
      <c r="X11" s="97">
        <f>I15</f>
        <v>6108</v>
      </c>
    </row>
    <row r="12" spans="1:25" ht="15.75">
      <c r="H12" s="111" t="s">
        <v>139</v>
      </c>
      <c r="K12" s="92" t="s">
        <v>0</v>
      </c>
      <c r="L12" s="103">
        <f>I23/L7</f>
        <v>8.9105966325036604E-3</v>
      </c>
      <c r="O12" s="61"/>
      <c r="P12" s="109"/>
      <c r="Q12" s="95" t="s">
        <v>140</v>
      </c>
      <c r="R12" s="48">
        <f>R8*R11</f>
        <v>8253.3449525294673</v>
      </c>
      <c r="S12" s="61"/>
      <c r="T12" s="95" t="s">
        <v>141</v>
      </c>
      <c r="U12" s="97">
        <f>O17</f>
        <v>3610</v>
      </c>
      <c r="V12" s="96"/>
      <c r="W12" s="95" t="s">
        <v>142</v>
      </c>
      <c r="X12" s="97">
        <f>I16</f>
        <v>548</v>
      </c>
    </row>
    <row r="13" spans="1:25" ht="15">
      <c r="K13" s="90"/>
      <c r="L13" s="90"/>
      <c r="M13" s="90"/>
      <c r="N13" s="93" t="s">
        <v>143</v>
      </c>
      <c r="O13" s="48">
        <f>J23-O11</f>
        <v>161.3384290870631</v>
      </c>
      <c r="P13" s="109"/>
      <c r="Q13" s="95" t="s">
        <v>125</v>
      </c>
      <c r="R13" s="48">
        <f>R9*R11</f>
        <v>3164.6550474705314</v>
      </c>
      <c r="S13" s="61"/>
      <c r="T13" s="95" t="s">
        <v>144</v>
      </c>
      <c r="U13" s="97">
        <f>O18</f>
        <v>8</v>
      </c>
      <c r="V13" s="104"/>
      <c r="W13" s="61"/>
      <c r="X13" s="100"/>
    </row>
    <row r="14" spans="1:25" ht="15.75">
      <c r="H14" s="49" t="s">
        <v>104</v>
      </c>
      <c r="I14" s="48">
        <f>ONSV_AUX_2013!B56</f>
        <v>64842</v>
      </c>
      <c r="J14" s="48">
        <f>I14-(L9*I8)</f>
        <v>64833.841347913614</v>
      </c>
      <c r="K14" s="90"/>
      <c r="L14" s="90"/>
      <c r="M14" s="90"/>
      <c r="O14" s="109"/>
      <c r="P14" s="109"/>
      <c r="Q14" s="61"/>
      <c r="R14" s="112"/>
      <c r="S14" s="61"/>
      <c r="T14" s="95" t="s">
        <v>145</v>
      </c>
      <c r="U14" s="98">
        <f>I14-J14</f>
        <v>8.1586520863857004</v>
      </c>
      <c r="V14" s="104"/>
      <c r="W14" s="95" t="s">
        <v>146</v>
      </c>
      <c r="X14" s="97">
        <f>I22</f>
        <v>798</v>
      </c>
    </row>
    <row r="15" spans="1:25" ht="15.75">
      <c r="H15" s="49" t="s">
        <v>105</v>
      </c>
      <c r="I15" s="48">
        <f>ONSV_AUX_2013!B57</f>
        <v>6108</v>
      </c>
      <c r="J15" s="51">
        <f>I15</f>
        <v>6108</v>
      </c>
      <c r="K15" s="90"/>
      <c r="L15" s="90"/>
      <c r="M15" s="90"/>
      <c r="N15" s="128" t="s">
        <v>147</v>
      </c>
      <c r="O15" s="128"/>
      <c r="P15" s="109"/>
      <c r="Q15" s="95" t="s">
        <v>148</v>
      </c>
      <c r="R15" s="48">
        <f>J17-R12</f>
        <v>7504.6720679683367</v>
      </c>
      <c r="S15" s="61"/>
      <c r="T15" s="95" t="s">
        <v>149</v>
      </c>
      <c r="U15" s="105">
        <f>O20</f>
        <v>9811.4049022635954</v>
      </c>
      <c r="V15" s="61"/>
      <c r="W15" s="95" t="s">
        <v>150</v>
      </c>
      <c r="X15" s="97">
        <f>I19</f>
        <v>270</v>
      </c>
    </row>
    <row r="16" spans="1:25" ht="15.75">
      <c r="H16" s="49" t="s">
        <v>106</v>
      </c>
      <c r="I16" s="48">
        <f>ONSV_AUX_2013!B58</f>
        <v>548</v>
      </c>
      <c r="J16" s="51">
        <f>I16</f>
        <v>548</v>
      </c>
      <c r="K16" s="90"/>
      <c r="L16" s="90"/>
      <c r="M16" s="90"/>
      <c r="O16" s="106"/>
      <c r="P16" s="109"/>
      <c r="Q16" s="95" t="s">
        <v>134</v>
      </c>
      <c r="R16" s="48">
        <f>J18-R13</f>
        <v>2877.5846006810057</v>
      </c>
      <c r="S16" s="61"/>
      <c r="T16" s="61"/>
      <c r="U16" s="100"/>
      <c r="V16" s="110"/>
      <c r="W16" s="61"/>
      <c r="X16" s="100"/>
    </row>
    <row r="17" spans="8:24" ht="15.75">
      <c r="H17" s="49" t="s">
        <v>107</v>
      </c>
      <c r="I17" s="48">
        <f>ONSV_AUX_2013!B59</f>
        <v>15760</v>
      </c>
      <c r="J17" s="48">
        <f>I17-(L10*I8)</f>
        <v>15758.017020497804</v>
      </c>
      <c r="K17" s="90"/>
      <c r="L17" s="90"/>
      <c r="M17" s="90"/>
      <c r="N17" s="93" t="s">
        <v>141</v>
      </c>
      <c r="O17" s="48">
        <f>I5</f>
        <v>3610</v>
      </c>
      <c r="P17" s="109"/>
      <c r="Q17" s="61"/>
      <c r="R17" s="61"/>
      <c r="S17" s="110"/>
      <c r="T17" s="95" t="s">
        <v>140</v>
      </c>
      <c r="U17" s="98">
        <f>R12</f>
        <v>8253.3449525294673</v>
      </c>
      <c r="V17" s="61"/>
      <c r="W17" s="95" t="s">
        <v>151</v>
      </c>
      <c r="X17" s="97">
        <f>I20</f>
        <v>83285</v>
      </c>
    </row>
    <row r="18" spans="8:24" ht="15.75">
      <c r="H18" s="49" t="s">
        <v>108</v>
      </c>
      <c r="I18" s="48">
        <f>ONSV_AUX_2013!B60</f>
        <v>6043</v>
      </c>
      <c r="J18" s="48">
        <f>I18-(L11*I8)</f>
        <v>6042.239648151537</v>
      </c>
      <c r="K18" s="90"/>
      <c r="L18" s="90"/>
      <c r="M18" s="90"/>
      <c r="N18" s="93" t="s">
        <v>144</v>
      </c>
      <c r="O18" s="48">
        <f>I9</f>
        <v>8</v>
      </c>
      <c r="P18" s="109"/>
      <c r="Q18" s="61"/>
      <c r="R18" s="61"/>
      <c r="S18" s="61"/>
      <c r="T18" s="95" t="s">
        <v>152</v>
      </c>
      <c r="U18" s="98">
        <f>I17-J17</f>
        <v>1.9829795021960308</v>
      </c>
      <c r="V18" s="61"/>
      <c r="W18" s="95" t="s">
        <v>153</v>
      </c>
      <c r="X18" s="97">
        <f>I21</f>
        <v>15846</v>
      </c>
    </row>
    <row r="19" spans="8:24" ht="15.75">
      <c r="H19" s="49" t="s">
        <v>109</v>
      </c>
      <c r="I19" s="48">
        <f>ONSV_AUX_2013!B61</f>
        <v>270</v>
      </c>
      <c r="J19" s="51">
        <f>I19</f>
        <v>270</v>
      </c>
      <c r="K19" s="90"/>
      <c r="L19" s="90"/>
      <c r="M19" s="90"/>
      <c r="N19" s="93" t="s">
        <v>137</v>
      </c>
      <c r="O19" s="48">
        <f>IF(OR((O8*I6&gt;J14),((O17+O18+(O8*I6))&gt;J14)),(J14-O17-O18),(O8*I6))</f>
        <v>51404.436445650019</v>
      </c>
      <c r="P19" s="109"/>
      <c r="Q19" s="61"/>
      <c r="R19" s="112"/>
      <c r="S19" s="61"/>
      <c r="T19" s="95" t="s">
        <v>148</v>
      </c>
      <c r="U19" s="105">
        <f>R15</f>
        <v>7504.6720679683367</v>
      </c>
      <c r="V19" s="61"/>
      <c r="W19" s="61"/>
      <c r="X19" s="61"/>
    </row>
    <row r="20" spans="8:24" ht="15.75">
      <c r="H20" s="49" t="s">
        <v>110</v>
      </c>
      <c r="I20" s="48">
        <f>ONSV_AUX_2013!B62</f>
        <v>83285</v>
      </c>
      <c r="J20" s="51">
        <f t="shared" ref="J20:J22" si="0">I20</f>
        <v>83285</v>
      </c>
      <c r="K20" s="90"/>
      <c r="L20" s="90"/>
      <c r="M20" s="90"/>
      <c r="N20" s="93" t="s">
        <v>149</v>
      </c>
      <c r="O20" s="48">
        <f>IF((J14-O17-O19-O18)&lt;0,0,(J14-O17-O19-O18))</f>
        <v>9811.4049022635954</v>
      </c>
      <c r="P20" s="61"/>
      <c r="Q20" s="61"/>
      <c r="R20" s="61"/>
      <c r="S20" s="61"/>
      <c r="T20" s="61"/>
      <c r="U20" s="100"/>
      <c r="V20" s="61"/>
      <c r="W20" s="61"/>
      <c r="X20" s="61"/>
    </row>
    <row r="21" spans="8:24" ht="15.75">
      <c r="H21" s="49" t="s">
        <v>111</v>
      </c>
      <c r="I21" s="48">
        <f>ONSV_AUX_2013!B63</f>
        <v>15846</v>
      </c>
      <c r="J21" s="51">
        <f t="shared" si="0"/>
        <v>15846</v>
      </c>
      <c r="K21" s="90"/>
      <c r="L21" s="90"/>
      <c r="M21" s="90"/>
      <c r="O21" s="61"/>
      <c r="P21" s="109"/>
      <c r="Q21" s="61"/>
      <c r="R21" s="61"/>
      <c r="S21" s="61"/>
      <c r="T21" s="113" t="s">
        <v>154</v>
      </c>
      <c r="U21" s="114">
        <f>(SUM(U7:U19,X7:X18)/SUM(I14:I23))-1</f>
        <v>0</v>
      </c>
      <c r="V21" s="61"/>
      <c r="W21" s="113" t="s">
        <v>10</v>
      </c>
      <c r="X21" s="97">
        <f>SUM(U7:U19,X7:X18)</f>
        <v>194279</v>
      </c>
    </row>
    <row r="22" spans="8:24" ht="15.75">
      <c r="H22" s="49" t="s">
        <v>112</v>
      </c>
      <c r="I22" s="48">
        <f>ONSV_AUX_2013!B64</f>
        <v>798</v>
      </c>
      <c r="J22" s="51">
        <f t="shared" si="0"/>
        <v>798</v>
      </c>
      <c r="K22" s="90"/>
      <c r="L22" s="90"/>
      <c r="M22" s="90"/>
      <c r="O22" s="61"/>
      <c r="P22" s="109"/>
      <c r="Q22" s="61"/>
      <c r="R22" s="61"/>
      <c r="S22" s="61"/>
      <c r="T22" s="61"/>
      <c r="U22" s="61"/>
      <c r="V22" s="61"/>
      <c r="W22" s="61"/>
      <c r="X22" s="61"/>
    </row>
    <row r="23" spans="8:24" ht="15.75">
      <c r="H23" s="49" t="s">
        <v>113</v>
      </c>
      <c r="I23" s="48">
        <f>ONSV_AUX_2013!B65</f>
        <v>779</v>
      </c>
      <c r="J23" s="48">
        <f>I23-(L12*I8)</f>
        <v>778.90198343704242</v>
      </c>
      <c r="K23" s="74"/>
      <c r="L23" s="74"/>
      <c r="M23" s="74"/>
      <c r="N23" s="74"/>
      <c r="O23" s="74"/>
      <c r="P23" s="74"/>
      <c r="Q23" s="85"/>
      <c r="R23" s="85"/>
    </row>
  </sheetData>
  <mergeCells count="5">
    <mergeCell ref="K5:L5"/>
    <mergeCell ref="A1:F1"/>
    <mergeCell ref="N5:O5"/>
    <mergeCell ref="N15:O15"/>
    <mergeCell ref="T5:X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Y23"/>
  <sheetViews>
    <sheetView showGridLines="0" zoomScale="90" zoomScaleNormal="90" workbookViewId="0">
      <selection activeCell="I14" sqref="I14"/>
    </sheetView>
  </sheetViews>
  <sheetFormatPr defaultColWidth="12.28515625" defaultRowHeight="14.25"/>
  <cols>
    <col min="1" max="7" width="12.28515625" style="52"/>
    <col min="8" max="8" width="23.7109375" style="52" customWidth="1"/>
    <col min="9" max="9" width="12.28515625" style="52"/>
    <col min="10" max="10" width="20.140625" style="52" customWidth="1"/>
    <col min="11" max="11" width="19.5703125" style="52" customWidth="1"/>
    <col min="12" max="13" width="12.28515625" style="52"/>
    <col min="14" max="14" width="26" style="52" bestFit="1" customWidth="1"/>
    <col min="15" max="16" width="12.28515625" style="52"/>
    <col min="17" max="17" width="32.85546875" style="52" customWidth="1"/>
    <col min="18" max="19" width="12.28515625" style="52"/>
    <col min="20" max="20" width="25.85546875" style="52" bestFit="1" customWidth="1"/>
    <col min="21" max="22" width="12.28515625" style="52"/>
    <col min="23" max="23" width="26.85546875" style="52" bestFit="1" customWidth="1"/>
    <col min="24" max="16384" width="12.28515625" style="52"/>
  </cols>
  <sheetData>
    <row r="1" spans="1:25" s="84" customFormat="1" ht="15.75">
      <c r="A1" s="129" t="str">
        <f>"ALAGOAS/"&amp;ONSV_AUX_2013!A1&amp;""</f>
        <v>ALAGOAS/2013</v>
      </c>
      <c r="B1" s="130"/>
      <c r="C1" s="130"/>
      <c r="D1" s="130"/>
      <c r="E1" s="130"/>
      <c r="F1" s="130"/>
    </row>
    <row r="2" spans="1:25"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25" ht="15.75">
      <c r="H3" s="86" t="s">
        <v>116</v>
      </c>
      <c r="N3" s="87"/>
      <c r="O3" s="87"/>
      <c r="P3" s="88"/>
      <c r="Q3" s="87"/>
      <c r="R3" s="87"/>
      <c r="S3" s="87"/>
      <c r="T3" s="89"/>
      <c r="U3" s="89"/>
      <c r="V3" s="89"/>
      <c r="W3" s="89"/>
      <c r="X3" s="89"/>
    </row>
    <row r="4" spans="1:25" ht="15.75">
      <c r="J4" s="88"/>
      <c r="M4" s="89"/>
      <c r="N4" s="88"/>
      <c r="O4" s="88"/>
      <c r="P4" s="88"/>
      <c r="Q4" s="90"/>
      <c r="R4" s="90"/>
      <c r="S4" s="90"/>
    </row>
    <row r="5" spans="1:25" ht="15.75">
      <c r="H5" s="47" t="s">
        <v>81</v>
      </c>
      <c r="I5" s="48">
        <f>ONSV_AUX_2013!C27</f>
        <v>23813</v>
      </c>
      <c r="J5" s="88"/>
      <c r="K5" s="128" t="s">
        <v>117</v>
      </c>
      <c r="L5" s="128"/>
      <c r="M5" s="88"/>
      <c r="N5" s="128" t="s">
        <v>118</v>
      </c>
      <c r="O5" s="128"/>
      <c r="Q5" s="87" t="s">
        <v>119</v>
      </c>
      <c r="R5" s="87"/>
      <c r="S5" s="87"/>
      <c r="T5" s="128" t="s">
        <v>120</v>
      </c>
      <c r="U5" s="128"/>
      <c r="V5" s="128"/>
      <c r="W5" s="128"/>
      <c r="X5" s="128"/>
    </row>
    <row r="6" spans="1:25" ht="15.75">
      <c r="H6" s="47" t="s">
        <v>84</v>
      </c>
      <c r="I6" s="48">
        <f>ONSV_AUX_2013!C28</f>
        <v>195092</v>
      </c>
      <c r="J6" s="88"/>
      <c r="K6" s="88"/>
      <c r="L6" s="88"/>
      <c r="M6" s="88"/>
      <c r="N6" s="88"/>
      <c r="O6" s="88"/>
      <c r="P6" s="91"/>
      <c r="Q6" s="90"/>
      <c r="R6" s="90"/>
      <c r="S6" s="90"/>
    </row>
    <row r="7" spans="1:25" ht="15.75">
      <c r="H7" s="47" t="s">
        <v>85</v>
      </c>
      <c r="I7" s="48">
        <f>ONSV_AUX_2013!C29</f>
        <v>51113</v>
      </c>
      <c r="J7" s="88"/>
      <c r="K7" s="92" t="s">
        <v>121</v>
      </c>
      <c r="L7" s="48">
        <f>I14+I17+I18+I23</f>
        <v>323075</v>
      </c>
      <c r="N7" s="93" t="s">
        <v>122</v>
      </c>
      <c r="O7" s="48">
        <f>J14+J23</f>
        <v>269596</v>
      </c>
      <c r="P7" s="94"/>
      <c r="Q7" s="95" t="s">
        <v>123</v>
      </c>
      <c r="R7" s="48">
        <f>J17+J18</f>
        <v>53479</v>
      </c>
      <c r="S7" s="96"/>
      <c r="T7" s="95" t="s">
        <v>124</v>
      </c>
      <c r="U7" s="97">
        <f>O11</f>
        <v>2338.0994228401014</v>
      </c>
      <c r="V7" s="61"/>
      <c r="W7" s="95" t="s">
        <v>125</v>
      </c>
      <c r="X7" s="98">
        <f>R13</f>
        <v>7670.5051328558875</v>
      </c>
    </row>
    <row r="8" spans="1:25" ht="15.75">
      <c r="H8" s="47" t="s">
        <v>101</v>
      </c>
      <c r="I8" s="48">
        <f>ONSV_AUX_2013!C30</f>
        <v>0</v>
      </c>
      <c r="J8" s="88"/>
      <c r="K8" s="99"/>
      <c r="L8" s="100"/>
      <c r="M8" s="91"/>
      <c r="N8" s="93" t="s">
        <v>126</v>
      </c>
      <c r="O8" s="101">
        <f>J14/O7</f>
        <v>0.9880154008219707</v>
      </c>
      <c r="P8" s="94"/>
      <c r="Q8" s="102" t="s">
        <v>127</v>
      </c>
      <c r="R8" s="103">
        <f>J17/R7</f>
        <v>0.60960376970399599</v>
      </c>
      <c r="S8" s="104"/>
      <c r="T8" s="95" t="s">
        <v>128</v>
      </c>
      <c r="U8" s="97">
        <f>I23-J23</f>
        <v>0</v>
      </c>
      <c r="V8" s="61"/>
      <c r="W8" s="95" t="s">
        <v>129</v>
      </c>
      <c r="X8" s="98">
        <f>I18-J18</f>
        <v>0</v>
      </c>
    </row>
    <row r="9" spans="1:25" ht="15.75">
      <c r="H9" s="47" t="s">
        <v>16</v>
      </c>
      <c r="I9" s="48">
        <f>ONSV_AUX_2013!C31</f>
        <v>18130</v>
      </c>
      <c r="J9" s="88"/>
      <c r="K9" s="92" t="s">
        <v>130</v>
      </c>
      <c r="L9" s="103">
        <f>I14/L7</f>
        <v>0.82446800278573085</v>
      </c>
      <c r="M9" s="91"/>
      <c r="N9" s="93" t="s">
        <v>131</v>
      </c>
      <c r="O9" s="101">
        <f>J23/O7</f>
        <v>1.1984599178029347E-2</v>
      </c>
      <c r="P9" s="94"/>
      <c r="Q9" s="102" t="s">
        <v>132</v>
      </c>
      <c r="R9" s="103">
        <f>J18/R7</f>
        <v>0.39039623029600407</v>
      </c>
      <c r="S9" s="104"/>
      <c r="T9" s="95" t="s">
        <v>133</v>
      </c>
      <c r="U9" s="105">
        <f>O13</f>
        <v>892.9005771598986</v>
      </c>
      <c r="V9" s="106"/>
      <c r="W9" s="95" t="s">
        <v>134</v>
      </c>
      <c r="X9" s="105">
        <f>R16</f>
        <v>13207.494867144113</v>
      </c>
    </row>
    <row r="10" spans="1:25" ht="15.75">
      <c r="H10" s="47" t="s">
        <v>94</v>
      </c>
      <c r="I10" s="48">
        <f>ONSV_AUX_2013!C32</f>
        <v>279698</v>
      </c>
      <c r="J10" s="51"/>
      <c r="K10" s="92" t="s">
        <v>2</v>
      </c>
      <c r="L10" s="103">
        <f>I17/L7</f>
        <v>0.10090845778843922</v>
      </c>
      <c r="M10" s="91"/>
      <c r="N10" s="91"/>
      <c r="O10" s="107"/>
      <c r="P10" s="61"/>
      <c r="Q10" s="61"/>
      <c r="R10" s="61"/>
      <c r="S10" s="61"/>
      <c r="T10" s="61"/>
      <c r="U10" s="100"/>
      <c r="V10" s="108"/>
      <c r="W10" s="61"/>
      <c r="X10" s="100"/>
    </row>
    <row r="11" spans="1:25" ht="15">
      <c r="K11" s="92" t="s">
        <v>3</v>
      </c>
      <c r="L11" s="103">
        <f>I18/L7</f>
        <v>6.4622765611700064E-2</v>
      </c>
      <c r="M11" s="91"/>
      <c r="N11" s="93" t="s">
        <v>135</v>
      </c>
      <c r="O11" s="48">
        <f>IF(O9*I6&gt;J23,J23,O9*I6)</f>
        <v>2338.0994228401014</v>
      </c>
      <c r="P11" s="109"/>
      <c r="Q11" s="95" t="s">
        <v>136</v>
      </c>
      <c r="R11" s="48">
        <f>I7-I15-I16-I19-I22</f>
        <v>19648</v>
      </c>
      <c r="S11" s="110"/>
      <c r="T11" s="95" t="s">
        <v>137</v>
      </c>
      <c r="U11" s="97">
        <f>O19</f>
        <v>192753.90057715992</v>
      </c>
      <c r="V11" s="109"/>
      <c r="W11" s="95" t="s">
        <v>138</v>
      </c>
      <c r="X11" s="97">
        <f>I15</f>
        <v>18251</v>
      </c>
    </row>
    <row r="12" spans="1:25" ht="15.75">
      <c r="H12" s="111" t="s">
        <v>139</v>
      </c>
      <c r="K12" s="92" t="s">
        <v>0</v>
      </c>
      <c r="L12" s="103">
        <f>I23/L7</f>
        <v>1.0000773814129846E-2</v>
      </c>
      <c r="O12" s="61"/>
      <c r="P12" s="109"/>
      <c r="Q12" s="95" t="s">
        <v>140</v>
      </c>
      <c r="R12" s="48">
        <f>R8*R11</f>
        <v>11977.494867144113</v>
      </c>
      <c r="S12" s="61"/>
      <c r="T12" s="95" t="s">
        <v>141</v>
      </c>
      <c r="U12" s="97">
        <f>O17</f>
        <v>23813</v>
      </c>
      <c r="V12" s="96"/>
      <c r="W12" s="95" t="s">
        <v>142</v>
      </c>
      <c r="X12" s="97">
        <f>I16</f>
        <v>2034</v>
      </c>
    </row>
    <row r="13" spans="1:25" ht="15">
      <c r="K13" s="90"/>
      <c r="L13" s="90"/>
      <c r="M13" s="90"/>
      <c r="N13" s="93" t="s">
        <v>143</v>
      </c>
      <c r="O13" s="48">
        <f>J23-O11</f>
        <v>892.9005771598986</v>
      </c>
      <c r="P13" s="109"/>
      <c r="Q13" s="95" t="s">
        <v>125</v>
      </c>
      <c r="R13" s="48">
        <f>R9*R11</f>
        <v>7670.5051328558875</v>
      </c>
      <c r="S13" s="61"/>
      <c r="T13" s="95" t="s">
        <v>144</v>
      </c>
      <c r="U13" s="97">
        <f>O18</f>
        <v>18130</v>
      </c>
      <c r="V13" s="104"/>
      <c r="W13" s="61"/>
      <c r="X13" s="100"/>
    </row>
    <row r="14" spans="1:25" ht="15.75">
      <c r="H14" s="49" t="s">
        <v>104</v>
      </c>
      <c r="I14" s="48">
        <f>ONSV_AUX_2013!C56</f>
        <v>266365</v>
      </c>
      <c r="J14" s="50">
        <f>I14-(L9*I8)</f>
        <v>266365</v>
      </c>
      <c r="K14" s="90"/>
      <c r="L14" s="90"/>
      <c r="M14" s="90"/>
      <c r="O14" s="109"/>
      <c r="P14" s="109"/>
      <c r="Q14" s="61"/>
      <c r="R14" s="112"/>
      <c r="S14" s="61"/>
      <c r="T14" s="95" t="s">
        <v>145</v>
      </c>
      <c r="U14" s="98">
        <f>I14-J14</f>
        <v>0</v>
      </c>
      <c r="V14" s="104"/>
      <c r="W14" s="95" t="s">
        <v>146</v>
      </c>
      <c r="X14" s="97">
        <f>I22</f>
        <v>5916</v>
      </c>
    </row>
    <row r="15" spans="1:25" ht="15.75">
      <c r="H15" s="49" t="s">
        <v>105</v>
      </c>
      <c r="I15" s="48">
        <f>ONSV_AUX_2013!C57</f>
        <v>18251</v>
      </c>
      <c r="J15" s="51">
        <f>I15</f>
        <v>18251</v>
      </c>
      <c r="K15" s="90"/>
      <c r="L15" s="90"/>
      <c r="M15" s="90"/>
      <c r="N15" s="128" t="s">
        <v>147</v>
      </c>
      <c r="O15" s="128"/>
      <c r="P15" s="109"/>
      <c r="Q15" s="95" t="s">
        <v>148</v>
      </c>
      <c r="R15" s="48">
        <f>J17-R12</f>
        <v>20623.505132855887</v>
      </c>
      <c r="S15" s="61"/>
      <c r="T15" s="95" t="s">
        <v>149</v>
      </c>
      <c r="U15" s="105">
        <f>O20</f>
        <v>31668.099422840081</v>
      </c>
      <c r="V15" s="61"/>
      <c r="W15" s="95" t="s">
        <v>150</v>
      </c>
      <c r="X15" s="97">
        <f>I19</f>
        <v>5264</v>
      </c>
    </row>
    <row r="16" spans="1:25" ht="15.75">
      <c r="H16" s="49" t="s">
        <v>106</v>
      </c>
      <c r="I16" s="48">
        <f>ONSV_AUX_2013!C58</f>
        <v>2034</v>
      </c>
      <c r="J16" s="51">
        <f>I16</f>
        <v>2034</v>
      </c>
      <c r="K16" s="90"/>
      <c r="L16" s="90"/>
      <c r="M16" s="90"/>
      <c r="O16" s="106"/>
      <c r="P16" s="109"/>
      <c r="Q16" s="95" t="s">
        <v>134</v>
      </c>
      <c r="R16" s="48">
        <f>J18-R13</f>
        <v>13207.494867144113</v>
      </c>
      <c r="S16" s="61"/>
      <c r="T16" s="61"/>
      <c r="U16" s="100"/>
      <c r="V16" s="110"/>
      <c r="W16" s="61"/>
      <c r="X16" s="100"/>
    </row>
    <row r="17" spans="8:24" ht="15.75">
      <c r="H17" s="49" t="s">
        <v>107</v>
      </c>
      <c r="I17" s="48">
        <f>ONSV_AUX_2013!C59</f>
        <v>32601</v>
      </c>
      <c r="J17" s="50">
        <f>I17-(L10*I8)</f>
        <v>32601</v>
      </c>
      <c r="K17" s="90"/>
      <c r="L17" s="90"/>
      <c r="M17" s="90"/>
      <c r="N17" s="93" t="s">
        <v>141</v>
      </c>
      <c r="O17" s="48">
        <f>I5</f>
        <v>23813</v>
      </c>
      <c r="P17" s="109"/>
      <c r="Q17" s="61"/>
      <c r="R17" s="61"/>
      <c r="S17" s="110"/>
      <c r="T17" s="95" t="s">
        <v>140</v>
      </c>
      <c r="U17" s="98">
        <f>R12</f>
        <v>11977.494867144113</v>
      </c>
      <c r="V17" s="61"/>
      <c r="W17" s="95" t="s">
        <v>151</v>
      </c>
      <c r="X17" s="97">
        <f>I20</f>
        <v>187254</v>
      </c>
    </row>
    <row r="18" spans="8:24" ht="15.75">
      <c r="H18" s="49" t="s">
        <v>108</v>
      </c>
      <c r="I18" s="48">
        <f>ONSV_AUX_2013!C60</f>
        <v>20878</v>
      </c>
      <c r="J18" s="50">
        <f>I18-(L11*I8)</f>
        <v>20878</v>
      </c>
      <c r="K18" s="90"/>
      <c r="L18" s="90"/>
      <c r="M18" s="90"/>
      <c r="N18" s="93" t="s">
        <v>144</v>
      </c>
      <c r="O18" s="48">
        <f>I9</f>
        <v>18130</v>
      </c>
      <c r="P18" s="109"/>
      <c r="Q18" s="61"/>
      <c r="R18" s="61"/>
      <c r="S18" s="61"/>
      <c r="T18" s="95" t="s">
        <v>152</v>
      </c>
      <c r="U18" s="98">
        <f>I17-J17</f>
        <v>0</v>
      </c>
      <c r="V18" s="61"/>
      <c r="W18" s="95" t="s">
        <v>153</v>
      </c>
      <c r="X18" s="97">
        <f>I21</f>
        <v>27678</v>
      </c>
    </row>
    <row r="19" spans="8:24" ht="15.75">
      <c r="H19" s="49" t="s">
        <v>109</v>
      </c>
      <c r="I19" s="48">
        <f>ONSV_AUX_2013!C61</f>
        <v>5264</v>
      </c>
      <c r="J19" s="51">
        <f>I19</f>
        <v>5264</v>
      </c>
      <c r="K19" s="90"/>
      <c r="L19" s="90"/>
      <c r="M19" s="90"/>
      <c r="N19" s="93" t="s">
        <v>137</v>
      </c>
      <c r="O19" s="48">
        <f>IF(OR((O8*I6&gt;J14),((O17+O18+(O8*I6))&gt;J14)),(J14-O17-O18),(O8*I6))</f>
        <v>192753.90057715992</v>
      </c>
      <c r="P19" s="109"/>
      <c r="Q19" s="61"/>
      <c r="R19" s="112"/>
      <c r="S19" s="61"/>
      <c r="T19" s="95" t="s">
        <v>148</v>
      </c>
      <c r="U19" s="105">
        <f>R15</f>
        <v>20623.505132855887</v>
      </c>
      <c r="V19" s="61"/>
      <c r="W19" s="61"/>
      <c r="X19" s="61"/>
    </row>
    <row r="20" spans="8:24" ht="15.75">
      <c r="H20" s="49" t="s">
        <v>110</v>
      </c>
      <c r="I20" s="48">
        <f>ONSV_AUX_2013!C62</f>
        <v>187254</v>
      </c>
      <c r="J20" s="51">
        <f t="shared" ref="J20:J22" si="0">I20</f>
        <v>187254</v>
      </c>
      <c r="K20" s="90"/>
      <c r="L20" s="90"/>
      <c r="M20" s="90"/>
      <c r="N20" s="93" t="s">
        <v>149</v>
      </c>
      <c r="O20" s="48">
        <f>IF((J14-O17-O19-O18)&lt;0,0,(J14-O17-O19-O18))</f>
        <v>31668.099422840081</v>
      </c>
      <c r="P20" s="61"/>
      <c r="Q20" s="61"/>
      <c r="R20" s="61"/>
      <c r="S20" s="61"/>
      <c r="T20" s="61"/>
      <c r="U20" s="100"/>
      <c r="V20" s="61"/>
      <c r="W20" s="61"/>
      <c r="X20" s="61"/>
    </row>
    <row r="21" spans="8:24" ht="15.75">
      <c r="H21" s="49" t="s">
        <v>111</v>
      </c>
      <c r="I21" s="48">
        <f>ONSV_AUX_2013!C63</f>
        <v>27678</v>
      </c>
      <c r="J21" s="51">
        <f t="shared" si="0"/>
        <v>27678</v>
      </c>
      <c r="K21" s="90"/>
      <c r="L21" s="90"/>
      <c r="M21" s="90"/>
      <c r="O21" s="61"/>
      <c r="P21" s="109"/>
      <c r="Q21" s="61"/>
      <c r="R21" s="61"/>
      <c r="S21" s="61"/>
      <c r="T21" s="113" t="s">
        <v>154</v>
      </c>
      <c r="U21" s="114">
        <f>(SUM(U7:U19,X7:X18)/SUM(I14:I23))-1</f>
        <v>0</v>
      </c>
      <c r="V21" s="61"/>
      <c r="W21" s="113" t="s">
        <v>10</v>
      </c>
      <c r="X21" s="97">
        <f>SUM(U7:U19,X7:X18)</f>
        <v>569472</v>
      </c>
    </row>
    <row r="22" spans="8:24" ht="15.75">
      <c r="H22" s="49" t="s">
        <v>112</v>
      </c>
      <c r="I22" s="48">
        <f>ONSV_AUX_2013!C64</f>
        <v>5916</v>
      </c>
      <c r="J22" s="51">
        <f t="shared" si="0"/>
        <v>5916</v>
      </c>
      <c r="K22" s="90"/>
      <c r="L22" s="90"/>
      <c r="M22" s="90"/>
      <c r="O22" s="61"/>
      <c r="P22" s="109"/>
      <c r="Q22" s="61"/>
      <c r="R22" s="61"/>
      <c r="S22" s="61"/>
      <c r="T22" s="61"/>
      <c r="U22" s="61"/>
      <c r="V22" s="61"/>
      <c r="W22" s="61"/>
      <c r="X22" s="61"/>
    </row>
    <row r="23" spans="8:24" ht="15.75">
      <c r="H23" s="49" t="s">
        <v>113</v>
      </c>
      <c r="I23" s="48">
        <f>ONSV_AUX_2013!C65</f>
        <v>3231</v>
      </c>
      <c r="J23" s="50">
        <f>I23-(L12*I8)</f>
        <v>3231</v>
      </c>
      <c r="K23" s="74"/>
      <c r="L23" s="74"/>
      <c r="M23" s="74"/>
      <c r="N23" s="74"/>
      <c r="O23" s="74"/>
      <c r="P23" s="74"/>
      <c r="Q23" s="85"/>
      <c r="R23" s="85"/>
    </row>
  </sheetData>
  <mergeCells count="5">
    <mergeCell ref="A1:F1"/>
    <mergeCell ref="K5:L5"/>
    <mergeCell ref="T5:X5"/>
    <mergeCell ref="N5:O5"/>
    <mergeCell ref="N15:O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X23"/>
  <sheetViews>
    <sheetView showGridLines="0" topLeftCell="G1" zoomScale="90" zoomScaleNormal="90" workbookViewId="0">
      <selection activeCell="I14" sqref="I1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14" customFormat="1" ht="15.75">
      <c r="A1" s="131" t="str">
        <f>"AMAPÁ/"&amp;ONSV_AUX_2013!A1&amp;""</f>
        <v>AMAPÁ/2013</v>
      </c>
      <c r="B1" s="132"/>
      <c r="C1" s="132"/>
      <c r="D1" s="132"/>
      <c r="E1" s="132"/>
      <c r="F1" s="132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ONSV_AUX_2013!D27</f>
        <v>1418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33" t="s">
        <v>120</v>
      </c>
      <c r="U5" s="133"/>
      <c r="V5" s="133"/>
      <c r="W5" s="133"/>
      <c r="X5" s="133"/>
    </row>
    <row r="6" spans="1:24" ht="15.75">
      <c r="H6" s="17" t="s">
        <v>84</v>
      </c>
      <c r="I6" s="25">
        <f>ONSV_AUX_2013!D28</f>
        <v>54558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ONSV_AUX_2013!D29</f>
        <v>11284</v>
      </c>
      <c r="J7" s="3"/>
      <c r="K7" s="1" t="s">
        <v>121</v>
      </c>
      <c r="L7" s="25">
        <f>I14+I17+I18+I23</f>
        <v>81957</v>
      </c>
      <c r="N7" s="13" t="s">
        <v>122</v>
      </c>
      <c r="O7" s="25">
        <f>J14+J23</f>
        <v>62874.86204961138</v>
      </c>
      <c r="P7" s="29"/>
      <c r="Q7" s="30" t="s">
        <v>123</v>
      </c>
      <c r="R7" s="25">
        <f>J17+J18</f>
        <v>19074.137950388616</v>
      </c>
      <c r="S7" s="31"/>
      <c r="T7" s="30" t="s">
        <v>124</v>
      </c>
      <c r="U7" s="32">
        <f>O11</f>
        <v>576.97985082934429</v>
      </c>
      <c r="V7" s="24"/>
      <c r="W7" s="30" t="s">
        <v>125</v>
      </c>
      <c r="X7" s="33">
        <f>R13</f>
        <v>1889.5319773537428</v>
      </c>
    </row>
    <row r="8" spans="1:24" ht="15.75">
      <c r="H8" s="17" t="s">
        <v>101</v>
      </c>
      <c r="I8" s="25">
        <f>ONSV_AUX_2013!D30</f>
        <v>8</v>
      </c>
      <c r="J8" s="3"/>
      <c r="K8" s="12"/>
      <c r="L8" s="27"/>
      <c r="M8" s="7"/>
      <c r="N8" s="13" t="s">
        <v>126</v>
      </c>
      <c r="O8" s="34">
        <f>J14/O7</f>
        <v>0.98942446844038745</v>
      </c>
      <c r="P8" s="29"/>
      <c r="Q8" s="35" t="s">
        <v>127</v>
      </c>
      <c r="R8" s="28">
        <f>J17/R7</f>
        <v>0.69757810861815894</v>
      </c>
      <c r="S8" s="36"/>
      <c r="T8" s="30" t="s">
        <v>128</v>
      </c>
      <c r="U8" s="32">
        <f>I23-J23</f>
        <v>6.491208804618509E-2</v>
      </c>
      <c r="V8" s="24"/>
      <c r="W8" s="30" t="s">
        <v>129</v>
      </c>
      <c r="X8" s="33">
        <f>I18-J18</f>
        <v>0.56312456532123178</v>
      </c>
    </row>
    <row r="9" spans="1:24" ht="15.75">
      <c r="H9" s="17" t="s">
        <v>16</v>
      </c>
      <c r="I9" s="25">
        <f>ONSV_AUX_2013!D31</f>
        <v>6</v>
      </c>
      <c r="J9" s="3"/>
      <c r="K9" s="1" t="s">
        <v>130</v>
      </c>
      <c r="L9" s="28">
        <f>I14/L7</f>
        <v>0.75912978757153138</v>
      </c>
      <c r="M9" s="7"/>
      <c r="N9" s="13" t="s">
        <v>131</v>
      </c>
      <c r="O9" s="34">
        <f>J23/O7</f>
        <v>1.0575531559612602E-2</v>
      </c>
      <c r="P9" s="29"/>
      <c r="Q9" s="35" t="s">
        <v>132</v>
      </c>
      <c r="R9" s="28">
        <f>J18/R7</f>
        <v>0.30242189138184106</v>
      </c>
      <c r="S9" s="36"/>
      <c r="T9" s="30" t="s">
        <v>133</v>
      </c>
      <c r="U9" s="37">
        <f>O13</f>
        <v>87.955237082609528</v>
      </c>
      <c r="V9" s="38"/>
      <c r="W9" s="30" t="s">
        <v>134</v>
      </c>
      <c r="X9" s="37">
        <f>R16</f>
        <v>3878.9048980809357</v>
      </c>
    </row>
    <row r="10" spans="1:24" ht="15.75">
      <c r="H10" s="17" t="s">
        <v>94</v>
      </c>
      <c r="I10" s="25">
        <f>ONSV_AUX_2013!D32</f>
        <v>77701</v>
      </c>
      <c r="J10" s="4"/>
      <c r="K10" s="1" t="s">
        <v>2</v>
      </c>
      <c r="L10" s="28">
        <f>I17/L7</f>
        <v>0.16236563075759239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7.0390570665104873E-2</v>
      </c>
      <c r="M11" s="7"/>
      <c r="N11" s="13" t="s">
        <v>135</v>
      </c>
      <c r="O11" s="25">
        <f>IF(O9*I6&gt;J23,J23,O9*I6)</f>
        <v>576.97985082934429</v>
      </c>
      <c r="P11" s="41"/>
      <c r="Q11" s="30" t="s">
        <v>136</v>
      </c>
      <c r="R11" s="25">
        <f>I7-I15-I16-I19-I22</f>
        <v>6248</v>
      </c>
      <c r="S11" s="42"/>
      <c r="T11" s="30" t="s">
        <v>137</v>
      </c>
      <c r="U11" s="32">
        <f>O19</f>
        <v>53981.020149170661</v>
      </c>
      <c r="V11" s="41"/>
      <c r="W11" s="30" t="s">
        <v>138</v>
      </c>
      <c r="X11" s="32">
        <f>I15</f>
        <v>3482</v>
      </c>
    </row>
    <row r="12" spans="1:24" ht="15.75">
      <c r="H12" s="9" t="s">
        <v>139</v>
      </c>
      <c r="K12" s="1" t="s">
        <v>0</v>
      </c>
      <c r="L12" s="28">
        <f>I23/L7</f>
        <v>8.1140110057713183E-3</v>
      </c>
      <c r="O12" s="24"/>
      <c r="P12" s="41"/>
      <c r="Q12" s="30" t="s">
        <v>140</v>
      </c>
      <c r="R12" s="25">
        <f>R8*R11</f>
        <v>4358.4680226462569</v>
      </c>
      <c r="S12" s="24"/>
      <c r="T12" s="30" t="s">
        <v>141</v>
      </c>
      <c r="U12" s="32">
        <f>O17</f>
        <v>1418</v>
      </c>
      <c r="V12" s="31"/>
      <c r="W12" s="30" t="s">
        <v>142</v>
      </c>
      <c r="X12" s="32">
        <f>I16</f>
        <v>258</v>
      </c>
    </row>
    <row r="13" spans="1:24" ht="15.75">
      <c r="K13" s="5"/>
      <c r="L13" s="5"/>
      <c r="M13" s="5"/>
      <c r="N13" s="13" t="s">
        <v>143</v>
      </c>
      <c r="O13" s="25">
        <f>J23-O11</f>
        <v>87.955237082609528</v>
      </c>
      <c r="P13" s="41"/>
      <c r="Q13" s="30" t="s">
        <v>125</v>
      </c>
      <c r="R13" s="25">
        <f>R9*R11</f>
        <v>1889.5319773537428</v>
      </c>
      <c r="S13" s="24"/>
      <c r="T13" s="30" t="s">
        <v>144</v>
      </c>
      <c r="U13" s="32">
        <f>O18</f>
        <v>6</v>
      </c>
      <c r="V13" s="36"/>
      <c r="W13" s="24"/>
      <c r="X13" s="27"/>
    </row>
    <row r="14" spans="1:24" ht="15.75">
      <c r="H14" s="18" t="s">
        <v>104</v>
      </c>
      <c r="I14" s="25">
        <f>ONSV_AUX_2013!D56</f>
        <v>62216</v>
      </c>
      <c r="J14" s="26">
        <f>I14-(L9*I8)</f>
        <v>62209.926961699428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6.0730383005720796</v>
      </c>
      <c r="V14" s="36"/>
      <c r="W14" s="30" t="s">
        <v>146</v>
      </c>
      <c r="X14" s="32">
        <f>I22</f>
        <v>931</v>
      </c>
    </row>
    <row r="15" spans="1:24" ht="15.75">
      <c r="H15" s="18" t="s">
        <v>105</v>
      </c>
      <c r="I15" s="25">
        <f>ONSV_AUX_2013!D57</f>
        <v>3482</v>
      </c>
      <c r="J15" s="4">
        <f>I15</f>
        <v>3482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8947.2330523076816</v>
      </c>
      <c r="S15" s="24"/>
      <c r="T15" s="30" t="s">
        <v>149</v>
      </c>
      <c r="U15" s="37">
        <f>O20</f>
        <v>6804.9068125287667</v>
      </c>
      <c r="V15" s="24"/>
      <c r="W15" s="30" t="s">
        <v>150</v>
      </c>
      <c r="X15" s="32">
        <f>I19</f>
        <v>365</v>
      </c>
    </row>
    <row r="16" spans="1:24" ht="15.75">
      <c r="H16" s="18" t="s">
        <v>106</v>
      </c>
      <c r="I16" s="25">
        <f>ONSV_AUX_2013!D58</f>
        <v>258</v>
      </c>
      <c r="J16" s="4">
        <f>I16</f>
        <v>258</v>
      </c>
      <c r="K16" s="5"/>
      <c r="L16" s="5"/>
      <c r="M16" s="5"/>
      <c r="O16" s="38"/>
      <c r="P16" s="41"/>
      <c r="Q16" s="30" t="s">
        <v>134</v>
      </c>
      <c r="R16" s="25">
        <f>J18-R13</f>
        <v>3878.9048980809357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ONSV_AUX_2013!D59</f>
        <v>13307</v>
      </c>
      <c r="J17" s="26">
        <f>I17-(L10*I8)</f>
        <v>13305.701074953939</v>
      </c>
      <c r="K17" s="5"/>
      <c r="L17" s="5"/>
      <c r="M17" s="5"/>
      <c r="N17" s="13" t="s">
        <v>141</v>
      </c>
      <c r="O17" s="25">
        <f>I5</f>
        <v>1418</v>
      </c>
      <c r="P17" s="41"/>
      <c r="Q17" s="24"/>
      <c r="R17" s="24"/>
      <c r="S17" s="42"/>
      <c r="T17" s="30" t="s">
        <v>140</v>
      </c>
      <c r="U17" s="33">
        <f>R12</f>
        <v>4358.4680226462569</v>
      </c>
      <c r="V17" s="24"/>
      <c r="W17" s="30" t="s">
        <v>151</v>
      </c>
      <c r="X17" s="32">
        <f>I20</f>
        <v>49296</v>
      </c>
    </row>
    <row r="18" spans="8:24" ht="15.75">
      <c r="H18" s="18" t="s">
        <v>108</v>
      </c>
      <c r="I18" s="25">
        <f>ONSV_AUX_2013!D60</f>
        <v>5769</v>
      </c>
      <c r="J18" s="26">
        <f>I18-(L11*I8)</f>
        <v>5768.4368754346788</v>
      </c>
      <c r="K18" s="5"/>
      <c r="L18" s="5"/>
      <c r="M18" s="5"/>
      <c r="N18" s="13" t="s">
        <v>144</v>
      </c>
      <c r="O18" s="25">
        <f>I9</f>
        <v>6</v>
      </c>
      <c r="P18" s="41"/>
      <c r="Q18" s="24"/>
      <c r="R18" s="24"/>
      <c r="S18" s="24"/>
      <c r="T18" s="30" t="s">
        <v>152</v>
      </c>
      <c r="U18" s="33">
        <f>I17-J17</f>
        <v>1.298925046061413</v>
      </c>
      <c r="V18" s="24"/>
      <c r="W18" s="30" t="s">
        <v>153</v>
      </c>
      <c r="X18" s="32">
        <f>I21</f>
        <v>8271</v>
      </c>
    </row>
    <row r="19" spans="8:24" ht="15.75">
      <c r="H19" s="18" t="s">
        <v>109</v>
      </c>
      <c r="I19" s="25">
        <f>ONSV_AUX_2013!D61</f>
        <v>365</v>
      </c>
      <c r="J19" s="4">
        <f>I19</f>
        <v>365</v>
      </c>
      <c r="K19" s="5"/>
      <c r="L19" s="5"/>
      <c r="M19" s="5"/>
      <c r="N19" s="13" t="s">
        <v>137</v>
      </c>
      <c r="O19" s="25">
        <f>IF(OR((O8*I6&gt;J14),((O17+O18+(O8*I6))&gt;J14)),(J14-O17-O18),(O8*I6))</f>
        <v>53981.020149170661</v>
      </c>
      <c r="P19" s="41"/>
      <c r="Q19" s="24"/>
      <c r="R19" s="43"/>
      <c r="S19" s="24"/>
      <c r="T19" s="30" t="s">
        <v>148</v>
      </c>
      <c r="U19" s="37">
        <f>R15</f>
        <v>8947.2330523076816</v>
      </c>
      <c r="V19" s="24"/>
      <c r="W19" s="24"/>
      <c r="X19" s="24"/>
    </row>
    <row r="20" spans="8:24" ht="15.75">
      <c r="H20" s="18" t="s">
        <v>110</v>
      </c>
      <c r="I20" s="25">
        <f>ONSV_AUX_2013!D62</f>
        <v>49296</v>
      </c>
      <c r="J20" s="4">
        <f t="shared" ref="J20:J22" si="0">I20</f>
        <v>49296</v>
      </c>
      <c r="K20" s="5"/>
      <c r="L20" s="5"/>
      <c r="M20" s="5"/>
      <c r="N20" s="13" t="s">
        <v>149</v>
      </c>
      <c r="O20" s="25">
        <f>IF((J14-O17-O19-O18)&lt;0,0,(J14-O17-O19-O18))</f>
        <v>6804.9068125287667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ONSV_AUX_2013!D63</f>
        <v>8271</v>
      </c>
      <c r="J21" s="4">
        <f t="shared" si="0"/>
        <v>8271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144560</v>
      </c>
    </row>
    <row r="22" spans="8:24" ht="15.75">
      <c r="H22" s="18" t="s">
        <v>112</v>
      </c>
      <c r="I22" s="25">
        <f>ONSV_AUX_2013!D64</f>
        <v>931</v>
      </c>
      <c r="J22" s="4">
        <f t="shared" si="0"/>
        <v>931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ONSV_AUX_2013!D65</f>
        <v>665</v>
      </c>
      <c r="J23" s="26">
        <f>I23-(L12*I8)</f>
        <v>664.93508791195381</v>
      </c>
      <c r="K23" s="6"/>
      <c r="L23" s="6"/>
      <c r="M23" s="6"/>
      <c r="N23" s="6"/>
      <c r="O23" s="6"/>
      <c r="P23" s="6"/>
      <c r="Q23" s="2"/>
      <c r="R23" s="2"/>
    </row>
  </sheetData>
  <mergeCells count="3">
    <mergeCell ref="A1:F1"/>
    <mergeCell ref="K5:L5"/>
    <mergeCell ref="T5:X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X23"/>
  <sheetViews>
    <sheetView showGridLines="0" zoomScale="90" zoomScaleNormal="90" workbookViewId="0">
      <selection activeCell="I16" sqref="I1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14" customFormat="1" ht="15.75">
      <c r="A1" s="131" t="str">
        <f>"AMAZONAS/"&amp;ONSV_AUX_2013!A1&amp;""</f>
        <v>AMAZONAS/2013</v>
      </c>
      <c r="B1" s="132"/>
      <c r="C1" s="132"/>
      <c r="D1" s="132"/>
      <c r="E1" s="132"/>
      <c r="F1" s="132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ONSV_AUX_2013!E27</f>
        <v>16229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ONSV_AUX_2013!E28</f>
        <v>229137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ONSV_AUX_2013!E29</f>
        <v>56183</v>
      </c>
      <c r="J7" s="3"/>
      <c r="K7" s="1" t="s">
        <v>121</v>
      </c>
      <c r="L7" s="25">
        <f>I14+I17+I18+I23</f>
        <v>411556</v>
      </c>
      <c r="N7" s="13" t="s">
        <v>122</v>
      </c>
      <c r="O7" s="25">
        <f>J14+J23</f>
        <v>319748.58868780918</v>
      </c>
      <c r="P7" s="29"/>
      <c r="Q7" s="30" t="s">
        <v>123</v>
      </c>
      <c r="R7" s="25">
        <f>J17+J18</f>
        <v>91764.411312190816</v>
      </c>
      <c r="S7" s="31"/>
      <c r="T7" s="30" t="s">
        <v>124</v>
      </c>
      <c r="U7" s="32">
        <f>O11</f>
        <v>2849.68462577631</v>
      </c>
      <c r="V7" s="24"/>
      <c r="W7" s="30" t="s">
        <v>125</v>
      </c>
      <c r="X7" s="33">
        <f>R13</f>
        <v>8295.3286987599968</v>
      </c>
    </row>
    <row r="8" spans="1:24" ht="15.75">
      <c r="H8" s="17" t="s">
        <v>101</v>
      </c>
      <c r="I8" s="25">
        <f>ONSV_AUX_2013!E30</f>
        <v>43</v>
      </c>
      <c r="J8" s="3"/>
      <c r="K8" s="12"/>
      <c r="L8" s="27"/>
      <c r="M8" s="7"/>
      <c r="N8" s="13" t="s">
        <v>126</v>
      </c>
      <c r="O8" s="34">
        <f>J14/O7</f>
        <v>0.98756340256799946</v>
      </c>
      <c r="P8" s="29"/>
      <c r="Q8" s="35" t="s">
        <v>127</v>
      </c>
      <c r="R8" s="28">
        <f>J17/R7</f>
        <v>0.64742737594525679</v>
      </c>
      <c r="S8" s="36"/>
      <c r="T8" s="30" t="s">
        <v>128</v>
      </c>
      <c r="U8" s="32">
        <f>I23-J23</f>
        <v>0.41552303939215562</v>
      </c>
      <c r="V8" s="24"/>
      <c r="W8" s="30" t="s">
        <v>129</v>
      </c>
      <c r="X8" s="33">
        <f>I18-J18</f>
        <v>3.3807088221292361</v>
      </c>
    </row>
    <row r="9" spans="1:24" ht="15.75">
      <c r="H9" s="17" t="s">
        <v>16</v>
      </c>
      <c r="I9" s="25">
        <f>ONSV_AUX_2013!E31</f>
        <v>1218</v>
      </c>
      <c r="J9" s="3"/>
      <c r="K9" s="1" t="s">
        <v>130</v>
      </c>
      <c r="L9" s="28">
        <f>I14/L7</f>
        <v>0.76734393375385124</v>
      </c>
      <c r="M9" s="7"/>
      <c r="N9" s="13" t="s">
        <v>131</v>
      </c>
      <c r="O9" s="34">
        <f>J23/O7</f>
        <v>1.2436597432000551E-2</v>
      </c>
      <c r="P9" s="29"/>
      <c r="Q9" s="35" t="s">
        <v>132</v>
      </c>
      <c r="R9" s="28">
        <f>J18/R7</f>
        <v>0.35257262405474316</v>
      </c>
      <c r="S9" s="36"/>
      <c r="T9" s="30" t="s">
        <v>133</v>
      </c>
      <c r="U9" s="37">
        <f>O13</f>
        <v>1126.8998511842979</v>
      </c>
      <c r="V9" s="38"/>
      <c r="W9" s="30" t="s">
        <v>134</v>
      </c>
      <c r="X9" s="37">
        <f>R16</f>
        <v>24058.290592417874</v>
      </c>
    </row>
    <row r="10" spans="1:24" ht="15.75">
      <c r="H10" s="17" t="s">
        <v>94</v>
      </c>
      <c r="I10" s="25">
        <f>ONSV_AUX_2013!E32</f>
        <v>354122</v>
      </c>
      <c r="J10" s="4"/>
      <c r="K10" s="1" t="s">
        <v>2</v>
      </c>
      <c r="L10" s="28">
        <f>I17/L7</f>
        <v>0.14437160435031929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7.8621135398341896E-2</v>
      </c>
      <c r="M11" s="7"/>
      <c r="N11" s="13" t="s">
        <v>135</v>
      </c>
      <c r="O11" s="25">
        <f>IF(O9*I6&gt;J23,J23,O9*I6)</f>
        <v>2849.68462577631</v>
      </c>
      <c r="P11" s="41"/>
      <c r="Q11" s="30" t="s">
        <v>136</v>
      </c>
      <c r="R11" s="25">
        <f>I7-I15-I16-I19-I22</f>
        <v>23528</v>
      </c>
      <c r="S11" s="42"/>
      <c r="T11" s="30" t="s">
        <v>137</v>
      </c>
      <c r="U11" s="32">
        <f>O19</f>
        <v>226287.31537422369</v>
      </c>
      <c r="V11" s="41"/>
      <c r="W11" s="30" t="s">
        <v>138</v>
      </c>
      <c r="X11" s="32">
        <f>I15</f>
        <v>18387</v>
      </c>
    </row>
    <row r="12" spans="1:24" ht="15.75">
      <c r="H12" s="9" t="s">
        <v>139</v>
      </c>
      <c r="K12" s="1" t="s">
        <v>0</v>
      </c>
      <c r="L12" s="28">
        <f>I23/L7</f>
        <v>9.663326497487584E-3</v>
      </c>
      <c r="O12" s="24"/>
      <c r="P12" s="41"/>
      <c r="Q12" s="30" t="s">
        <v>140</v>
      </c>
      <c r="R12" s="25">
        <f>R8*R11</f>
        <v>15232.671301240001</v>
      </c>
      <c r="S12" s="24"/>
      <c r="T12" s="30" t="s">
        <v>141</v>
      </c>
      <c r="U12" s="32">
        <f>O17</f>
        <v>16229</v>
      </c>
      <c r="V12" s="31"/>
      <c r="W12" s="30" t="s">
        <v>142</v>
      </c>
      <c r="X12" s="32">
        <f>I16</f>
        <v>2850</v>
      </c>
    </row>
    <row r="13" spans="1:24" ht="15.75">
      <c r="K13" s="5"/>
      <c r="L13" s="5"/>
      <c r="M13" s="5"/>
      <c r="N13" s="13" t="s">
        <v>143</v>
      </c>
      <c r="O13" s="25">
        <f>J23-O11</f>
        <v>1126.8998511842979</v>
      </c>
      <c r="P13" s="41"/>
      <c r="Q13" s="30" t="s">
        <v>125</v>
      </c>
      <c r="R13" s="25">
        <f>R9*R11</f>
        <v>8295.3286987599968</v>
      </c>
      <c r="S13" s="24"/>
      <c r="T13" s="30" t="s">
        <v>144</v>
      </c>
      <c r="U13" s="32">
        <f>O18</f>
        <v>1218</v>
      </c>
      <c r="V13" s="36"/>
      <c r="W13" s="24"/>
      <c r="X13" s="27"/>
    </row>
    <row r="14" spans="1:24" ht="15.75">
      <c r="H14" s="18" t="s">
        <v>104</v>
      </c>
      <c r="I14" s="25">
        <f>ONSV_AUX_2013!E56</f>
        <v>315805</v>
      </c>
      <c r="J14" s="26">
        <f>I14-(L9*I8)</f>
        <v>315772.00421084859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32.995789151405916</v>
      </c>
      <c r="V14" s="36"/>
      <c r="W14" s="30" t="s">
        <v>146</v>
      </c>
      <c r="X14" s="32">
        <f>I22</f>
        <v>8242</v>
      </c>
    </row>
    <row r="15" spans="1:24" ht="15.75">
      <c r="H15" s="18" t="s">
        <v>105</v>
      </c>
      <c r="I15" s="25">
        <f>ONSV_AUX_2013!E57</f>
        <v>18387</v>
      </c>
      <c r="J15" s="4">
        <f>I15</f>
        <v>18387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44178.120719772938</v>
      </c>
      <c r="S15" s="24"/>
      <c r="T15" s="30" t="s">
        <v>149</v>
      </c>
      <c r="U15" s="37">
        <f>O20</f>
        <v>72037.688836624904</v>
      </c>
      <c r="V15" s="24"/>
      <c r="W15" s="30" t="s">
        <v>150</v>
      </c>
      <c r="X15" s="32">
        <f>I19</f>
        <v>3176</v>
      </c>
    </row>
    <row r="16" spans="1:24" ht="15.75">
      <c r="H16" s="18" t="s">
        <v>106</v>
      </c>
      <c r="I16" s="25">
        <f>ONSV_AUX_2013!E58</f>
        <v>2850</v>
      </c>
      <c r="J16" s="4">
        <f>I16</f>
        <v>2850</v>
      </c>
      <c r="K16" s="5"/>
      <c r="L16" s="5"/>
      <c r="M16" s="5"/>
      <c r="O16" s="38"/>
      <c r="P16" s="41"/>
      <c r="Q16" s="30" t="s">
        <v>134</v>
      </c>
      <c r="R16" s="25">
        <f>J18-R13</f>
        <v>24058.290592417874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ONSV_AUX_2013!E59</f>
        <v>59417</v>
      </c>
      <c r="J17" s="26">
        <f>I17-(L10*I8)</f>
        <v>59410.792021012938</v>
      </c>
      <c r="K17" s="5"/>
      <c r="L17" s="5"/>
      <c r="M17" s="5"/>
      <c r="N17" s="13" t="s">
        <v>141</v>
      </c>
      <c r="O17" s="25">
        <f>I5</f>
        <v>16229</v>
      </c>
      <c r="P17" s="41"/>
      <c r="Q17" s="24"/>
      <c r="R17" s="24"/>
      <c r="S17" s="42"/>
      <c r="T17" s="30" t="s">
        <v>140</v>
      </c>
      <c r="U17" s="33">
        <f>R12</f>
        <v>15232.671301240001</v>
      </c>
      <c r="V17" s="24"/>
      <c r="W17" s="30" t="s">
        <v>151</v>
      </c>
      <c r="X17" s="32">
        <f>I20</f>
        <v>173282</v>
      </c>
    </row>
    <row r="18" spans="8:24" ht="15.75">
      <c r="H18" s="18" t="s">
        <v>108</v>
      </c>
      <c r="I18" s="25">
        <f>ONSV_AUX_2013!E60</f>
        <v>32357</v>
      </c>
      <c r="J18" s="26">
        <f>I18-(L11*I8)</f>
        <v>32353.619291177871</v>
      </c>
      <c r="K18" s="5"/>
      <c r="L18" s="5"/>
      <c r="M18" s="5"/>
      <c r="N18" s="13" t="s">
        <v>144</v>
      </c>
      <c r="O18" s="25">
        <f>I9</f>
        <v>1218</v>
      </c>
      <c r="P18" s="41"/>
      <c r="Q18" s="24"/>
      <c r="R18" s="24"/>
      <c r="S18" s="24"/>
      <c r="T18" s="30" t="s">
        <v>152</v>
      </c>
      <c r="U18" s="33">
        <f>I17-J17</f>
        <v>6.2079789870622335</v>
      </c>
      <c r="V18" s="24"/>
      <c r="W18" s="30" t="s">
        <v>153</v>
      </c>
      <c r="X18" s="32">
        <f>I21</f>
        <v>39496</v>
      </c>
    </row>
    <row r="19" spans="8:24" ht="15.75">
      <c r="H19" s="18" t="s">
        <v>109</v>
      </c>
      <c r="I19" s="25">
        <f>ONSV_AUX_2013!E61</f>
        <v>3176</v>
      </c>
      <c r="J19" s="4">
        <f>I19</f>
        <v>3176</v>
      </c>
      <c r="K19" s="5"/>
      <c r="L19" s="5"/>
      <c r="M19" s="5"/>
      <c r="N19" s="13" t="s">
        <v>137</v>
      </c>
      <c r="O19" s="25">
        <f>IF(OR((O8*I6&gt;J14),((O17+O18+(O8*I6))&gt;J14)),(J14-O17-O18),(O8*I6))</f>
        <v>226287.31537422369</v>
      </c>
      <c r="P19" s="41"/>
      <c r="Q19" s="24"/>
      <c r="R19" s="43"/>
      <c r="S19" s="24"/>
      <c r="T19" s="30" t="s">
        <v>148</v>
      </c>
      <c r="U19" s="37">
        <f>R15</f>
        <v>44178.120719772938</v>
      </c>
      <c r="V19" s="24"/>
      <c r="W19" s="24"/>
      <c r="X19" s="24"/>
    </row>
    <row r="20" spans="8:24" ht="15.75">
      <c r="H20" s="18" t="s">
        <v>110</v>
      </c>
      <c r="I20" s="25">
        <f>ONSV_AUX_2013!E62</f>
        <v>173282</v>
      </c>
      <c r="J20" s="4">
        <f t="shared" ref="J20:J22" si="0">I20</f>
        <v>173282</v>
      </c>
      <c r="K20" s="5"/>
      <c r="L20" s="5"/>
      <c r="M20" s="5"/>
      <c r="N20" s="13" t="s">
        <v>149</v>
      </c>
      <c r="O20" s="25">
        <f>IF((J14-O17-O19-O18)&lt;0,0,(J14-O17-O19-O18))</f>
        <v>72037.688836624904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ONSV_AUX_2013!E63</f>
        <v>39496</v>
      </c>
      <c r="J21" s="4">
        <f t="shared" si="0"/>
        <v>39496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656989</v>
      </c>
    </row>
    <row r="22" spans="8:24" ht="15.75">
      <c r="H22" s="18" t="s">
        <v>112</v>
      </c>
      <c r="I22" s="25">
        <f>ONSV_AUX_2013!E64</f>
        <v>8242</v>
      </c>
      <c r="J22" s="4">
        <f t="shared" si="0"/>
        <v>8242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ONSV_AUX_2013!E65</f>
        <v>3977</v>
      </c>
      <c r="J23" s="26">
        <f>I23-(L12*I8)</f>
        <v>3976.5844769606078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X23"/>
  <sheetViews>
    <sheetView showGridLines="0" zoomScale="90" zoomScaleNormal="90" workbookViewId="0">
      <selection activeCell="I14" sqref="I1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14" customFormat="1" ht="15.75">
      <c r="A1" s="131" t="str">
        <f>"BAHIA/"&amp;ONSV_AUX_2013!A1&amp;""</f>
        <v>BAHIA/2013</v>
      </c>
      <c r="B1" s="132"/>
      <c r="C1" s="132"/>
      <c r="D1" s="132"/>
      <c r="E1" s="132"/>
      <c r="F1" s="132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ONSV_AUX_2013!F27</f>
        <v>95131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ONSV_AUX_2013!F28</f>
        <v>948559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ONSV_AUX_2013!F29</f>
        <v>272814</v>
      </c>
      <c r="J7" s="3"/>
      <c r="K7" s="1" t="s">
        <v>121</v>
      </c>
      <c r="L7" s="25">
        <f>I14+I17+I18+I23</f>
        <v>1697635</v>
      </c>
      <c r="N7" s="13" t="s">
        <v>122</v>
      </c>
      <c r="O7" s="25">
        <f>J14+J23</f>
        <v>1377787.621164738</v>
      </c>
      <c r="P7" s="29"/>
      <c r="Q7" s="30" t="s">
        <v>123</v>
      </c>
      <c r="R7" s="25">
        <f>J17+J18</f>
        <v>319780.37883526203</v>
      </c>
      <c r="S7" s="31"/>
      <c r="T7" s="30" t="s">
        <v>124</v>
      </c>
      <c r="U7" s="32">
        <f>O11</f>
        <v>10866.307788556309</v>
      </c>
      <c r="V7" s="24"/>
      <c r="W7" s="30" t="s">
        <v>125</v>
      </c>
      <c r="X7" s="33">
        <f>R13</f>
        <v>27982.589678323162</v>
      </c>
    </row>
    <row r="8" spans="1:24" ht="15.75">
      <c r="H8" s="17" t="s">
        <v>101</v>
      </c>
      <c r="I8" s="25">
        <f>ONSV_AUX_2013!F30</f>
        <v>67</v>
      </c>
      <c r="J8" s="3"/>
      <c r="K8" s="12"/>
      <c r="L8" s="27"/>
      <c r="M8" s="7"/>
      <c r="N8" s="13" t="s">
        <v>126</v>
      </c>
      <c r="O8" s="34">
        <f>J14/O7</f>
        <v>0.98854440494628559</v>
      </c>
      <c r="P8" s="29"/>
      <c r="Q8" s="35" t="s">
        <v>127</v>
      </c>
      <c r="R8" s="28">
        <f>J17/R7</f>
        <v>0.7138180010194094</v>
      </c>
      <c r="S8" s="36"/>
      <c r="T8" s="30" t="s">
        <v>128</v>
      </c>
      <c r="U8" s="32">
        <f>I23-J23</f>
        <v>0.62294191625369422</v>
      </c>
      <c r="V8" s="24"/>
      <c r="W8" s="30" t="s">
        <v>129</v>
      </c>
      <c r="X8" s="33">
        <f>I18-J18</f>
        <v>3.6119501541834325</v>
      </c>
    </row>
    <row r="9" spans="1:24" ht="15.75">
      <c r="H9" s="17" t="s">
        <v>16</v>
      </c>
      <c r="I9" s="25">
        <f>ONSV_AUX_2013!F31</f>
        <v>46934</v>
      </c>
      <c r="J9" s="3"/>
      <c r="K9" s="1" t="s">
        <v>130</v>
      </c>
      <c r="L9" s="28">
        <f>I14/L7</f>
        <v>0.8023267663543695</v>
      </c>
      <c r="M9" s="7"/>
      <c r="N9" s="13" t="s">
        <v>131</v>
      </c>
      <c r="O9" s="34">
        <f>J23/O7</f>
        <v>1.1455595053714433E-2</v>
      </c>
      <c r="P9" s="29"/>
      <c r="Q9" s="35" t="s">
        <v>132</v>
      </c>
      <c r="R9" s="28">
        <f>J18/R7</f>
        <v>0.28618199898059055</v>
      </c>
      <c r="S9" s="36"/>
      <c r="T9" s="30" t="s">
        <v>133</v>
      </c>
      <c r="U9" s="37">
        <f>O13</f>
        <v>4917.0692695274374</v>
      </c>
      <c r="V9" s="38"/>
      <c r="W9" s="30" t="s">
        <v>134</v>
      </c>
      <c r="X9" s="37">
        <f>R16</f>
        <v>63532.798371522658</v>
      </c>
    </row>
    <row r="10" spans="1:24" ht="15.75">
      <c r="H10" s="17" t="s">
        <v>94</v>
      </c>
      <c r="I10" s="25">
        <f>ONSV_AUX_2013!F32</f>
        <v>1591916</v>
      </c>
      <c r="J10" s="4"/>
      <c r="K10" s="1" t="s">
        <v>2</v>
      </c>
      <c r="L10" s="28">
        <f>I17/L7</f>
        <v>0.13446588931071757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5.3909703793807266E-2</v>
      </c>
      <c r="M11" s="7"/>
      <c r="N11" s="13" t="s">
        <v>135</v>
      </c>
      <c r="O11" s="25">
        <f>IF(O9*I6&gt;J23,J23,O9*I6)</f>
        <v>10866.307788556309</v>
      </c>
      <c r="P11" s="41"/>
      <c r="Q11" s="30" t="s">
        <v>136</v>
      </c>
      <c r="R11" s="25">
        <f>I7-I15-I16-I19-I22</f>
        <v>97779</v>
      </c>
      <c r="S11" s="42"/>
      <c r="T11" s="30" t="s">
        <v>137</v>
      </c>
      <c r="U11" s="32">
        <f>O19</f>
        <v>937692.69221144367</v>
      </c>
      <c r="V11" s="41"/>
      <c r="W11" s="30" t="s">
        <v>138</v>
      </c>
      <c r="X11" s="32">
        <f>I15</f>
        <v>102086</v>
      </c>
    </row>
    <row r="12" spans="1:24" ht="15.75">
      <c r="H12" s="9" t="s">
        <v>139</v>
      </c>
      <c r="K12" s="1" t="s">
        <v>0</v>
      </c>
      <c r="L12" s="28">
        <f>I23/L7</f>
        <v>9.2976405411057152E-3</v>
      </c>
      <c r="O12" s="24"/>
      <c r="P12" s="41"/>
      <c r="Q12" s="30" t="s">
        <v>140</v>
      </c>
      <c r="R12" s="25">
        <f>R8*R11</f>
        <v>69796.410321676827</v>
      </c>
      <c r="S12" s="24"/>
      <c r="T12" s="30" t="s">
        <v>141</v>
      </c>
      <c r="U12" s="32">
        <f>O17</f>
        <v>95131</v>
      </c>
      <c r="V12" s="31"/>
      <c r="W12" s="30" t="s">
        <v>142</v>
      </c>
      <c r="X12" s="32">
        <f>I16</f>
        <v>17255</v>
      </c>
    </row>
    <row r="13" spans="1:24" ht="15.75">
      <c r="K13" s="5"/>
      <c r="L13" s="5"/>
      <c r="M13" s="5"/>
      <c r="N13" s="13" t="s">
        <v>143</v>
      </c>
      <c r="O13" s="25">
        <f>J23-O11</f>
        <v>4917.0692695274374</v>
      </c>
      <c r="P13" s="41"/>
      <c r="Q13" s="30" t="s">
        <v>125</v>
      </c>
      <c r="R13" s="25">
        <f>R9*R11</f>
        <v>27982.589678323162</v>
      </c>
      <c r="S13" s="24"/>
      <c r="T13" s="30" t="s">
        <v>144</v>
      </c>
      <c r="U13" s="32">
        <f>O18</f>
        <v>46934</v>
      </c>
      <c r="V13" s="36"/>
      <c r="W13" s="24"/>
      <c r="X13" s="27"/>
    </row>
    <row r="14" spans="1:24" ht="15.75">
      <c r="H14" s="18" t="s">
        <v>104</v>
      </c>
      <c r="I14" s="25">
        <f>ONSV_AUX_2013!F56</f>
        <v>1362058</v>
      </c>
      <c r="J14" s="26">
        <f>I14-(L9*I8)</f>
        <v>1362004.2441066543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53.755893345689401</v>
      </c>
      <c r="V14" s="36"/>
      <c r="W14" s="30" t="s">
        <v>146</v>
      </c>
      <c r="X14" s="32">
        <f>I22</f>
        <v>32813</v>
      </c>
    </row>
    <row r="15" spans="1:24" ht="15.75">
      <c r="H15" s="18" t="s">
        <v>105</v>
      </c>
      <c r="I15" s="25">
        <f>ONSV_AUX_2013!F57</f>
        <v>102086</v>
      </c>
      <c r="J15" s="4">
        <f>I15</f>
        <v>102086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158468.58046373934</v>
      </c>
      <c r="S15" s="24"/>
      <c r="T15" s="30" t="s">
        <v>149</v>
      </c>
      <c r="U15" s="37">
        <f>O20</f>
        <v>282246.55189521064</v>
      </c>
      <c r="V15" s="24"/>
      <c r="W15" s="30" t="s">
        <v>150</v>
      </c>
      <c r="X15" s="32">
        <f>I19</f>
        <v>22881</v>
      </c>
    </row>
    <row r="16" spans="1:24" ht="15.75">
      <c r="H16" s="18" t="s">
        <v>106</v>
      </c>
      <c r="I16" s="25">
        <f>ONSV_AUX_2013!F58</f>
        <v>17255</v>
      </c>
      <c r="J16" s="4">
        <f>I16</f>
        <v>17255</v>
      </c>
      <c r="K16" s="5"/>
      <c r="L16" s="5"/>
      <c r="M16" s="5"/>
      <c r="O16" s="38"/>
      <c r="P16" s="41"/>
      <c r="Q16" s="30" t="s">
        <v>134</v>
      </c>
      <c r="R16" s="25">
        <f>J18-R13</f>
        <v>63532.798371522658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ONSV_AUX_2013!F59</f>
        <v>228274</v>
      </c>
      <c r="J17" s="26">
        <f>I17-(L10*I8)</f>
        <v>228264.99078541619</v>
      </c>
      <c r="K17" s="5"/>
      <c r="L17" s="5"/>
      <c r="M17" s="5"/>
      <c r="N17" s="13" t="s">
        <v>141</v>
      </c>
      <c r="O17" s="25">
        <f>I5</f>
        <v>95131</v>
      </c>
      <c r="P17" s="41"/>
      <c r="Q17" s="24"/>
      <c r="R17" s="24"/>
      <c r="S17" s="42"/>
      <c r="T17" s="30" t="s">
        <v>140</v>
      </c>
      <c r="U17" s="33">
        <f>R12</f>
        <v>69796.410321676827</v>
      </c>
      <c r="V17" s="24"/>
      <c r="W17" s="30" t="s">
        <v>151</v>
      </c>
      <c r="X17" s="32">
        <f>I20</f>
        <v>957123</v>
      </c>
    </row>
    <row r="18" spans="8:24" ht="15.75">
      <c r="H18" s="18" t="s">
        <v>108</v>
      </c>
      <c r="I18" s="25">
        <f>ONSV_AUX_2013!F60</f>
        <v>91519</v>
      </c>
      <c r="J18" s="26">
        <f>I18-(L11*I8)</f>
        <v>91515.388049845817</v>
      </c>
      <c r="K18" s="5"/>
      <c r="L18" s="5"/>
      <c r="M18" s="5"/>
      <c r="N18" s="13" t="s">
        <v>144</v>
      </c>
      <c r="O18" s="25">
        <f>I9</f>
        <v>46934</v>
      </c>
      <c r="P18" s="41"/>
      <c r="Q18" s="24"/>
      <c r="R18" s="24"/>
      <c r="S18" s="24"/>
      <c r="T18" s="30" t="s">
        <v>152</v>
      </c>
      <c r="U18" s="33">
        <f>I17-J17</f>
        <v>9.0092145838134456</v>
      </c>
      <c r="V18" s="24"/>
      <c r="W18" s="30" t="s">
        <v>153</v>
      </c>
      <c r="X18" s="32">
        <f>I21</f>
        <v>130129</v>
      </c>
    </row>
    <row r="19" spans="8:24" ht="15.75">
      <c r="H19" s="18" t="s">
        <v>109</v>
      </c>
      <c r="I19" s="25">
        <f>ONSV_AUX_2013!F61</f>
        <v>22881</v>
      </c>
      <c r="J19" s="4">
        <f>I19</f>
        <v>22881</v>
      </c>
      <c r="K19" s="5"/>
      <c r="L19" s="5"/>
      <c r="M19" s="5"/>
      <c r="N19" s="13" t="s">
        <v>137</v>
      </c>
      <c r="O19" s="25">
        <f>IF(OR((O8*I6&gt;J14),((O17+O18+(O8*I6))&gt;J14)),(J14-O17-O18),(O8*I6))</f>
        <v>937692.69221144367</v>
      </c>
      <c r="P19" s="41"/>
      <c r="Q19" s="24"/>
      <c r="R19" s="43"/>
      <c r="S19" s="24"/>
      <c r="T19" s="30" t="s">
        <v>148</v>
      </c>
      <c r="U19" s="37">
        <f>R15</f>
        <v>158468.58046373934</v>
      </c>
      <c r="V19" s="24"/>
      <c r="W19" s="24"/>
      <c r="X19" s="24"/>
    </row>
    <row r="20" spans="8:24" ht="15.75">
      <c r="H20" s="18" t="s">
        <v>110</v>
      </c>
      <c r="I20" s="25">
        <f>ONSV_AUX_2013!F62</f>
        <v>957123</v>
      </c>
      <c r="J20" s="4">
        <f>I20</f>
        <v>957123</v>
      </c>
      <c r="K20" s="5"/>
      <c r="L20" s="5"/>
      <c r="M20" s="5"/>
      <c r="N20" s="13" t="s">
        <v>149</v>
      </c>
      <c r="O20" s="25">
        <f>IF((J14-O17-O19-O18)&lt;0,0,(J14-O17-O19-O18))</f>
        <v>282246.55189521064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ONSV_AUX_2013!F63</f>
        <v>130129</v>
      </c>
      <c r="J21" s="4">
        <f>I21</f>
        <v>130129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2959922</v>
      </c>
    </row>
    <row r="22" spans="8:24" ht="15.75">
      <c r="H22" s="18" t="s">
        <v>112</v>
      </c>
      <c r="I22" s="25">
        <f>ONSV_AUX_2013!F64</f>
        <v>32813</v>
      </c>
      <c r="J22" s="4">
        <f>I22</f>
        <v>32813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ONSV_AUX_2013!F65</f>
        <v>15784</v>
      </c>
      <c r="J23" s="26">
        <f>I23-(L12*I8)</f>
        <v>15783.377058083746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X23"/>
  <sheetViews>
    <sheetView showGridLines="0" zoomScale="90" zoomScaleNormal="90" workbookViewId="0">
      <selection activeCell="I14" sqref="I1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15" customFormat="1" ht="15.75">
      <c r="A1" s="131" t="str">
        <f>"CEÁRA/"&amp;ONSV_AUX_2013!A1&amp;""</f>
        <v>CEÁRA/2013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ONSV_AUX_2013!G27</f>
        <v>62708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ONSV_AUX_2013!G28</f>
        <v>622097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ONSV_AUX_2013!G29</f>
        <v>175582</v>
      </c>
      <c r="J7" s="3"/>
      <c r="K7" s="1" t="s">
        <v>121</v>
      </c>
      <c r="L7" s="25">
        <f>I14+I17+I18+I23</f>
        <v>1041978</v>
      </c>
      <c r="N7" s="13" t="s">
        <v>122</v>
      </c>
      <c r="O7" s="25">
        <f>J14+J23</f>
        <v>858021.70710226125</v>
      </c>
      <c r="P7" s="29"/>
      <c r="Q7" s="30" t="s">
        <v>123</v>
      </c>
      <c r="R7" s="25">
        <f>J17+J18</f>
        <v>183935.29289773875</v>
      </c>
      <c r="S7" s="31"/>
      <c r="T7" s="30" t="s">
        <v>124</v>
      </c>
      <c r="U7" s="32">
        <f>O11</f>
        <v>12854.636922097947</v>
      </c>
      <c r="V7" s="24"/>
      <c r="W7" s="30" t="s">
        <v>125</v>
      </c>
      <c r="X7" s="33">
        <f>R13</f>
        <v>34138.873300387626</v>
      </c>
    </row>
    <row r="8" spans="1:24" ht="15.75">
      <c r="H8" s="17" t="s">
        <v>101</v>
      </c>
      <c r="I8" s="25">
        <f>ONSV_AUX_2013!G30</f>
        <v>21</v>
      </c>
      <c r="J8" s="3"/>
      <c r="K8" s="12"/>
      <c r="L8" s="27"/>
      <c r="M8" s="7"/>
      <c r="N8" s="13" t="s">
        <v>126</v>
      </c>
      <c r="O8" s="34">
        <f>J14/O7</f>
        <v>0.97933660358095609</v>
      </c>
      <c r="P8" s="29"/>
      <c r="Q8" s="35" t="s">
        <v>127</v>
      </c>
      <c r="R8" s="28">
        <f>J17/R7</f>
        <v>0.6114798927905446</v>
      </c>
      <c r="S8" s="36"/>
      <c r="T8" s="30" t="s">
        <v>128</v>
      </c>
      <c r="U8" s="32">
        <f>I23-J23</f>
        <v>0.3573300012103573</v>
      </c>
      <c r="V8" s="24"/>
      <c r="W8" s="30" t="s">
        <v>129</v>
      </c>
      <c r="X8" s="33">
        <f>I18-J18</f>
        <v>1.4402837679808727</v>
      </c>
    </row>
    <row r="9" spans="1:24" ht="15.75">
      <c r="H9" s="17" t="s">
        <v>16</v>
      </c>
      <c r="I9" s="25">
        <f>ONSV_AUX_2013!G31</f>
        <v>35050</v>
      </c>
      <c r="J9" s="3"/>
      <c r="K9" s="1" t="s">
        <v>130</v>
      </c>
      <c r="L9" s="28">
        <f>I14/L7</f>
        <v>0.80645560654831483</v>
      </c>
      <c r="M9" s="7"/>
      <c r="N9" s="13" t="s">
        <v>131</v>
      </c>
      <c r="O9" s="34">
        <f>J23/O7</f>
        <v>2.066339641904389E-2</v>
      </c>
      <c r="P9" s="29"/>
      <c r="Q9" s="35" t="s">
        <v>132</v>
      </c>
      <c r="R9" s="28">
        <f>J18/R7</f>
        <v>0.38852010720945529</v>
      </c>
      <c r="S9" s="36"/>
      <c r="T9" s="30" t="s">
        <v>133</v>
      </c>
      <c r="U9" s="37">
        <f>O13</f>
        <v>4875.0057479008428</v>
      </c>
      <c r="V9" s="38"/>
      <c r="W9" s="30" t="s">
        <v>134</v>
      </c>
      <c r="X9" s="37">
        <f>R16</f>
        <v>37323.686415844393</v>
      </c>
    </row>
    <row r="10" spans="1:24" ht="15.75">
      <c r="H10" s="17" t="s">
        <v>94</v>
      </c>
      <c r="I10" s="25">
        <f>ONSV_AUX_2013!G32</f>
        <v>1330630</v>
      </c>
      <c r="J10" s="4"/>
      <c r="K10" s="1" t="s">
        <v>2</v>
      </c>
      <c r="L10" s="28">
        <f>I17/L7</f>
        <v>0.10794373777565361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6.8584941332734475E-2</v>
      </c>
      <c r="M11" s="7"/>
      <c r="N11" s="13" t="s">
        <v>135</v>
      </c>
      <c r="O11" s="25">
        <f>IF(O9*I6&gt;J23,J23,O9*I6)</f>
        <v>12854.636922097947</v>
      </c>
      <c r="P11" s="41"/>
      <c r="Q11" s="30" t="s">
        <v>136</v>
      </c>
      <c r="R11" s="25">
        <f>I7-I15-I16-I19-I22</f>
        <v>87869</v>
      </c>
      <c r="S11" s="42"/>
      <c r="T11" s="30" t="s">
        <v>137</v>
      </c>
      <c r="U11" s="32">
        <f>O19</f>
        <v>609242.363077902</v>
      </c>
      <c r="V11" s="41"/>
      <c r="W11" s="30" t="s">
        <v>138</v>
      </c>
      <c r="X11" s="32">
        <f>I15</f>
        <v>58580</v>
      </c>
    </row>
    <row r="12" spans="1:24" ht="15.75">
      <c r="H12" s="9" t="s">
        <v>139</v>
      </c>
      <c r="K12" s="1" t="s">
        <v>0</v>
      </c>
      <c r="L12" s="28">
        <f>I23/L7</f>
        <v>1.7015714343297076E-2</v>
      </c>
      <c r="O12" s="24"/>
      <c r="P12" s="41"/>
      <c r="Q12" s="30" t="s">
        <v>140</v>
      </c>
      <c r="R12" s="25">
        <f>R8*R11</f>
        <v>53730.126699612367</v>
      </c>
      <c r="S12" s="24"/>
      <c r="T12" s="30" t="s">
        <v>141</v>
      </c>
      <c r="U12" s="32">
        <f>O17</f>
        <v>62708</v>
      </c>
      <c r="V12" s="31"/>
      <c r="W12" s="30" t="s">
        <v>142</v>
      </c>
      <c r="X12" s="32">
        <f>I16</f>
        <v>6661</v>
      </c>
    </row>
    <row r="13" spans="1:24" ht="15.75">
      <c r="K13" s="5"/>
      <c r="L13" s="5"/>
      <c r="M13" s="5"/>
      <c r="N13" s="13" t="s">
        <v>143</v>
      </c>
      <c r="O13" s="25">
        <f>J23-O11</f>
        <v>4875.0057479008428</v>
      </c>
      <c r="P13" s="41"/>
      <c r="Q13" s="30" t="s">
        <v>125</v>
      </c>
      <c r="R13" s="25">
        <f>R9*R11</f>
        <v>34138.873300387626</v>
      </c>
      <c r="S13" s="24"/>
      <c r="T13" s="30" t="s">
        <v>144</v>
      </c>
      <c r="U13" s="32">
        <f>O18</f>
        <v>35050</v>
      </c>
      <c r="V13" s="36"/>
      <c r="W13" s="24"/>
      <c r="X13" s="27"/>
    </row>
    <row r="14" spans="1:24" ht="15.75">
      <c r="H14" s="18" t="s">
        <v>104</v>
      </c>
      <c r="I14" s="25">
        <f>ONSV_AUX_2013!G56</f>
        <v>840309</v>
      </c>
      <c r="J14" s="26">
        <f>I14-(L9*I8)</f>
        <v>840292.06443226244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16.935567737556994</v>
      </c>
      <c r="V14" s="36"/>
      <c r="W14" s="30" t="s">
        <v>146</v>
      </c>
      <c r="X14" s="32">
        <f>I22</f>
        <v>13164</v>
      </c>
    </row>
    <row r="15" spans="1:24" ht="15.75">
      <c r="H15" s="18" t="s">
        <v>105</v>
      </c>
      <c r="I15" s="25">
        <f>ONSV_AUX_2013!G57</f>
        <v>58580</v>
      </c>
      <c r="J15" s="4">
        <f>I15</f>
        <v>58580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58742.606481894349</v>
      </c>
      <c r="S15" s="24"/>
      <c r="T15" s="30" t="s">
        <v>149</v>
      </c>
      <c r="U15" s="37">
        <f>O20</f>
        <v>133291.70135436044</v>
      </c>
      <c r="V15" s="24"/>
      <c r="W15" s="30" t="s">
        <v>150</v>
      </c>
      <c r="X15" s="32">
        <f>I19</f>
        <v>9308</v>
      </c>
    </row>
    <row r="16" spans="1:24" ht="15.75">
      <c r="H16" s="18" t="s">
        <v>106</v>
      </c>
      <c r="I16" s="25">
        <f>ONSV_AUX_2013!G58</f>
        <v>6661</v>
      </c>
      <c r="J16" s="4">
        <f>I16</f>
        <v>6661</v>
      </c>
      <c r="K16" s="5"/>
      <c r="L16" s="5"/>
      <c r="M16" s="5"/>
      <c r="O16" s="38"/>
      <c r="P16" s="41"/>
      <c r="Q16" s="30" t="s">
        <v>134</v>
      </c>
      <c r="R16" s="25">
        <f>J18-R13</f>
        <v>37323.686415844393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ONSV_AUX_2013!G59</f>
        <v>112475</v>
      </c>
      <c r="J17" s="26">
        <f>I17-(L10*I8)</f>
        <v>112472.73318150672</v>
      </c>
      <c r="K17" s="5"/>
      <c r="L17" s="5"/>
      <c r="M17" s="5"/>
      <c r="N17" s="13" t="s">
        <v>141</v>
      </c>
      <c r="O17" s="25">
        <f>I5</f>
        <v>62708</v>
      </c>
      <c r="P17" s="41"/>
      <c r="Q17" s="24"/>
      <c r="R17" s="24"/>
      <c r="S17" s="42"/>
      <c r="T17" s="30" t="s">
        <v>140</v>
      </c>
      <c r="U17" s="33">
        <f>R12</f>
        <v>53730.126699612367</v>
      </c>
      <c r="V17" s="24"/>
      <c r="W17" s="30" t="s">
        <v>151</v>
      </c>
      <c r="X17" s="32">
        <f>I20</f>
        <v>990192</v>
      </c>
    </row>
    <row r="18" spans="8:24" ht="15.75">
      <c r="H18" s="18" t="s">
        <v>108</v>
      </c>
      <c r="I18" s="25">
        <f>ONSV_AUX_2013!G60</f>
        <v>71464</v>
      </c>
      <c r="J18" s="26">
        <f>I18-(L11*I8)</f>
        <v>71462.559716232019</v>
      </c>
      <c r="K18" s="5"/>
      <c r="L18" s="5"/>
      <c r="M18" s="5"/>
      <c r="N18" s="13" t="s">
        <v>144</v>
      </c>
      <c r="O18" s="25">
        <f>I9</f>
        <v>35050</v>
      </c>
      <c r="P18" s="41"/>
      <c r="Q18" s="24"/>
      <c r="R18" s="24"/>
      <c r="S18" s="24"/>
      <c r="T18" s="30" t="s">
        <v>152</v>
      </c>
      <c r="U18" s="33">
        <f>I17-J17</f>
        <v>2.2668184932845179</v>
      </c>
      <c r="V18" s="24"/>
      <c r="W18" s="30" t="s">
        <v>153</v>
      </c>
      <c r="X18" s="32">
        <f>I21</f>
        <v>111145</v>
      </c>
    </row>
    <row r="19" spans="8:24" ht="15.75">
      <c r="H19" s="18" t="s">
        <v>109</v>
      </c>
      <c r="I19" s="25">
        <f>ONSV_AUX_2013!G61</f>
        <v>9308</v>
      </c>
      <c r="J19" s="4">
        <f>I19</f>
        <v>9308</v>
      </c>
      <c r="K19" s="5"/>
      <c r="L19" s="5"/>
      <c r="M19" s="5"/>
      <c r="N19" s="13" t="s">
        <v>137</v>
      </c>
      <c r="O19" s="25">
        <f>IF(OR((O8*I6&gt;J14),((O17+O18+(O8*I6))&gt;J14)),(J14-O17-O18),(O8*I6))</f>
        <v>609242.363077902</v>
      </c>
      <c r="P19" s="41"/>
      <c r="Q19" s="24"/>
      <c r="R19" s="43"/>
      <c r="S19" s="24"/>
      <c r="T19" s="30" t="s">
        <v>148</v>
      </c>
      <c r="U19" s="37">
        <f>R15</f>
        <v>58742.606481894349</v>
      </c>
      <c r="V19" s="24"/>
      <c r="W19" s="24"/>
      <c r="X19" s="24"/>
    </row>
    <row r="20" spans="8:24" ht="15.75">
      <c r="H20" s="18" t="s">
        <v>110</v>
      </c>
      <c r="I20" s="25">
        <f>ONSV_AUX_2013!G62</f>
        <v>990192</v>
      </c>
      <c r="J20" s="4">
        <f>I20</f>
        <v>990192</v>
      </c>
      <c r="K20" s="5"/>
      <c r="L20" s="5"/>
      <c r="M20" s="5"/>
      <c r="N20" s="13" t="s">
        <v>149</v>
      </c>
      <c r="O20" s="25">
        <f>IF((J14-O17-O19-O18)&lt;0,0,(J14-O17-O19-O18))</f>
        <v>133291.70135436044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ONSV_AUX_2013!G63</f>
        <v>111145</v>
      </c>
      <c r="J21" s="4">
        <f>I21</f>
        <v>111145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2231028</v>
      </c>
    </row>
    <row r="22" spans="8:24" ht="15.75">
      <c r="H22" s="18" t="s">
        <v>112</v>
      </c>
      <c r="I22" s="25">
        <f>ONSV_AUX_2013!G64</f>
        <v>13164</v>
      </c>
      <c r="J22" s="4">
        <f>I22</f>
        <v>13164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ONSV_AUX_2013!G65</f>
        <v>17730</v>
      </c>
      <c r="J23" s="26">
        <f>I23-(L12*I8)</f>
        <v>17729.64266999879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A1:F1"/>
    <mergeCell ref="K5:L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X23"/>
  <sheetViews>
    <sheetView showGridLines="0" topLeftCell="Q1" zoomScale="90" zoomScaleNormal="90" workbookViewId="0">
      <selection activeCell="U9" sqref="U9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2" max="12" width="10.85546875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12.28515625" customWidth="1"/>
  </cols>
  <sheetData>
    <row r="1" spans="1:24" s="15" customFormat="1" ht="15.75">
      <c r="A1" s="131" t="str">
        <f>"DISTRITO FEDERAL/"&amp;ONSV_AUX_2013!A1&amp;""</f>
        <v>DISTRITO FEDERAL/2013</v>
      </c>
      <c r="B1" s="132"/>
      <c r="C1" s="132"/>
      <c r="D1" s="132"/>
      <c r="E1" s="132"/>
      <c r="F1" s="13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>
      <c r="H3" s="8" t="s">
        <v>116</v>
      </c>
      <c r="N3" s="11"/>
      <c r="O3" s="11"/>
      <c r="P3" s="3"/>
      <c r="Q3" s="11"/>
      <c r="R3" s="11"/>
      <c r="S3" s="11"/>
      <c r="T3" s="10"/>
      <c r="U3" s="10"/>
      <c r="V3" s="10"/>
      <c r="W3" s="10"/>
      <c r="X3" s="10"/>
    </row>
    <row r="4" spans="1:24" ht="15.75">
      <c r="J4" s="3"/>
      <c r="M4" s="10"/>
      <c r="N4" s="3"/>
      <c r="O4" s="3"/>
      <c r="P4" s="3"/>
      <c r="Q4" s="5"/>
      <c r="R4" s="5"/>
      <c r="S4" s="5"/>
    </row>
    <row r="5" spans="1:24" ht="15.75">
      <c r="H5" s="17" t="s">
        <v>81</v>
      </c>
      <c r="I5" s="25">
        <f>ONSV_AUX_2013!H27</f>
        <v>59501</v>
      </c>
      <c r="J5" s="3"/>
      <c r="K5" s="133" t="s">
        <v>117</v>
      </c>
      <c r="L5" s="133"/>
      <c r="M5" s="3"/>
      <c r="N5" s="11" t="s">
        <v>118</v>
      </c>
      <c r="O5" s="11"/>
      <c r="Q5" s="11" t="s">
        <v>119</v>
      </c>
      <c r="R5" s="11"/>
      <c r="S5" s="11"/>
      <c r="T5" s="10" t="s">
        <v>120</v>
      </c>
      <c r="U5" s="10"/>
      <c r="V5" s="10"/>
      <c r="W5" s="10"/>
      <c r="X5" s="10"/>
    </row>
    <row r="6" spans="1:24" ht="15.75">
      <c r="H6" s="17" t="s">
        <v>84</v>
      </c>
      <c r="I6" s="25">
        <f>ONSV_AUX_2013!H28</f>
        <v>631605</v>
      </c>
      <c r="J6" s="3"/>
      <c r="K6" s="3"/>
      <c r="L6" s="3"/>
      <c r="M6" s="3"/>
      <c r="N6" s="3"/>
      <c r="O6" s="3"/>
      <c r="P6" s="7"/>
      <c r="Q6" s="5"/>
      <c r="R6" s="5"/>
      <c r="S6" s="5"/>
    </row>
    <row r="7" spans="1:24" ht="15.75">
      <c r="H7" s="17" t="s">
        <v>85</v>
      </c>
      <c r="I7" s="25">
        <f>ONSV_AUX_2013!H29</f>
        <v>82315</v>
      </c>
      <c r="J7" s="3"/>
      <c r="K7" s="1" t="s">
        <v>121</v>
      </c>
      <c r="L7" s="25">
        <f>I14+I17+I18+I23</f>
        <v>1237481</v>
      </c>
      <c r="N7" s="13" t="s">
        <v>122</v>
      </c>
      <c r="O7" s="25">
        <f>J14+J23</f>
        <v>1081862.2859550975</v>
      </c>
      <c r="P7" s="29"/>
      <c r="Q7" s="30" t="s">
        <v>123</v>
      </c>
      <c r="R7" s="25">
        <f>J17+J18</f>
        <v>155568.7140449025</v>
      </c>
      <c r="S7" s="31"/>
      <c r="T7" s="30" t="s">
        <v>124</v>
      </c>
      <c r="U7" s="32">
        <f>O11</f>
        <v>8508.7270751802844</v>
      </c>
      <c r="V7" s="24"/>
      <c r="W7" s="30" t="s">
        <v>125</v>
      </c>
      <c r="X7" s="33">
        <f>R13</f>
        <v>20279.120089988752</v>
      </c>
    </row>
    <row r="8" spans="1:24" ht="15.75">
      <c r="H8" s="17" t="s">
        <v>101</v>
      </c>
      <c r="I8" s="25">
        <f>ONSV_AUX_2013!H30</f>
        <v>50</v>
      </c>
      <c r="J8" s="3"/>
      <c r="K8" s="12"/>
      <c r="L8" s="27"/>
      <c r="M8" s="7"/>
      <c r="N8" s="13" t="s">
        <v>126</v>
      </c>
      <c r="O8" s="34">
        <f>J14/O7</f>
        <v>0.98652840450094548</v>
      </c>
      <c r="P8" s="29"/>
      <c r="Q8" s="35" t="s">
        <v>127</v>
      </c>
      <c r="R8" s="28">
        <f>J17/R7</f>
        <v>0.54132090631528196</v>
      </c>
      <c r="S8" s="36"/>
      <c r="T8" s="30" t="s">
        <v>128</v>
      </c>
      <c r="U8" s="32">
        <f>I23-J23</f>
        <v>0.5888979305545945</v>
      </c>
      <c r="V8" s="24"/>
      <c r="W8" s="30" t="s">
        <v>129</v>
      </c>
      <c r="X8" s="33">
        <f>I18-J18</f>
        <v>2.883236187059083</v>
      </c>
    </row>
    <row r="9" spans="1:24" ht="15.75">
      <c r="H9" s="17" t="s">
        <v>16</v>
      </c>
      <c r="I9" s="25">
        <f>ONSV_AUX_2013!H31</f>
        <v>1920</v>
      </c>
      <c r="J9" s="3"/>
      <c r="K9" s="1" t="s">
        <v>130</v>
      </c>
      <c r="L9" s="28">
        <f>I14/L7</f>
        <v>0.86250293943907019</v>
      </c>
      <c r="M9" s="7"/>
      <c r="N9" s="13" t="s">
        <v>131</v>
      </c>
      <c r="O9" s="34">
        <f>J23/O7</f>
        <v>1.3471595499054446E-2</v>
      </c>
      <c r="P9" s="29"/>
      <c r="Q9" s="35" t="s">
        <v>132</v>
      </c>
      <c r="R9" s="28">
        <f>J18/R7</f>
        <v>0.45867909368471799</v>
      </c>
      <c r="S9" s="36"/>
      <c r="T9" s="30" t="s">
        <v>133</v>
      </c>
      <c r="U9" s="37">
        <f>O13</f>
        <v>6065.684026889161</v>
      </c>
      <c r="V9" s="38"/>
      <c r="W9" s="30" t="s">
        <v>134</v>
      </c>
      <c r="X9" s="37">
        <f>R16</f>
        <v>51076.996673824193</v>
      </c>
    </row>
    <row r="10" spans="1:24" ht="15.75">
      <c r="H10" s="17" t="s">
        <v>94</v>
      </c>
      <c r="I10" s="25">
        <f>ONSV_AUX_2013!H32</f>
        <v>663198</v>
      </c>
      <c r="J10" s="4"/>
      <c r="K10" s="1" t="s">
        <v>2</v>
      </c>
      <c r="L10" s="28">
        <f>I17/L7</f>
        <v>6.8054378208635122E-2</v>
      </c>
      <c r="M10" s="7"/>
      <c r="N10" s="7"/>
      <c r="O10" s="39"/>
      <c r="P10" s="24"/>
      <c r="Q10" s="24"/>
      <c r="R10" s="24"/>
      <c r="S10" s="24"/>
      <c r="T10" s="24"/>
      <c r="U10" s="27"/>
      <c r="V10" s="40"/>
      <c r="W10" s="24"/>
      <c r="X10" s="27"/>
    </row>
    <row r="11" spans="1:24" ht="15.75">
      <c r="K11" s="1" t="s">
        <v>3</v>
      </c>
      <c r="L11" s="28">
        <f>I18/L7</f>
        <v>5.7664723741212995E-2</v>
      </c>
      <c r="M11" s="7"/>
      <c r="N11" s="13" t="s">
        <v>135</v>
      </c>
      <c r="O11" s="25">
        <f>IF(O9*I6&gt;J23,J23,O9*I6)</f>
        <v>8508.7270751802844</v>
      </c>
      <c r="P11" s="41"/>
      <c r="Q11" s="30" t="s">
        <v>136</v>
      </c>
      <c r="R11" s="25">
        <f>I7-I15-I16-I19-I22</f>
        <v>44212</v>
      </c>
      <c r="S11" s="42"/>
      <c r="T11" s="30" t="s">
        <v>137</v>
      </c>
      <c r="U11" s="32">
        <f>O19</f>
        <v>623096.27292481961</v>
      </c>
      <c r="V11" s="41"/>
      <c r="W11" s="30" t="s">
        <v>138</v>
      </c>
      <c r="X11" s="32">
        <f>I15</f>
        <v>21244</v>
      </c>
    </row>
    <row r="12" spans="1:24" ht="15.75">
      <c r="H12" s="9" t="s">
        <v>139</v>
      </c>
      <c r="K12" s="1" t="s">
        <v>0</v>
      </c>
      <c r="L12" s="28">
        <f>I23/L7</f>
        <v>1.1777958611081706E-2</v>
      </c>
      <c r="O12" s="24"/>
      <c r="P12" s="41"/>
      <c r="Q12" s="30" t="s">
        <v>140</v>
      </c>
      <c r="R12" s="25">
        <f>R8*R11</f>
        <v>23932.879910011245</v>
      </c>
      <c r="S12" s="24"/>
      <c r="T12" s="30" t="s">
        <v>141</v>
      </c>
      <c r="U12" s="32">
        <f>O17</f>
        <v>59501</v>
      </c>
      <c r="V12" s="31"/>
      <c r="W12" s="30" t="s">
        <v>142</v>
      </c>
      <c r="X12" s="32">
        <f>I16</f>
        <v>2900</v>
      </c>
    </row>
    <row r="13" spans="1:24" ht="15.75">
      <c r="K13" s="5"/>
      <c r="L13" s="5"/>
      <c r="M13" s="5"/>
      <c r="N13" s="13" t="s">
        <v>143</v>
      </c>
      <c r="O13" s="25">
        <f>J23-O11</f>
        <v>6065.684026889161</v>
      </c>
      <c r="P13" s="41"/>
      <c r="Q13" s="30" t="s">
        <v>125</v>
      </c>
      <c r="R13" s="25">
        <f>R9*R11</f>
        <v>20279.120089988752</v>
      </c>
      <c r="S13" s="24"/>
      <c r="T13" s="30" t="s">
        <v>144</v>
      </c>
      <c r="U13" s="32">
        <f>O18</f>
        <v>1920</v>
      </c>
      <c r="V13" s="36"/>
      <c r="W13" s="24"/>
      <c r="X13" s="27"/>
    </row>
    <row r="14" spans="1:24" ht="15.75">
      <c r="H14" s="18" t="s">
        <v>104</v>
      </c>
      <c r="I14" s="25">
        <f>ONSV_AUX_2013!H56</f>
        <v>1067331</v>
      </c>
      <c r="J14" s="26">
        <f>I14-(L9*I8)</f>
        <v>1067287.874853028</v>
      </c>
      <c r="K14" s="5"/>
      <c r="L14" s="5"/>
      <c r="M14" s="5"/>
      <c r="O14" s="41"/>
      <c r="P14" s="41"/>
      <c r="Q14" s="24"/>
      <c r="R14" s="43"/>
      <c r="S14" s="24"/>
      <c r="T14" s="30" t="s">
        <v>145</v>
      </c>
      <c r="U14" s="33">
        <f>I14-J14</f>
        <v>43.1251469720155</v>
      </c>
      <c r="V14" s="36"/>
      <c r="W14" s="30" t="s">
        <v>146</v>
      </c>
      <c r="X14" s="32">
        <f>I22</f>
        <v>9113</v>
      </c>
    </row>
    <row r="15" spans="1:24" ht="15.75">
      <c r="H15" s="18" t="s">
        <v>105</v>
      </c>
      <c r="I15" s="25">
        <f>ONSV_AUX_2013!H57</f>
        <v>21244</v>
      </c>
      <c r="J15" s="4">
        <f>I15</f>
        <v>21244</v>
      </c>
      <c r="K15" s="5"/>
      <c r="L15" s="5"/>
      <c r="M15" s="5"/>
      <c r="N15" s="11" t="s">
        <v>147</v>
      </c>
      <c r="O15" s="41"/>
      <c r="P15" s="41"/>
      <c r="Q15" s="30" t="s">
        <v>148</v>
      </c>
      <c r="R15" s="25">
        <f>J17-R12</f>
        <v>60279.717371078317</v>
      </c>
      <c r="S15" s="24"/>
      <c r="T15" s="30" t="s">
        <v>149</v>
      </c>
      <c r="U15" s="37">
        <f>O20</f>
        <v>382770.60192820837</v>
      </c>
      <c r="V15" s="24"/>
      <c r="W15" s="30" t="s">
        <v>150</v>
      </c>
      <c r="X15" s="32">
        <f>I19</f>
        <v>4846</v>
      </c>
    </row>
    <row r="16" spans="1:24" ht="15.75">
      <c r="H16" s="18" t="s">
        <v>106</v>
      </c>
      <c r="I16" s="25">
        <f>ONSV_AUX_2013!H58</f>
        <v>2900</v>
      </c>
      <c r="J16" s="4">
        <f>I16</f>
        <v>2900</v>
      </c>
      <c r="K16" s="5"/>
      <c r="L16" s="5"/>
      <c r="M16" s="5"/>
      <c r="O16" s="38"/>
      <c r="P16" s="41"/>
      <c r="Q16" s="30" t="s">
        <v>134</v>
      </c>
      <c r="R16" s="25">
        <f>J18-R13</f>
        <v>51076.996673824193</v>
      </c>
      <c r="S16" s="24"/>
      <c r="T16" s="24"/>
      <c r="U16" s="27"/>
      <c r="V16" s="42"/>
      <c r="W16" s="24"/>
      <c r="X16" s="27"/>
    </row>
    <row r="17" spans="8:24" ht="15.75">
      <c r="H17" s="18" t="s">
        <v>107</v>
      </c>
      <c r="I17" s="25">
        <f>ONSV_AUX_2013!H59</f>
        <v>84216</v>
      </c>
      <c r="J17" s="26">
        <f>I17-(L10*I8)</f>
        <v>84212.597281089562</v>
      </c>
      <c r="K17" s="5"/>
      <c r="L17" s="5"/>
      <c r="M17" s="5"/>
      <c r="N17" s="13" t="s">
        <v>141</v>
      </c>
      <c r="O17" s="25">
        <f>I5</f>
        <v>59501</v>
      </c>
      <c r="P17" s="41"/>
      <c r="Q17" s="24"/>
      <c r="R17" s="24"/>
      <c r="S17" s="42"/>
      <c r="T17" s="30" t="s">
        <v>140</v>
      </c>
      <c r="U17" s="33">
        <f>R12</f>
        <v>23932.879910011245</v>
      </c>
      <c r="V17" s="24"/>
      <c r="W17" s="30" t="s">
        <v>151</v>
      </c>
      <c r="X17" s="32">
        <f>I20</f>
        <v>150355</v>
      </c>
    </row>
    <row r="18" spans="8:24" ht="15.75">
      <c r="H18" s="18" t="s">
        <v>108</v>
      </c>
      <c r="I18" s="25">
        <f>ONSV_AUX_2013!H60</f>
        <v>71359</v>
      </c>
      <c r="J18" s="26">
        <f>I18-(L11*I8)</f>
        <v>71356.116763812941</v>
      </c>
      <c r="K18" s="5"/>
      <c r="L18" s="5"/>
      <c r="M18" s="5"/>
      <c r="N18" s="13" t="s">
        <v>144</v>
      </c>
      <c r="O18" s="25">
        <f>I9</f>
        <v>1920</v>
      </c>
      <c r="P18" s="41"/>
      <c r="Q18" s="24"/>
      <c r="R18" s="24"/>
      <c r="S18" s="24"/>
      <c r="T18" s="30" t="s">
        <v>152</v>
      </c>
      <c r="U18" s="33">
        <f>I17-J17</f>
        <v>3.402718910438125</v>
      </c>
      <c r="V18" s="24"/>
      <c r="W18" s="30" t="s">
        <v>153</v>
      </c>
      <c r="X18" s="32">
        <f>I21</f>
        <v>14122</v>
      </c>
    </row>
    <row r="19" spans="8:24" ht="15.75">
      <c r="H19" s="18" t="s">
        <v>109</v>
      </c>
      <c r="I19" s="25">
        <f>ONSV_AUX_2013!H61</f>
        <v>4846</v>
      </c>
      <c r="J19" s="4">
        <f>I19</f>
        <v>4846</v>
      </c>
      <c r="K19" s="5"/>
      <c r="L19" s="5"/>
      <c r="M19" s="5"/>
      <c r="N19" s="13" t="s">
        <v>137</v>
      </c>
      <c r="O19" s="25">
        <f>IF(OR((O8*I6&gt;J14),((O17+O18+(O8*I6))&gt;J14)),(J14-O17-O18),(O8*I6))</f>
        <v>623096.27292481961</v>
      </c>
      <c r="P19" s="41"/>
      <c r="Q19" s="24"/>
      <c r="R19" s="43"/>
      <c r="S19" s="24"/>
      <c r="T19" s="30" t="s">
        <v>148</v>
      </c>
      <c r="U19" s="37">
        <f>R15</f>
        <v>60279.717371078317</v>
      </c>
      <c r="V19" s="24"/>
      <c r="W19" s="24"/>
      <c r="X19" s="24"/>
    </row>
    <row r="20" spans="8:24" ht="15.75">
      <c r="H20" s="18" t="s">
        <v>110</v>
      </c>
      <c r="I20" s="25">
        <f>ONSV_AUX_2013!H62</f>
        <v>150355</v>
      </c>
      <c r="J20" s="4">
        <f>I20</f>
        <v>150355</v>
      </c>
      <c r="K20" s="5"/>
      <c r="L20" s="5"/>
      <c r="M20" s="5"/>
      <c r="N20" s="13" t="s">
        <v>149</v>
      </c>
      <c r="O20" s="25">
        <f>IF((J14-O17-O19-O18)&lt;0,0,(J14-O17-O19-O18))</f>
        <v>382770.60192820837</v>
      </c>
      <c r="P20" s="24"/>
      <c r="Q20" s="24"/>
      <c r="R20" s="24"/>
      <c r="S20" s="24"/>
      <c r="T20" s="24"/>
      <c r="U20" s="27"/>
      <c r="V20" s="24"/>
      <c r="W20" s="24"/>
      <c r="X20" s="24"/>
    </row>
    <row r="21" spans="8:24" ht="15.75">
      <c r="H21" s="18" t="s">
        <v>111</v>
      </c>
      <c r="I21" s="25">
        <f>ONSV_AUX_2013!H63</f>
        <v>14122</v>
      </c>
      <c r="J21" s="4">
        <f>I21</f>
        <v>14122</v>
      </c>
      <c r="K21" s="5"/>
      <c r="L21" s="5"/>
      <c r="M21" s="5"/>
      <c r="O21" s="24"/>
      <c r="P21" s="41"/>
      <c r="Q21" s="24"/>
      <c r="R21" s="24"/>
      <c r="S21" s="24"/>
      <c r="T21" s="44" t="s">
        <v>154</v>
      </c>
      <c r="U21" s="45">
        <f>(SUM(U7:U19,X7:X18)/SUM(I14:I23))-1</f>
        <v>0</v>
      </c>
      <c r="V21" s="24"/>
      <c r="W21" s="44" t="s">
        <v>10</v>
      </c>
      <c r="X21" s="32">
        <f>SUM(U7:U19,X7:X18)</f>
        <v>1440061</v>
      </c>
    </row>
    <row r="22" spans="8:24" ht="15.75">
      <c r="H22" s="18" t="s">
        <v>112</v>
      </c>
      <c r="I22" s="25">
        <f>ONSV_AUX_2013!H64</f>
        <v>9113</v>
      </c>
      <c r="J22" s="4">
        <f>I22</f>
        <v>9113</v>
      </c>
      <c r="K22" s="5"/>
      <c r="L22" s="5"/>
      <c r="M22" s="5"/>
      <c r="O22" s="24"/>
      <c r="P22" s="41"/>
      <c r="Q22" s="24"/>
      <c r="R22" s="24"/>
      <c r="S22" s="24"/>
      <c r="T22" s="24"/>
      <c r="U22" s="24"/>
      <c r="V22" s="24"/>
      <c r="W22" s="24"/>
      <c r="X22" s="24"/>
    </row>
    <row r="23" spans="8:24" ht="15.75">
      <c r="H23" s="18" t="s">
        <v>113</v>
      </c>
      <c r="I23" s="25">
        <f>ONSV_AUX_2013!H65</f>
        <v>14575</v>
      </c>
      <c r="J23" s="26">
        <f>I23-(L12*I8)</f>
        <v>14574.411102069445</v>
      </c>
      <c r="K23" s="6"/>
      <c r="L23" s="6"/>
      <c r="M23" s="6"/>
      <c r="N23" s="6"/>
      <c r="O23" s="6"/>
      <c r="P23" s="6"/>
      <c r="Q23" s="2"/>
      <c r="R23" s="2"/>
    </row>
  </sheetData>
  <mergeCells count="2">
    <mergeCell ref="K5:L5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5b26e6-7832-4067-9ceb-2941cfbb770c">
      <Terms xmlns="http://schemas.microsoft.com/office/infopath/2007/PartnerControls"/>
    </lcf76f155ced4ddcb4097134ff3c332f>
    <TaxCatchAll xmlns="ce29b8ed-6d9c-45d6-831d-9b2ee93b4f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270C7F360A7F47A1B720549C3E9397" ma:contentTypeVersion="11" ma:contentTypeDescription="Create a new document." ma:contentTypeScope="" ma:versionID="c9288f290db4371e77049984c4ad053e">
  <xsd:schema xmlns:xsd="http://www.w3.org/2001/XMLSchema" xmlns:xs="http://www.w3.org/2001/XMLSchema" xmlns:p="http://schemas.microsoft.com/office/2006/metadata/properties" xmlns:ns2="a35b26e6-7832-4067-9ceb-2941cfbb770c" xmlns:ns3="ce29b8ed-6d9c-45d6-831d-9b2ee93b4f7e" targetNamespace="http://schemas.microsoft.com/office/2006/metadata/properties" ma:root="true" ma:fieldsID="9eb003a68fbdb5cdeec7318484af4a94" ns2:_="" ns3:_="">
    <xsd:import namespace="a35b26e6-7832-4067-9ceb-2941cfbb770c"/>
    <xsd:import namespace="ce29b8ed-6d9c-45d6-831d-9b2ee93b4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b26e6-7832-4067-9ceb-2941cfbb7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9b8ed-6d9c-45d6-831d-9b2ee93b4f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e1a75e-c2e7-4bfb-84a0-05fbf59eaf5f}" ma:internalName="TaxCatchAll" ma:showField="CatchAllData" ma:web="ce29b8ed-6d9c-45d6-831d-9b2ee93b4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73339-36C6-4F8B-9E87-40F9AD19C915}"/>
</file>

<file path=customXml/itemProps2.xml><?xml version="1.0" encoding="utf-8"?>
<ds:datastoreItem xmlns:ds="http://schemas.openxmlformats.org/officeDocument/2006/customXml" ds:itemID="{5256FB30-DF10-413D-ADB7-1CB67F19059F}"/>
</file>

<file path=customXml/itemProps3.xml><?xml version="1.0" encoding="utf-8"?>
<ds:datastoreItem xmlns:ds="http://schemas.openxmlformats.org/officeDocument/2006/customXml" ds:itemID="{46EBF637-0E87-4AA5-8E42-4E39A843F2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 Fuhrmann</dc:creator>
  <cp:keywords/>
  <dc:description/>
  <cp:lastModifiedBy>Pedro Augusto</cp:lastModifiedBy>
  <cp:revision/>
  <dcterms:created xsi:type="dcterms:W3CDTF">2023-03-06T20:34:14Z</dcterms:created>
  <dcterms:modified xsi:type="dcterms:W3CDTF">2023-08-09T19:45:41Z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0x01010033270C7F360A7F47A1B720549C3E9397</vt:lpwstr>
  </property>
  <property fmtid="{D5CDD505-2E9C-101B-9397-08002B2CF9AE}" pid="3" name="MediaServiceImageTags">
    <vt:lpwstr/>
  </property>
</Properties>
</file>