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Versão Final\"/>
    </mc:Choice>
  </mc:AlternateContent>
  <xr:revisionPtr revIDLastSave="0" documentId="11_CB4D2EBF5920DE6D2D2B4186D28FC45727EA09F0" xr6:coauthVersionLast="47" xr6:coauthVersionMax="47" xr10:uidLastSave="{00000000-0000-0000-0000-000000000000}"/>
  <bookViews>
    <workbookView xWindow="0" yWindow="0" windowWidth="14145" windowHeight="5580" tabRatio="959" xr2:uid="{00000000-000D-0000-FFFF-FFFF00000000}"/>
  </bookViews>
  <sheets>
    <sheet name="ONSV_2018" sheetId="43" r:id="rId1"/>
    <sheet name="ONSV_2017" sheetId="41" r:id="rId2"/>
    <sheet name="ONSV_2016" sheetId="39" r:id="rId3"/>
    <sheet name="ONSV_2015" sheetId="40" r:id="rId4"/>
    <sheet name="ONSV_2014" sheetId="44" r:id="rId5"/>
    <sheet name="ONSV_AUX_2018" sheetId="42" r:id="rId6"/>
    <sheet name="ONSV_AUX_2017" sheetId="4" r:id="rId7"/>
    <sheet name="ONSV_AUX_2016" sheetId="34" r:id="rId8"/>
    <sheet name="ONSV_AUX_2015" sheetId="35" r:id="rId9"/>
    <sheet name="ONSV_AUX_2014" sheetId="37" r:id="rId10"/>
    <sheet name="AC" sheetId="3" r:id="rId11"/>
    <sheet name="AL" sheetId="7" r:id="rId12"/>
    <sheet name="AP" sheetId="8" r:id="rId13"/>
    <sheet name="AM" sheetId="9" r:id="rId14"/>
    <sheet name="BA" sheetId="10" r:id="rId15"/>
    <sheet name="CE" sheetId="11" r:id="rId16"/>
    <sheet name="DF" sheetId="12" r:id="rId17"/>
    <sheet name="ES" sheetId="13" r:id="rId18"/>
    <sheet name="GO" sheetId="14" r:id="rId19"/>
    <sheet name="MA" sheetId="15" r:id="rId20"/>
    <sheet name="MT" sheetId="16" r:id="rId21"/>
    <sheet name="MS" sheetId="17" r:id="rId22"/>
    <sheet name="MG" sheetId="18" r:id="rId23"/>
    <sheet name="PA" sheetId="19" r:id="rId24"/>
    <sheet name="PB" sheetId="20" r:id="rId25"/>
    <sheet name="PR" sheetId="21" r:id="rId26"/>
    <sheet name="PE" sheetId="22" r:id="rId27"/>
    <sheet name="PI" sheetId="23" r:id="rId28"/>
    <sheet name="RJ" sheetId="24" r:id="rId29"/>
    <sheet name="RN" sheetId="25" r:id="rId30"/>
    <sheet name="RS" sheetId="26" r:id="rId31"/>
    <sheet name="RO" sheetId="27" r:id="rId32"/>
    <sheet name="RR" sheetId="28" r:id="rId33"/>
    <sheet name="SC" sheetId="29" r:id="rId34"/>
    <sheet name="SP" sheetId="30" r:id="rId35"/>
    <sheet name="SE" sheetId="31" r:id="rId36"/>
    <sheet name="TO" sheetId="32" r:id="rId3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8" i="42" l="1"/>
  <c r="A2" i="43" l="1"/>
  <c r="A2" i="41"/>
  <c r="A2" i="39"/>
  <c r="A2" i="40"/>
  <c r="A2" i="44"/>
  <c r="AD21" i="42" l="1"/>
  <c r="AD4" i="42"/>
  <c r="AB23" i="42"/>
  <c r="O23" i="42"/>
  <c r="A100" i="32"/>
  <c r="A75" i="32"/>
  <c r="A50" i="32"/>
  <c r="A25" i="32"/>
  <c r="A1" i="32"/>
  <c r="A100" i="31"/>
  <c r="A75" i="31"/>
  <c r="A50" i="31"/>
  <c r="A25" i="31"/>
  <c r="A1" i="31"/>
  <c r="A100" i="30"/>
  <c r="A75" i="30"/>
  <c r="A50" i="30"/>
  <c r="A25" i="30"/>
  <c r="A1" i="30"/>
  <c r="A100" i="29"/>
  <c r="A75" i="29"/>
  <c r="A50" i="29"/>
  <c r="A25" i="29"/>
  <c r="A1" i="29"/>
  <c r="A100" i="28"/>
  <c r="A75" i="28"/>
  <c r="A50" i="28"/>
  <c r="A25" i="28"/>
  <c r="A1" i="28"/>
  <c r="A100" i="27"/>
  <c r="A75" i="27"/>
  <c r="A50" i="27"/>
  <c r="A25" i="27"/>
  <c r="A1" i="27"/>
  <c r="A100" i="26"/>
  <c r="A75" i="26"/>
  <c r="A50" i="26"/>
  <c r="A25" i="26"/>
  <c r="A1" i="26"/>
  <c r="A100" i="25"/>
  <c r="A75" i="25"/>
  <c r="A50" i="25"/>
  <c r="A25" i="25"/>
  <c r="A1" i="25"/>
  <c r="A100" i="24"/>
  <c r="A75" i="24"/>
  <c r="A50" i="24"/>
  <c r="A25" i="24"/>
  <c r="A1" i="24"/>
  <c r="A100" i="23"/>
  <c r="A75" i="23"/>
  <c r="A50" i="23"/>
  <c r="A25" i="23"/>
  <c r="A1" i="23"/>
  <c r="A100" i="22"/>
  <c r="A75" i="22"/>
  <c r="A50" i="22"/>
  <c r="A25" i="22"/>
  <c r="A1" i="22"/>
  <c r="A100" i="21"/>
  <c r="A75" i="21"/>
  <c r="A50" i="21"/>
  <c r="A25" i="21"/>
  <c r="A1" i="21"/>
  <c r="AB49" i="42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C49" i="34"/>
  <c r="D49" i="34"/>
  <c r="E49" i="34"/>
  <c r="F49" i="34"/>
  <c r="G49" i="34"/>
  <c r="H49" i="34"/>
  <c r="I49" i="34"/>
  <c r="J49" i="34"/>
  <c r="K49" i="34"/>
  <c r="L49" i="34"/>
  <c r="M49" i="34"/>
  <c r="N49" i="34"/>
  <c r="O49" i="34"/>
  <c r="P49" i="34"/>
  <c r="Q49" i="34"/>
  <c r="R49" i="34"/>
  <c r="S49" i="34"/>
  <c r="T49" i="34"/>
  <c r="U49" i="34"/>
  <c r="V49" i="34"/>
  <c r="W49" i="34"/>
  <c r="X49" i="34"/>
  <c r="Y49" i="34"/>
  <c r="Z49" i="34"/>
  <c r="AA49" i="34"/>
  <c r="AB49" i="34"/>
  <c r="C49" i="37"/>
  <c r="D49" i="37"/>
  <c r="E49" i="37"/>
  <c r="F49" i="37"/>
  <c r="G49" i="37"/>
  <c r="H49" i="37"/>
  <c r="I49" i="37"/>
  <c r="J49" i="37"/>
  <c r="K49" i="37"/>
  <c r="L49" i="37"/>
  <c r="M49" i="37"/>
  <c r="N49" i="37"/>
  <c r="O49" i="37"/>
  <c r="P49" i="37"/>
  <c r="Q49" i="37"/>
  <c r="R49" i="37"/>
  <c r="S49" i="37"/>
  <c r="T49" i="37"/>
  <c r="U49" i="37"/>
  <c r="V49" i="37"/>
  <c r="W49" i="37"/>
  <c r="X49" i="37"/>
  <c r="Y49" i="37"/>
  <c r="Z49" i="37"/>
  <c r="AA49" i="37"/>
  <c r="AB49" i="37"/>
  <c r="B49" i="37"/>
  <c r="C49" i="35"/>
  <c r="D49" i="35"/>
  <c r="E49" i="35"/>
  <c r="F49" i="35"/>
  <c r="G49" i="35"/>
  <c r="H49" i="35"/>
  <c r="I49" i="35"/>
  <c r="J49" i="35"/>
  <c r="K49" i="35"/>
  <c r="L49" i="35"/>
  <c r="M49" i="35"/>
  <c r="N49" i="35"/>
  <c r="O49" i="35"/>
  <c r="P49" i="35"/>
  <c r="Q49" i="35"/>
  <c r="R49" i="35"/>
  <c r="S49" i="35"/>
  <c r="T49" i="35"/>
  <c r="U49" i="35"/>
  <c r="V49" i="35"/>
  <c r="W49" i="35"/>
  <c r="X49" i="35"/>
  <c r="Y49" i="35"/>
  <c r="Z49" i="35"/>
  <c r="AA49" i="35"/>
  <c r="AB49" i="35"/>
  <c r="B49" i="35"/>
  <c r="C32" i="37"/>
  <c r="B32" i="37"/>
  <c r="B31" i="37"/>
  <c r="B30" i="37"/>
  <c r="B28" i="37"/>
  <c r="B27" i="37"/>
  <c r="AB32" i="42"/>
  <c r="AA32" i="42"/>
  <c r="Z32" i="42"/>
  <c r="Y32" i="42"/>
  <c r="X32" i="42"/>
  <c r="W32" i="42"/>
  <c r="V32" i="42"/>
  <c r="U32" i="42"/>
  <c r="T32" i="42"/>
  <c r="S32" i="42"/>
  <c r="R32" i="42"/>
  <c r="Q32" i="42"/>
  <c r="P32" i="42"/>
  <c r="O32" i="42"/>
  <c r="N32" i="42"/>
  <c r="M32" i="42"/>
  <c r="L32" i="42"/>
  <c r="K32" i="42"/>
  <c r="J32" i="42"/>
  <c r="I32" i="42"/>
  <c r="H32" i="42"/>
  <c r="G32" i="42"/>
  <c r="F32" i="42"/>
  <c r="E32" i="42"/>
  <c r="D32" i="42"/>
  <c r="C32" i="42"/>
  <c r="B32" i="42"/>
  <c r="AD32" i="42" s="1"/>
  <c r="AB31" i="42"/>
  <c r="AA31" i="42"/>
  <c r="Z31" i="42"/>
  <c r="Y31" i="42"/>
  <c r="X31" i="42"/>
  <c r="W31" i="42"/>
  <c r="V31" i="42"/>
  <c r="U31" i="42"/>
  <c r="T31" i="42"/>
  <c r="S31" i="42"/>
  <c r="R31" i="42"/>
  <c r="Q31" i="42"/>
  <c r="P31" i="42"/>
  <c r="O31" i="42"/>
  <c r="N31" i="42"/>
  <c r="M31" i="42"/>
  <c r="L31" i="42"/>
  <c r="K31" i="42"/>
  <c r="J31" i="42"/>
  <c r="I31" i="42"/>
  <c r="H31" i="42"/>
  <c r="G31" i="42"/>
  <c r="F31" i="42"/>
  <c r="E31" i="42"/>
  <c r="D31" i="42"/>
  <c r="C31" i="42"/>
  <c r="B31" i="42"/>
  <c r="AB30" i="42"/>
  <c r="AA30" i="42"/>
  <c r="Z30" i="42"/>
  <c r="Y30" i="42"/>
  <c r="X30" i="42"/>
  <c r="W30" i="42"/>
  <c r="V30" i="42"/>
  <c r="U30" i="42"/>
  <c r="T30" i="42"/>
  <c r="S30" i="42"/>
  <c r="R30" i="42"/>
  <c r="Q30" i="42"/>
  <c r="P30" i="42"/>
  <c r="O30" i="42"/>
  <c r="N30" i="42"/>
  <c r="M30" i="42"/>
  <c r="L30" i="42"/>
  <c r="K30" i="42"/>
  <c r="J30" i="42"/>
  <c r="I30" i="42"/>
  <c r="H30" i="42"/>
  <c r="G30" i="42"/>
  <c r="F30" i="42"/>
  <c r="E30" i="42"/>
  <c r="D30" i="42"/>
  <c r="C30" i="42"/>
  <c r="B30" i="42"/>
  <c r="AB29" i="42"/>
  <c r="AA29" i="42"/>
  <c r="Z29" i="42"/>
  <c r="Y29" i="42"/>
  <c r="X29" i="42"/>
  <c r="W29" i="42"/>
  <c r="V29" i="42"/>
  <c r="U29" i="42"/>
  <c r="T29" i="42"/>
  <c r="S29" i="42"/>
  <c r="R29" i="42"/>
  <c r="Q29" i="42"/>
  <c r="P29" i="42"/>
  <c r="O29" i="42"/>
  <c r="N29" i="42"/>
  <c r="M29" i="42"/>
  <c r="L29" i="42"/>
  <c r="K29" i="42"/>
  <c r="J29" i="42"/>
  <c r="I29" i="42"/>
  <c r="H29" i="42"/>
  <c r="G29" i="42"/>
  <c r="F29" i="42"/>
  <c r="E29" i="42"/>
  <c r="D29" i="42"/>
  <c r="C29" i="42"/>
  <c r="B29" i="42"/>
  <c r="AB28" i="42"/>
  <c r="AA28" i="42"/>
  <c r="Z28" i="42"/>
  <c r="Y28" i="42"/>
  <c r="X28" i="42"/>
  <c r="W28" i="42"/>
  <c r="V28" i="42"/>
  <c r="U28" i="42"/>
  <c r="T28" i="42"/>
  <c r="S28" i="42"/>
  <c r="R28" i="42"/>
  <c r="Q28" i="42"/>
  <c r="P28" i="42"/>
  <c r="O28" i="42"/>
  <c r="N28" i="42"/>
  <c r="M28" i="42"/>
  <c r="L28" i="42"/>
  <c r="K28" i="42"/>
  <c r="J28" i="42"/>
  <c r="I28" i="42"/>
  <c r="H28" i="42"/>
  <c r="G28" i="42"/>
  <c r="F28" i="42"/>
  <c r="E28" i="42"/>
  <c r="D28" i="42"/>
  <c r="C28" i="42"/>
  <c r="B28" i="42"/>
  <c r="AB27" i="42"/>
  <c r="AB34" i="42" s="1"/>
  <c r="AA27" i="42"/>
  <c r="AA34" i="42" s="1"/>
  <c r="Z27" i="42"/>
  <c r="Z34" i="42" s="1"/>
  <c r="Y27" i="42"/>
  <c r="Y34" i="42" s="1"/>
  <c r="X27" i="42"/>
  <c r="X34" i="42" s="1"/>
  <c r="W27" i="42"/>
  <c r="W34" i="42" s="1"/>
  <c r="V27" i="42"/>
  <c r="V34" i="42" s="1"/>
  <c r="U27" i="42"/>
  <c r="U34" i="42" s="1"/>
  <c r="T27" i="42"/>
  <c r="T34" i="42" s="1"/>
  <c r="S27" i="42"/>
  <c r="S34" i="42" s="1"/>
  <c r="R27" i="42"/>
  <c r="R34" i="42" s="1"/>
  <c r="Q27" i="42"/>
  <c r="Q34" i="42" s="1"/>
  <c r="P27" i="42"/>
  <c r="P34" i="42" s="1"/>
  <c r="O27" i="42"/>
  <c r="O34" i="42" s="1"/>
  <c r="N27" i="42"/>
  <c r="N34" i="42" s="1"/>
  <c r="M27" i="42"/>
  <c r="M34" i="42" s="1"/>
  <c r="L27" i="42"/>
  <c r="L34" i="42" s="1"/>
  <c r="K27" i="42"/>
  <c r="K34" i="42" s="1"/>
  <c r="J27" i="42"/>
  <c r="J34" i="42" s="1"/>
  <c r="I27" i="42"/>
  <c r="I34" i="42" s="1"/>
  <c r="H27" i="42"/>
  <c r="H34" i="42" s="1"/>
  <c r="G27" i="42"/>
  <c r="G34" i="42" s="1"/>
  <c r="F27" i="42"/>
  <c r="F34" i="42" s="1"/>
  <c r="E27" i="42"/>
  <c r="E34" i="42" s="1"/>
  <c r="D27" i="42"/>
  <c r="D34" i="42" s="1"/>
  <c r="C27" i="42"/>
  <c r="C34" i="42" s="1"/>
  <c r="B27" i="42"/>
  <c r="AB32" i="37"/>
  <c r="AA32" i="37"/>
  <c r="Z32" i="37"/>
  <c r="Y32" i="37"/>
  <c r="X32" i="37"/>
  <c r="W32" i="37"/>
  <c r="V32" i="37"/>
  <c r="U32" i="37"/>
  <c r="T32" i="37"/>
  <c r="S32" i="37"/>
  <c r="R32" i="37"/>
  <c r="Q32" i="37"/>
  <c r="P32" i="37"/>
  <c r="O32" i="37"/>
  <c r="N32" i="37"/>
  <c r="M32" i="37"/>
  <c r="L32" i="37"/>
  <c r="K32" i="37"/>
  <c r="J32" i="37"/>
  <c r="I32" i="37"/>
  <c r="H32" i="37"/>
  <c r="G32" i="37"/>
  <c r="F32" i="37"/>
  <c r="E32" i="37"/>
  <c r="D32" i="37"/>
  <c r="AB31" i="37"/>
  <c r="AA31" i="37"/>
  <c r="Z31" i="37"/>
  <c r="Y31" i="37"/>
  <c r="X31" i="37"/>
  <c r="W31" i="37"/>
  <c r="V31" i="37"/>
  <c r="U31" i="37"/>
  <c r="T31" i="37"/>
  <c r="S31" i="37"/>
  <c r="R31" i="37"/>
  <c r="Q31" i="37"/>
  <c r="P31" i="37"/>
  <c r="O31" i="37"/>
  <c r="N31" i="37"/>
  <c r="M31" i="37"/>
  <c r="L31" i="37"/>
  <c r="K31" i="37"/>
  <c r="J31" i="37"/>
  <c r="I31" i="37"/>
  <c r="H31" i="37"/>
  <c r="G31" i="37"/>
  <c r="F31" i="37"/>
  <c r="E31" i="37"/>
  <c r="D31" i="37"/>
  <c r="C31" i="37"/>
  <c r="AB30" i="37"/>
  <c r="AA30" i="37"/>
  <c r="Z30" i="37"/>
  <c r="Y30" i="37"/>
  <c r="X30" i="37"/>
  <c r="W30" i="37"/>
  <c r="V30" i="37"/>
  <c r="U30" i="37"/>
  <c r="T30" i="37"/>
  <c r="S30" i="37"/>
  <c r="R30" i="37"/>
  <c r="Q30" i="37"/>
  <c r="P30" i="37"/>
  <c r="O30" i="37"/>
  <c r="N30" i="37"/>
  <c r="M30" i="37"/>
  <c r="L30" i="37"/>
  <c r="K30" i="37"/>
  <c r="J30" i="37"/>
  <c r="I30" i="37"/>
  <c r="H30" i="37"/>
  <c r="G30" i="37"/>
  <c r="F30" i="37"/>
  <c r="E30" i="37"/>
  <c r="D30" i="37"/>
  <c r="C30" i="37"/>
  <c r="AB29" i="37"/>
  <c r="AA29" i="37"/>
  <c r="Z29" i="37"/>
  <c r="Y29" i="37"/>
  <c r="X29" i="37"/>
  <c r="W29" i="37"/>
  <c r="V29" i="37"/>
  <c r="U29" i="37"/>
  <c r="T29" i="37"/>
  <c r="S29" i="37"/>
  <c r="R29" i="37"/>
  <c r="Q29" i="37"/>
  <c r="P29" i="37"/>
  <c r="O29" i="37"/>
  <c r="N29" i="37"/>
  <c r="M29" i="37"/>
  <c r="L29" i="37"/>
  <c r="K29" i="37"/>
  <c r="J29" i="37"/>
  <c r="I29" i="37"/>
  <c r="H29" i="37"/>
  <c r="G29" i="37"/>
  <c r="F29" i="37"/>
  <c r="E29" i="37"/>
  <c r="D29" i="37"/>
  <c r="C29" i="37"/>
  <c r="B29" i="37"/>
  <c r="B34" i="37" s="1"/>
  <c r="AB28" i="37"/>
  <c r="AA28" i="37"/>
  <c r="Z28" i="37"/>
  <c r="Y28" i="37"/>
  <c r="X28" i="37"/>
  <c r="W28" i="37"/>
  <c r="V28" i="37"/>
  <c r="U28" i="37"/>
  <c r="T28" i="37"/>
  <c r="S28" i="37"/>
  <c r="R28" i="37"/>
  <c r="Q28" i="37"/>
  <c r="P28" i="37"/>
  <c r="O28" i="37"/>
  <c r="N28" i="37"/>
  <c r="M28" i="37"/>
  <c r="L28" i="37"/>
  <c r="K28" i="37"/>
  <c r="J28" i="37"/>
  <c r="I28" i="37"/>
  <c r="H28" i="37"/>
  <c r="G28" i="37"/>
  <c r="F28" i="37"/>
  <c r="E28" i="37"/>
  <c r="D28" i="37"/>
  <c r="C28" i="37"/>
  <c r="AB27" i="37"/>
  <c r="AB34" i="37" s="1"/>
  <c r="AA27" i="37"/>
  <c r="Z27" i="37"/>
  <c r="Y27" i="37"/>
  <c r="X27" i="37"/>
  <c r="W27" i="37"/>
  <c r="V27" i="37"/>
  <c r="U27" i="37"/>
  <c r="T27" i="37"/>
  <c r="S27" i="37"/>
  <c r="R27" i="37"/>
  <c r="Q27" i="37"/>
  <c r="P27" i="37"/>
  <c r="O27" i="37"/>
  <c r="N27" i="37"/>
  <c r="M27" i="37"/>
  <c r="L27" i="37"/>
  <c r="K27" i="37"/>
  <c r="J27" i="37"/>
  <c r="I27" i="37"/>
  <c r="H27" i="37"/>
  <c r="G27" i="37"/>
  <c r="F27" i="37"/>
  <c r="E27" i="37"/>
  <c r="D27" i="37"/>
  <c r="C27" i="37"/>
  <c r="AB32" i="35"/>
  <c r="AA32" i="35"/>
  <c r="Z32" i="35"/>
  <c r="Y32" i="35"/>
  <c r="X32" i="35"/>
  <c r="W32" i="35"/>
  <c r="V32" i="35"/>
  <c r="U32" i="35"/>
  <c r="T32" i="35"/>
  <c r="S32" i="35"/>
  <c r="R32" i="35"/>
  <c r="Q32" i="35"/>
  <c r="P32" i="35"/>
  <c r="O32" i="35"/>
  <c r="N32" i="35"/>
  <c r="M32" i="35"/>
  <c r="L32" i="35"/>
  <c r="K32" i="35"/>
  <c r="J32" i="35"/>
  <c r="I32" i="35"/>
  <c r="H32" i="35"/>
  <c r="G32" i="35"/>
  <c r="F32" i="35"/>
  <c r="E32" i="35"/>
  <c r="D32" i="35"/>
  <c r="C32" i="35"/>
  <c r="B32" i="35"/>
  <c r="AB31" i="35"/>
  <c r="AA31" i="35"/>
  <c r="Z31" i="35"/>
  <c r="Y31" i="35"/>
  <c r="X31" i="35"/>
  <c r="W31" i="35"/>
  <c r="V31" i="35"/>
  <c r="U31" i="35"/>
  <c r="T31" i="35"/>
  <c r="S31" i="35"/>
  <c r="R31" i="35"/>
  <c r="Q31" i="35"/>
  <c r="P31" i="35"/>
  <c r="O31" i="35"/>
  <c r="N31" i="35"/>
  <c r="M31" i="35"/>
  <c r="L31" i="35"/>
  <c r="K31" i="35"/>
  <c r="J31" i="35"/>
  <c r="I31" i="35"/>
  <c r="H31" i="35"/>
  <c r="G31" i="35"/>
  <c r="F31" i="35"/>
  <c r="E31" i="35"/>
  <c r="D31" i="35"/>
  <c r="C31" i="35"/>
  <c r="B31" i="35"/>
  <c r="AB30" i="35"/>
  <c r="AA30" i="35"/>
  <c r="Z30" i="35"/>
  <c r="Y30" i="35"/>
  <c r="X30" i="35"/>
  <c r="W30" i="35"/>
  <c r="V30" i="35"/>
  <c r="U30" i="35"/>
  <c r="T30" i="35"/>
  <c r="S30" i="35"/>
  <c r="R30" i="35"/>
  <c r="Q30" i="35"/>
  <c r="P30" i="35"/>
  <c r="O30" i="35"/>
  <c r="N30" i="35"/>
  <c r="M30" i="35"/>
  <c r="L30" i="35"/>
  <c r="K30" i="35"/>
  <c r="J30" i="35"/>
  <c r="I30" i="35"/>
  <c r="H30" i="35"/>
  <c r="G30" i="35"/>
  <c r="F30" i="35"/>
  <c r="E30" i="35"/>
  <c r="D30" i="35"/>
  <c r="C30" i="35"/>
  <c r="B30" i="35"/>
  <c r="AB29" i="35"/>
  <c r="AA29" i="35"/>
  <c r="Z29" i="35"/>
  <c r="Y29" i="35"/>
  <c r="X29" i="35"/>
  <c r="W29" i="35"/>
  <c r="V29" i="35"/>
  <c r="U29" i="35"/>
  <c r="T29" i="35"/>
  <c r="S29" i="35"/>
  <c r="R29" i="35"/>
  <c r="Q29" i="35"/>
  <c r="P29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C29" i="35"/>
  <c r="B29" i="35"/>
  <c r="AB28" i="35"/>
  <c r="AA28" i="35"/>
  <c r="Z28" i="35"/>
  <c r="Y28" i="35"/>
  <c r="X28" i="35"/>
  <c r="W28" i="35"/>
  <c r="V28" i="35"/>
  <c r="U28" i="35"/>
  <c r="T28" i="35"/>
  <c r="S28" i="35"/>
  <c r="R28" i="35"/>
  <c r="Q28" i="35"/>
  <c r="P28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C28" i="35"/>
  <c r="B28" i="35"/>
  <c r="AB27" i="35"/>
  <c r="AA27" i="35"/>
  <c r="Z27" i="35"/>
  <c r="Y27" i="35"/>
  <c r="X27" i="35"/>
  <c r="W27" i="35"/>
  <c r="V27" i="35"/>
  <c r="U27" i="35"/>
  <c r="T27" i="35"/>
  <c r="S27" i="35"/>
  <c r="R27" i="35"/>
  <c r="Q27" i="35"/>
  <c r="P27" i="35"/>
  <c r="O27" i="35"/>
  <c r="N27" i="35"/>
  <c r="M27" i="35"/>
  <c r="L27" i="35"/>
  <c r="K27" i="35"/>
  <c r="J27" i="35"/>
  <c r="I27" i="35"/>
  <c r="H27" i="35"/>
  <c r="G27" i="35"/>
  <c r="F27" i="35"/>
  <c r="E27" i="35"/>
  <c r="D27" i="35"/>
  <c r="C27" i="35"/>
  <c r="B27" i="35"/>
  <c r="AB23" i="37"/>
  <c r="A100" i="20"/>
  <c r="A75" i="20"/>
  <c r="A50" i="20"/>
  <c r="A25" i="20"/>
  <c r="A1" i="20"/>
  <c r="A100" i="19"/>
  <c r="A75" i="19"/>
  <c r="A50" i="19"/>
  <c r="A25" i="19"/>
  <c r="A1" i="19"/>
  <c r="A100" i="18"/>
  <c r="A75" i="18"/>
  <c r="A50" i="18"/>
  <c r="A25" i="18"/>
  <c r="A1" i="18"/>
  <c r="A100" i="17"/>
  <c r="A75" i="17"/>
  <c r="A50" i="17"/>
  <c r="A25" i="17"/>
  <c r="A1" i="17"/>
  <c r="A100" i="16"/>
  <c r="A75" i="16"/>
  <c r="A50" i="16"/>
  <c r="A25" i="16"/>
  <c r="A1" i="16"/>
  <c r="A100" i="15"/>
  <c r="A75" i="15"/>
  <c r="A50" i="15"/>
  <c r="A25" i="15"/>
  <c r="A1" i="15"/>
  <c r="A100" i="14"/>
  <c r="A75" i="14"/>
  <c r="A50" i="14"/>
  <c r="A25" i="14"/>
  <c r="A1" i="14"/>
  <c r="A100" i="13"/>
  <c r="A75" i="13"/>
  <c r="A50" i="13"/>
  <c r="A25" i="13"/>
  <c r="A1" i="13"/>
  <c r="A100" i="12"/>
  <c r="A75" i="12"/>
  <c r="A50" i="12"/>
  <c r="A25" i="12"/>
  <c r="A1" i="12"/>
  <c r="A100" i="11"/>
  <c r="A75" i="11"/>
  <c r="A50" i="11"/>
  <c r="A25" i="11"/>
  <c r="A1" i="11"/>
  <c r="A100" i="10"/>
  <c r="A75" i="10"/>
  <c r="A50" i="10"/>
  <c r="A25" i="10"/>
  <c r="A1" i="10"/>
  <c r="A100" i="9"/>
  <c r="A75" i="9"/>
  <c r="A50" i="9"/>
  <c r="A25" i="9"/>
  <c r="A1" i="9"/>
  <c r="A100" i="8"/>
  <c r="A75" i="8"/>
  <c r="A50" i="8"/>
  <c r="A25" i="8"/>
  <c r="A1" i="8"/>
  <c r="A25" i="7"/>
  <c r="A50" i="7"/>
  <c r="A75" i="7"/>
  <c r="A100" i="7"/>
  <c r="A1" i="7"/>
  <c r="AD39" i="35"/>
  <c r="AD40" i="35"/>
  <c r="AD41" i="35"/>
  <c r="AD42" i="35"/>
  <c r="AD43" i="35"/>
  <c r="AD44" i="35"/>
  <c r="AD45" i="35"/>
  <c r="AD46" i="35"/>
  <c r="AD47" i="35"/>
  <c r="AD38" i="35"/>
  <c r="AD5" i="35"/>
  <c r="AD6" i="35"/>
  <c r="AD7" i="35"/>
  <c r="AD8" i="35"/>
  <c r="AD9" i="35"/>
  <c r="AD10" i="35"/>
  <c r="AD11" i="35"/>
  <c r="AD12" i="35"/>
  <c r="AD13" i="35"/>
  <c r="AD14" i="35"/>
  <c r="AD15" i="35"/>
  <c r="AD16" i="35"/>
  <c r="AD17" i="35"/>
  <c r="AD18" i="35"/>
  <c r="AD19" i="35"/>
  <c r="AD20" i="35"/>
  <c r="AD21" i="35"/>
  <c r="AD4" i="35"/>
  <c r="C23" i="35"/>
  <c r="D23" i="35"/>
  <c r="E23" i="35"/>
  <c r="F23" i="35"/>
  <c r="G23" i="35"/>
  <c r="H23" i="35"/>
  <c r="I23" i="35"/>
  <c r="J23" i="35"/>
  <c r="K23" i="35"/>
  <c r="L23" i="35"/>
  <c r="M23" i="35"/>
  <c r="N23" i="35"/>
  <c r="O23" i="35"/>
  <c r="P23" i="35"/>
  <c r="Q23" i="35"/>
  <c r="R23" i="35"/>
  <c r="S23" i="35"/>
  <c r="T23" i="35"/>
  <c r="U23" i="35"/>
  <c r="V23" i="35"/>
  <c r="W23" i="35"/>
  <c r="X23" i="35"/>
  <c r="Y23" i="35"/>
  <c r="Z23" i="35"/>
  <c r="AA23" i="35"/>
  <c r="AB23" i="35"/>
  <c r="B23" i="35"/>
  <c r="AD5" i="37"/>
  <c r="AD6" i="37"/>
  <c r="AD7" i="37"/>
  <c r="AD8" i="37"/>
  <c r="AD9" i="37"/>
  <c r="AD10" i="37"/>
  <c r="AD11" i="37"/>
  <c r="AD12" i="37"/>
  <c r="AD13" i="37"/>
  <c r="AD14" i="37"/>
  <c r="AD15" i="37"/>
  <c r="AD16" i="37"/>
  <c r="AD17" i="37"/>
  <c r="AD18" i="37"/>
  <c r="AD19" i="37"/>
  <c r="AD20" i="37"/>
  <c r="AD21" i="37"/>
  <c r="AD4" i="37"/>
  <c r="C23" i="37"/>
  <c r="D23" i="37"/>
  <c r="E23" i="37"/>
  <c r="F23" i="37"/>
  <c r="G23" i="37"/>
  <c r="H23" i="37"/>
  <c r="I23" i="37"/>
  <c r="J23" i="37"/>
  <c r="K23" i="37"/>
  <c r="L23" i="37"/>
  <c r="M23" i="37"/>
  <c r="N23" i="37"/>
  <c r="O23" i="37"/>
  <c r="P23" i="37"/>
  <c r="Q23" i="37"/>
  <c r="R23" i="37"/>
  <c r="S23" i="37"/>
  <c r="T23" i="37"/>
  <c r="U23" i="37"/>
  <c r="V23" i="37"/>
  <c r="W23" i="37"/>
  <c r="X23" i="37"/>
  <c r="Y23" i="37"/>
  <c r="Z23" i="37"/>
  <c r="AA23" i="37"/>
  <c r="B23" i="37"/>
  <c r="A25" i="3"/>
  <c r="A50" i="3"/>
  <c r="A75" i="3"/>
  <c r="A100" i="3"/>
  <c r="A1" i="3"/>
  <c r="AD23" i="37" l="1"/>
  <c r="AD23" i="35"/>
  <c r="AD49" i="35"/>
  <c r="AD38" i="4"/>
  <c r="C49" i="42" l="1"/>
  <c r="AD5" i="42" l="1"/>
  <c r="AD6" i="42"/>
  <c r="AD7" i="42"/>
  <c r="AD8" i="42"/>
  <c r="AD9" i="42"/>
  <c r="AD10" i="42"/>
  <c r="AD11" i="42"/>
  <c r="AD12" i="42"/>
  <c r="AD13" i="42"/>
  <c r="AD14" i="42"/>
  <c r="AD15" i="42"/>
  <c r="AD16" i="42"/>
  <c r="AD17" i="42"/>
  <c r="AD18" i="42"/>
  <c r="F23" i="42"/>
  <c r="B23" i="4"/>
  <c r="AB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C23" i="4"/>
  <c r="D23" i="4"/>
  <c r="E23" i="4"/>
  <c r="E23" i="42"/>
  <c r="G23" i="42"/>
  <c r="H23" i="42"/>
  <c r="I23" i="42"/>
  <c r="J23" i="42"/>
  <c r="K23" i="42"/>
  <c r="L23" i="42"/>
  <c r="M23" i="42"/>
  <c r="N23" i="42"/>
  <c r="P23" i="42"/>
  <c r="Q23" i="42"/>
  <c r="R23" i="42"/>
  <c r="S23" i="42"/>
  <c r="T23" i="42"/>
  <c r="U23" i="42"/>
  <c r="V23" i="42"/>
  <c r="W23" i="42"/>
  <c r="X23" i="42"/>
  <c r="Y23" i="42"/>
  <c r="Z23" i="42"/>
  <c r="AA23" i="42"/>
  <c r="D23" i="42"/>
  <c r="B23" i="42" l="1"/>
  <c r="AA49" i="42" l="1"/>
  <c r="Z49" i="42"/>
  <c r="Y49" i="42"/>
  <c r="X49" i="42"/>
  <c r="W49" i="42"/>
  <c r="V49" i="42"/>
  <c r="U49" i="42"/>
  <c r="T49" i="42"/>
  <c r="S49" i="42"/>
  <c r="R49" i="42"/>
  <c r="Q49" i="42"/>
  <c r="P49" i="42"/>
  <c r="O49" i="42"/>
  <c r="N49" i="42"/>
  <c r="M49" i="42"/>
  <c r="L49" i="42"/>
  <c r="K49" i="42"/>
  <c r="J49" i="42"/>
  <c r="I49" i="42"/>
  <c r="H49" i="42"/>
  <c r="G49" i="42"/>
  <c r="F49" i="42"/>
  <c r="E49" i="42"/>
  <c r="D49" i="42"/>
  <c r="B49" i="42"/>
  <c r="AD47" i="42"/>
  <c r="AD46" i="42"/>
  <c r="AD45" i="42"/>
  <c r="AD44" i="42"/>
  <c r="AD43" i="42"/>
  <c r="AD42" i="42"/>
  <c r="AD41" i="42"/>
  <c r="AD40" i="42"/>
  <c r="AD39" i="42"/>
  <c r="I10" i="32"/>
  <c r="I10" i="31"/>
  <c r="I10" i="30"/>
  <c r="I10" i="29"/>
  <c r="I10" i="28"/>
  <c r="I10" i="27"/>
  <c r="I10" i="26"/>
  <c r="I10" i="25"/>
  <c r="I10" i="24"/>
  <c r="I10" i="23"/>
  <c r="I10" i="22"/>
  <c r="I10" i="21"/>
  <c r="I10" i="20"/>
  <c r="I10" i="19"/>
  <c r="I10" i="18"/>
  <c r="I10" i="17"/>
  <c r="I10" i="16"/>
  <c r="I10" i="15"/>
  <c r="I10" i="14"/>
  <c r="I10" i="13"/>
  <c r="I10" i="12"/>
  <c r="I10" i="11"/>
  <c r="I10" i="10"/>
  <c r="I10" i="9"/>
  <c r="I10" i="8"/>
  <c r="I10" i="7"/>
  <c r="I10" i="3"/>
  <c r="I9" i="32"/>
  <c r="O18" i="32" s="1"/>
  <c r="I9" i="31"/>
  <c r="O18" i="31" s="1"/>
  <c r="I9" i="30"/>
  <c r="O18" i="30" s="1"/>
  <c r="I9" i="29"/>
  <c r="O18" i="29" s="1"/>
  <c r="I9" i="28"/>
  <c r="O18" i="28" s="1"/>
  <c r="I9" i="27"/>
  <c r="O18" i="27" s="1"/>
  <c r="I9" i="26"/>
  <c r="O18" i="26" s="1"/>
  <c r="I9" i="25"/>
  <c r="O18" i="25" s="1"/>
  <c r="I9" i="24"/>
  <c r="O18" i="24" s="1"/>
  <c r="I9" i="23"/>
  <c r="O18" i="23" s="1"/>
  <c r="I9" i="22"/>
  <c r="O18" i="22" s="1"/>
  <c r="I9" i="21"/>
  <c r="O18" i="21" s="1"/>
  <c r="I9" i="20"/>
  <c r="O18" i="20" s="1"/>
  <c r="I9" i="19"/>
  <c r="O18" i="19" s="1"/>
  <c r="I9" i="18"/>
  <c r="O18" i="18" s="1"/>
  <c r="I9" i="17"/>
  <c r="O18" i="17" s="1"/>
  <c r="I9" i="16"/>
  <c r="O18" i="16" s="1"/>
  <c r="I9" i="15"/>
  <c r="O18" i="15" s="1"/>
  <c r="I9" i="14"/>
  <c r="O18" i="14" s="1"/>
  <c r="I9" i="13"/>
  <c r="O18" i="13" s="1"/>
  <c r="I9" i="12"/>
  <c r="O18" i="12" s="1"/>
  <c r="I9" i="11"/>
  <c r="O18" i="11" s="1"/>
  <c r="I9" i="10"/>
  <c r="O18" i="10" s="1"/>
  <c r="I9" i="9"/>
  <c r="O18" i="9" s="1"/>
  <c r="I9" i="8"/>
  <c r="O18" i="8" s="1"/>
  <c r="I9" i="7"/>
  <c r="O18" i="7" s="1"/>
  <c r="I9" i="3"/>
  <c r="O18" i="3" s="1"/>
  <c r="I8" i="32"/>
  <c r="I8" i="31"/>
  <c r="I8" i="30"/>
  <c r="I8" i="29"/>
  <c r="I8" i="28"/>
  <c r="I8" i="27"/>
  <c r="I8" i="26"/>
  <c r="I8" i="25"/>
  <c r="I8" i="24"/>
  <c r="I8" i="23"/>
  <c r="I8" i="22"/>
  <c r="I8" i="21"/>
  <c r="I8" i="20"/>
  <c r="I8" i="19"/>
  <c r="I8" i="18"/>
  <c r="I8" i="17"/>
  <c r="I8" i="16"/>
  <c r="I8" i="15"/>
  <c r="I8" i="14"/>
  <c r="I8" i="13"/>
  <c r="I8" i="12"/>
  <c r="I8" i="11"/>
  <c r="I8" i="10"/>
  <c r="I8" i="9"/>
  <c r="I8" i="8"/>
  <c r="I8" i="7"/>
  <c r="I8" i="3"/>
  <c r="I7" i="32"/>
  <c r="I7" i="31"/>
  <c r="I7" i="30"/>
  <c r="I7" i="29"/>
  <c r="I7" i="28"/>
  <c r="I7" i="27"/>
  <c r="I7" i="26"/>
  <c r="I7" i="25"/>
  <c r="I7" i="24"/>
  <c r="I7" i="23"/>
  <c r="I7" i="22"/>
  <c r="I7" i="21"/>
  <c r="I7" i="20"/>
  <c r="I7" i="19"/>
  <c r="I7" i="18"/>
  <c r="I7" i="17"/>
  <c r="I7" i="16"/>
  <c r="I7" i="15"/>
  <c r="I7" i="14"/>
  <c r="I7" i="13"/>
  <c r="I7" i="12"/>
  <c r="I7" i="11"/>
  <c r="I7" i="10"/>
  <c r="I7" i="9"/>
  <c r="I7" i="8"/>
  <c r="I7" i="7"/>
  <c r="I7" i="3"/>
  <c r="I6" i="32"/>
  <c r="I6" i="31"/>
  <c r="I6" i="30"/>
  <c r="I6" i="29"/>
  <c r="I6" i="28"/>
  <c r="I6" i="27"/>
  <c r="I6" i="26"/>
  <c r="I6" i="25"/>
  <c r="I6" i="24"/>
  <c r="I6" i="23"/>
  <c r="I6" i="22"/>
  <c r="I6" i="21"/>
  <c r="I6" i="20"/>
  <c r="I6" i="19"/>
  <c r="I6" i="18"/>
  <c r="I6" i="17"/>
  <c r="I6" i="16"/>
  <c r="I6" i="15"/>
  <c r="I6" i="14"/>
  <c r="I6" i="13"/>
  <c r="I6" i="12"/>
  <c r="I6" i="11"/>
  <c r="I6" i="10"/>
  <c r="I6" i="9"/>
  <c r="I6" i="8"/>
  <c r="I6" i="7"/>
  <c r="I6" i="3"/>
  <c r="I5" i="32"/>
  <c r="O17" i="32" s="1"/>
  <c r="I5" i="31"/>
  <c r="O17" i="31" s="1"/>
  <c r="I5" i="29"/>
  <c r="O17" i="29" s="1"/>
  <c r="I5" i="28"/>
  <c r="O17" i="28" s="1"/>
  <c r="I5" i="27"/>
  <c r="O17" i="27" s="1"/>
  <c r="I5" i="24"/>
  <c r="O17" i="24" s="1"/>
  <c r="I5" i="23"/>
  <c r="O17" i="23" s="1"/>
  <c r="I5" i="21"/>
  <c r="O17" i="21" s="1"/>
  <c r="I5" i="20"/>
  <c r="O17" i="20" s="1"/>
  <c r="I5" i="19"/>
  <c r="O17" i="19" s="1"/>
  <c r="I5" i="17"/>
  <c r="O17" i="17" s="1"/>
  <c r="I5" i="16"/>
  <c r="O17" i="16" s="1"/>
  <c r="I5" i="15"/>
  <c r="O17" i="15" s="1"/>
  <c r="I5" i="13"/>
  <c r="O17" i="13" s="1"/>
  <c r="I5" i="12"/>
  <c r="O17" i="12" s="1"/>
  <c r="I5" i="11"/>
  <c r="O17" i="11" s="1"/>
  <c r="I5" i="8"/>
  <c r="O17" i="8" s="1"/>
  <c r="I5" i="7"/>
  <c r="O17" i="7" s="1"/>
  <c r="I5" i="3"/>
  <c r="O17" i="3" s="1"/>
  <c r="C23" i="42"/>
  <c r="AD20" i="42"/>
  <c r="AD19" i="42"/>
  <c r="AD49" i="42" l="1"/>
  <c r="AD23" i="42"/>
  <c r="U12" i="7"/>
  <c r="I14" i="43" s="1"/>
  <c r="U12" i="8"/>
  <c r="I7" i="43" s="1"/>
  <c r="U12" i="11"/>
  <c r="I16" i="43" s="1"/>
  <c r="U12" i="12"/>
  <c r="I33" i="43" s="1"/>
  <c r="U12" i="13"/>
  <c r="I24" i="43" s="1"/>
  <c r="U12" i="15"/>
  <c r="I17" i="43" s="1"/>
  <c r="U12" i="16"/>
  <c r="I35" i="43" s="1"/>
  <c r="U12" i="17"/>
  <c r="I36" i="43" s="1"/>
  <c r="U12" i="19"/>
  <c r="I9" i="43" s="1"/>
  <c r="U12" i="20"/>
  <c r="I18" i="43" s="1"/>
  <c r="U12" i="21"/>
  <c r="I29" i="43" s="1"/>
  <c r="U12" i="23"/>
  <c r="I20" i="43" s="1"/>
  <c r="U12" i="24"/>
  <c r="I26" i="43" s="1"/>
  <c r="U12" i="27"/>
  <c r="I10" i="43" s="1"/>
  <c r="U12" i="28"/>
  <c r="I11" i="43" s="1"/>
  <c r="U12" i="29"/>
  <c r="I31" i="43" s="1"/>
  <c r="U12" i="31"/>
  <c r="I22" i="43" s="1"/>
  <c r="U12" i="32"/>
  <c r="I12" i="43" s="1"/>
  <c r="U13" i="3"/>
  <c r="J6" i="43" s="1"/>
  <c r="U13" i="7"/>
  <c r="J14" i="43" s="1"/>
  <c r="U13" i="8"/>
  <c r="J7" i="43" s="1"/>
  <c r="U13" i="9"/>
  <c r="J8" i="43" s="1"/>
  <c r="U13" i="10"/>
  <c r="J15" i="43" s="1"/>
  <c r="U13" i="11"/>
  <c r="J16" i="43" s="1"/>
  <c r="U13" i="12"/>
  <c r="J33" i="43" s="1"/>
  <c r="U13" i="13"/>
  <c r="J24" i="43" s="1"/>
  <c r="U13" i="14"/>
  <c r="J34" i="43" s="1"/>
  <c r="U13" i="15"/>
  <c r="J17" i="43" s="1"/>
  <c r="U13" i="16"/>
  <c r="J35" i="43" s="1"/>
  <c r="U13" i="17"/>
  <c r="J36" i="43" s="1"/>
  <c r="U13" i="18"/>
  <c r="J25" i="43" s="1"/>
  <c r="U13" i="19"/>
  <c r="J9" i="43" s="1"/>
  <c r="U13" i="20"/>
  <c r="J18" i="43" s="1"/>
  <c r="U13" i="21"/>
  <c r="J29" i="43" s="1"/>
  <c r="U13" i="22"/>
  <c r="J19" i="43" s="1"/>
  <c r="U13" i="23"/>
  <c r="J20" i="43" s="1"/>
  <c r="U13" i="24"/>
  <c r="J26" i="43" s="1"/>
  <c r="U13" i="25"/>
  <c r="J21" i="43" s="1"/>
  <c r="U13" i="26"/>
  <c r="J30" i="43" s="1"/>
  <c r="U13" i="27"/>
  <c r="J10" i="43" s="1"/>
  <c r="U13" i="28"/>
  <c r="J11" i="43" s="1"/>
  <c r="U13" i="29"/>
  <c r="J31" i="43" s="1"/>
  <c r="U13" i="30"/>
  <c r="J27" i="43" s="1"/>
  <c r="U13" i="31"/>
  <c r="J22" i="43" s="1"/>
  <c r="U13" i="32"/>
  <c r="J12" i="43" s="1"/>
  <c r="B34" i="42"/>
  <c r="U12" i="3"/>
  <c r="I5" i="14"/>
  <c r="O17" i="14" s="1"/>
  <c r="I5" i="18"/>
  <c r="O17" i="18" s="1"/>
  <c r="I5" i="22"/>
  <c r="O17" i="22" s="1"/>
  <c r="I5" i="26"/>
  <c r="O17" i="26" s="1"/>
  <c r="I5" i="30"/>
  <c r="O17" i="30" s="1"/>
  <c r="I5" i="9"/>
  <c r="O17" i="9" s="1"/>
  <c r="I5" i="10"/>
  <c r="O17" i="10" s="1"/>
  <c r="I5" i="25"/>
  <c r="O17" i="25" s="1"/>
  <c r="AD27" i="42"/>
  <c r="AD28" i="42"/>
  <c r="AD30" i="42"/>
  <c r="AD29" i="42"/>
  <c r="AD31" i="42"/>
  <c r="AD34" i="42" l="1"/>
  <c r="J28" i="43"/>
  <c r="J23" i="43"/>
  <c r="J32" i="43"/>
  <c r="J13" i="43"/>
  <c r="U12" i="25"/>
  <c r="I21" i="43" s="1"/>
  <c r="U12" i="10"/>
  <c r="I15" i="43" s="1"/>
  <c r="U12" i="9"/>
  <c r="U12" i="30"/>
  <c r="I27" i="43" s="1"/>
  <c r="U12" i="26"/>
  <c r="I30" i="43" s="1"/>
  <c r="I28" i="43" s="1"/>
  <c r="U12" i="22"/>
  <c r="I19" i="43" s="1"/>
  <c r="U12" i="18"/>
  <c r="I25" i="43" s="1"/>
  <c r="U12" i="14"/>
  <c r="I34" i="43" s="1"/>
  <c r="I32" i="43" s="1"/>
  <c r="I6" i="43"/>
  <c r="B32" i="4"/>
  <c r="I34" i="3" s="1"/>
  <c r="B27" i="4"/>
  <c r="I29" i="3" s="1"/>
  <c r="O41" i="3" s="1"/>
  <c r="U36" i="3" s="1"/>
  <c r="C27" i="4"/>
  <c r="I29" i="7" s="1"/>
  <c r="O41" i="7" s="1"/>
  <c r="U36" i="7" s="1"/>
  <c r="I14" i="41" s="1"/>
  <c r="D27" i="4"/>
  <c r="I29" i="8" s="1"/>
  <c r="O41" i="8" s="1"/>
  <c r="U36" i="8" s="1"/>
  <c r="I7" i="41" s="1"/>
  <c r="E27" i="4"/>
  <c r="I29" i="9" s="1"/>
  <c r="O41" i="9" s="1"/>
  <c r="U36" i="9" s="1"/>
  <c r="I8" i="41" s="1"/>
  <c r="F27" i="4"/>
  <c r="G27" i="4"/>
  <c r="I29" i="11" s="1"/>
  <c r="O41" i="11" s="1"/>
  <c r="U36" i="11" s="1"/>
  <c r="I16" i="41" s="1"/>
  <c r="H27" i="4"/>
  <c r="I29" i="12" s="1"/>
  <c r="O41" i="12" s="1"/>
  <c r="U36" i="12" s="1"/>
  <c r="I33" i="41" s="1"/>
  <c r="I27" i="4"/>
  <c r="I29" i="13" s="1"/>
  <c r="O41" i="13" s="1"/>
  <c r="U36" i="13" s="1"/>
  <c r="I24" i="41" s="1"/>
  <c r="J27" i="4"/>
  <c r="I29" i="14" s="1"/>
  <c r="O41" i="14" s="1"/>
  <c r="K27" i="4"/>
  <c r="L27" i="4"/>
  <c r="M27" i="4"/>
  <c r="N27" i="4"/>
  <c r="O27" i="4"/>
  <c r="I29" i="19" s="1"/>
  <c r="O41" i="19" s="1"/>
  <c r="U36" i="19" s="1"/>
  <c r="I9" i="41" s="1"/>
  <c r="P27" i="4"/>
  <c r="I29" i="20" s="1"/>
  <c r="O41" i="20" s="1"/>
  <c r="U36" i="20" s="1"/>
  <c r="I18" i="41" s="1"/>
  <c r="Q27" i="4"/>
  <c r="I29" i="21" s="1"/>
  <c r="O41" i="21" s="1"/>
  <c r="U36" i="21" s="1"/>
  <c r="I29" i="41" s="1"/>
  <c r="R27" i="4"/>
  <c r="I29" i="22" s="1"/>
  <c r="O41" i="22" s="1"/>
  <c r="S27" i="4"/>
  <c r="I29" i="23" s="1"/>
  <c r="O41" i="23" s="1"/>
  <c r="U36" i="23" s="1"/>
  <c r="I20" i="41" s="1"/>
  <c r="T27" i="4"/>
  <c r="U27" i="4"/>
  <c r="I29" i="25" s="1"/>
  <c r="O41" i="25" s="1"/>
  <c r="V27" i="4"/>
  <c r="W27" i="4"/>
  <c r="I29" i="27" s="1"/>
  <c r="O41" i="27" s="1"/>
  <c r="U36" i="27" s="1"/>
  <c r="I10" i="41" s="1"/>
  <c r="X27" i="4"/>
  <c r="I29" i="28" s="1"/>
  <c r="O41" i="28" s="1"/>
  <c r="U36" i="28" s="1"/>
  <c r="I11" i="41" s="1"/>
  <c r="Y27" i="4"/>
  <c r="I29" i="29" s="1"/>
  <c r="O41" i="29" s="1"/>
  <c r="U36" i="29" s="1"/>
  <c r="I31" i="41" s="1"/>
  <c r="Z27" i="4"/>
  <c r="I29" i="30" s="1"/>
  <c r="O41" i="30" s="1"/>
  <c r="U36" i="30" s="1"/>
  <c r="I27" i="41" s="1"/>
  <c r="AA27" i="4"/>
  <c r="I29" i="31" s="1"/>
  <c r="O41" i="31" s="1"/>
  <c r="AB27" i="4"/>
  <c r="I29" i="32" s="1"/>
  <c r="O41" i="32" s="1"/>
  <c r="B28" i="4"/>
  <c r="I30" i="3" s="1"/>
  <c r="C28" i="4"/>
  <c r="I30" i="7" s="1"/>
  <c r="D28" i="4"/>
  <c r="I30" i="8" s="1"/>
  <c r="E28" i="4"/>
  <c r="I30" i="9" s="1"/>
  <c r="F28" i="4"/>
  <c r="G28" i="4"/>
  <c r="I30" i="11" s="1"/>
  <c r="H28" i="4"/>
  <c r="I30" i="12" s="1"/>
  <c r="I28" i="4"/>
  <c r="I30" i="13" s="1"/>
  <c r="J28" i="4"/>
  <c r="I30" i="14" s="1"/>
  <c r="K28" i="4"/>
  <c r="L28" i="4"/>
  <c r="I30" i="16" s="1"/>
  <c r="M28" i="4"/>
  <c r="I30" i="17" s="1"/>
  <c r="N28" i="4"/>
  <c r="I30" i="18" s="1"/>
  <c r="O28" i="4"/>
  <c r="I30" i="19" s="1"/>
  <c r="P28" i="4"/>
  <c r="Q28" i="4"/>
  <c r="I30" i="21" s="1"/>
  <c r="R28" i="4"/>
  <c r="I30" i="22" s="1"/>
  <c r="S28" i="4"/>
  <c r="T28" i="4"/>
  <c r="I30" i="24" s="1"/>
  <c r="U28" i="4"/>
  <c r="I30" i="25" s="1"/>
  <c r="V28" i="4"/>
  <c r="W28" i="4"/>
  <c r="I30" i="27" s="1"/>
  <c r="X28" i="4"/>
  <c r="I30" i="28" s="1"/>
  <c r="Y28" i="4"/>
  <c r="I30" i="29" s="1"/>
  <c r="Z28" i="4"/>
  <c r="I30" i="30" s="1"/>
  <c r="AA28" i="4"/>
  <c r="AB28" i="4"/>
  <c r="B29" i="4"/>
  <c r="C29" i="4"/>
  <c r="I31" i="7" s="1"/>
  <c r="D29" i="4"/>
  <c r="I31" i="8" s="1"/>
  <c r="E29" i="4"/>
  <c r="F29" i="4"/>
  <c r="I31" i="10" s="1"/>
  <c r="G29" i="4"/>
  <c r="I31" i="11" s="1"/>
  <c r="H29" i="4"/>
  <c r="I29" i="4"/>
  <c r="I31" i="13" s="1"/>
  <c r="J29" i="4"/>
  <c r="I31" i="14" s="1"/>
  <c r="K29" i="4"/>
  <c r="I31" i="15" s="1"/>
  <c r="L29" i="4"/>
  <c r="I31" i="16" s="1"/>
  <c r="M29" i="4"/>
  <c r="I31" i="17" s="1"/>
  <c r="N29" i="4"/>
  <c r="I31" i="18" s="1"/>
  <c r="O29" i="4"/>
  <c r="I31" i="19" s="1"/>
  <c r="P29" i="4"/>
  <c r="I31" i="20" s="1"/>
  <c r="Q29" i="4"/>
  <c r="R29" i="4"/>
  <c r="I31" i="22" s="1"/>
  <c r="S29" i="4"/>
  <c r="I31" i="23" s="1"/>
  <c r="T29" i="4"/>
  <c r="I31" i="24" s="1"/>
  <c r="U29" i="4"/>
  <c r="V29" i="4"/>
  <c r="I31" i="26" s="1"/>
  <c r="W29" i="4"/>
  <c r="I31" i="27" s="1"/>
  <c r="X29" i="4"/>
  <c r="Y29" i="4"/>
  <c r="Z29" i="4"/>
  <c r="I31" i="30" s="1"/>
  <c r="AA29" i="4"/>
  <c r="I31" i="31" s="1"/>
  <c r="AB29" i="4"/>
  <c r="I31" i="32" s="1"/>
  <c r="B30" i="4"/>
  <c r="C30" i="4"/>
  <c r="I32" i="7" s="1"/>
  <c r="D30" i="4"/>
  <c r="I32" i="8" s="1"/>
  <c r="E30" i="4"/>
  <c r="I32" i="9" s="1"/>
  <c r="F30" i="4"/>
  <c r="I32" i="10" s="1"/>
  <c r="G30" i="4"/>
  <c r="I32" i="11" s="1"/>
  <c r="H30" i="4"/>
  <c r="I30" i="4"/>
  <c r="I32" i="13" s="1"/>
  <c r="J30" i="4"/>
  <c r="K30" i="4"/>
  <c r="I32" i="15" s="1"/>
  <c r="L30" i="4"/>
  <c r="I32" i="16" s="1"/>
  <c r="M30" i="4"/>
  <c r="I32" i="17" s="1"/>
  <c r="N30" i="4"/>
  <c r="I32" i="18" s="1"/>
  <c r="O30" i="4"/>
  <c r="I32" i="19" s="1"/>
  <c r="P30" i="4"/>
  <c r="I32" i="20" s="1"/>
  <c r="Q30" i="4"/>
  <c r="I32" i="21" s="1"/>
  <c r="R30" i="4"/>
  <c r="S30" i="4"/>
  <c r="I32" i="23" s="1"/>
  <c r="T30" i="4"/>
  <c r="I32" i="24" s="1"/>
  <c r="U30" i="4"/>
  <c r="I32" i="25" s="1"/>
  <c r="V30" i="4"/>
  <c r="W30" i="4"/>
  <c r="I32" i="27" s="1"/>
  <c r="X30" i="4"/>
  <c r="I32" i="28" s="1"/>
  <c r="Y30" i="4"/>
  <c r="I32" i="29" s="1"/>
  <c r="Z30" i="4"/>
  <c r="I32" i="30" s="1"/>
  <c r="AA30" i="4"/>
  <c r="I32" i="31" s="1"/>
  <c r="AB30" i="4"/>
  <c r="I32" i="32" s="1"/>
  <c r="B31" i="4"/>
  <c r="C31" i="4"/>
  <c r="D31" i="4"/>
  <c r="I33" i="8" s="1"/>
  <c r="O42" i="8" s="1"/>
  <c r="E31" i="4"/>
  <c r="I33" i="9" s="1"/>
  <c r="O42" i="9" s="1"/>
  <c r="F31" i="4"/>
  <c r="I33" i="10" s="1"/>
  <c r="O42" i="10" s="1"/>
  <c r="G31" i="4"/>
  <c r="H31" i="4"/>
  <c r="I33" i="12" s="1"/>
  <c r="O42" i="12" s="1"/>
  <c r="I31" i="4"/>
  <c r="I33" i="13" s="1"/>
  <c r="O42" i="13" s="1"/>
  <c r="J31" i="4"/>
  <c r="I33" i="14" s="1"/>
  <c r="O42" i="14" s="1"/>
  <c r="K31" i="4"/>
  <c r="I33" i="15" s="1"/>
  <c r="O42" i="15" s="1"/>
  <c r="L31" i="4"/>
  <c r="M31" i="4"/>
  <c r="I33" i="17" s="1"/>
  <c r="O42" i="17" s="1"/>
  <c r="N31" i="4"/>
  <c r="I33" i="18" s="1"/>
  <c r="O42" i="18" s="1"/>
  <c r="O31" i="4"/>
  <c r="I33" i="19" s="1"/>
  <c r="O42" i="19" s="1"/>
  <c r="P31" i="4"/>
  <c r="I33" i="20" s="1"/>
  <c r="O42" i="20" s="1"/>
  <c r="Q31" i="4"/>
  <c r="I33" i="21" s="1"/>
  <c r="O42" i="21" s="1"/>
  <c r="R31" i="4"/>
  <c r="S31" i="4"/>
  <c r="I33" i="23" s="1"/>
  <c r="O42" i="23" s="1"/>
  <c r="T31" i="4"/>
  <c r="I33" i="24" s="1"/>
  <c r="O42" i="24" s="1"/>
  <c r="U31" i="4"/>
  <c r="I33" i="25" s="1"/>
  <c r="O42" i="25" s="1"/>
  <c r="V31" i="4"/>
  <c r="W31" i="4"/>
  <c r="X31" i="4"/>
  <c r="I33" i="28" s="1"/>
  <c r="O42" i="28" s="1"/>
  <c r="Y31" i="4"/>
  <c r="I33" i="29" s="1"/>
  <c r="O42" i="29" s="1"/>
  <c r="Z31" i="4"/>
  <c r="AA31" i="4"/>
  <c r="I33" i="31" s="1"/>
  <c r="O42" i="31" s="1"/>
  <c r="AB31" i="4"/>
  <c r="I33" i="32" s="1"/>
  <c r="O42" i="32" s="1"/>
  <c r="C32" i="4"/>
  <c r="I34" i="7" s="1"/>
  <c r="D32" i="4"/>
  <c r="I34" i="8" s="1"/>
  <c r="E32" i="4"/>
  <c r="I34" i="9" s="1"/>
  <c r="F32" i="4"/>
  <c r="I34" i="10" s="1"/>
  <c r="G32" i="4"/>
  <c r="I34" i="11" s="1"/>
  <c r="H32" i="4"/>
  <c r="I32" i="4"/>
  <c r="I34" i="13" s="1"/>
  <c r="J32" i="4"/>
  <c r="I34" i="14" s="1"/>
  <c r="K32" i="4"/>
  <c r="I34" i="15" s="1"/>
  <c r="L32" i="4"/>
  <c r="M32" i="4"/>
  <c r="N32" i="4"/>
  <c r="I34" i="18" s="1"/>
  <c r="O32" i="4"/>
  <c r="I34" i="19" s="1"/>
  <c r="P32" i="4"/>
  <c r="Q32" i="4"/>
  <c r="I34" i="21" s="1"/>
  <c r="R32" i="4"/>
  <c r="I34" i="22" s="1"/>
  <c r="S32" i="4"/>
  <c r="I34" i="23" s="1"/>
  <c r="T32" i="4"/>
  <c r="I34" i="24" s="1"/>
  <c r="U32" i="4"/>
  <c r="I34" i="25" s="1"/>
  <c r="V32" i="4"/>
  <c r="I34" i="26" s="1"/>
  <c r="W32" i="4"/>
  <c r="I34" i="27" s="1"/>
  <c r="X32" i="4"/>
  <c r="Y32" i="4"/>
  <c r="I34" i="29" s="1"/>
  <c r="Z32" i="4"/>
  <c r="I34" i="30" s="1"/>
  <c r="AA32" i="4"/>
  <c r="I34" i="31" s="1"/>
  <c r="AB32" i="4"/>
  <c r="I34" i="32" s="1"/>
  <c r="AD39" i="4"/>
  <c r="AD40" i="4"/>
  <c r="AD41" i="4"/>
  <c r="AD42" i="4"/>
  <c r="AD43" i="4"/>
  <c r="AD44" i="4"/>
  <c r="AD45" i="4"/>
  <c r="AD46" i="4"/>
  <c r="AD47" i="4"/>
  <c r="I32" i="3"/>
  <c r="I104" i="24"/>
  <c r="O116" i="24" s="1"/>
  <c r="U111" i="24" s="1"/>
  <c r="I26" i="44" s="1"/>
  <c r="I104" i="32"/>
  <c r="O116" i="32" s="1"/>
  <c r="U111" i="32" s="1"/>
  <c r="I12" i="44" s="1"/>
  <c r="I105" i="7"/>
  <c r="I105" i="8"/>
  <c r="I105" i="10"/>
  <c r="I105" i="12"/>
  <c r="I105" i="13"/>
  <c r="I105" i="15"/>
  <c r="I105" i="16"/>
  <c r="I105" i="20"/>
  <c r="I105" i="23"/>
  <c r="I105" i="24"/>
  <c r="I105" i="26"/>
  <c r="I105" i="27"/>
  <c r="I105" i="28"/>
  <c r="I105" i="29"/>
  <c r="I105" i="30"/>
  <c r="I105" i="31"/>
  <c r="I105" i="32"/>
  <c r="I106" i="8"/>
  <c r="I106" i="12"/>
  <c r="I106" i="20"/>
  <c r="I106" i="21"/>
  <c r="I106" i="24"/>
  <c r="I106" i="25"/>
  <c r="I106" i="27"/>
  <c r="I106" i="28"/>
  <c r="I106" i="29"/>
  <c r="I106" i="32"/>
  <c r="I107" i="9"/>
  <c r="I107" i="10"/>
  <c r="I107" i="12"/>
  <c r="I107" i="13"/>
  <c r="I107" i="14"/>
  <c r="I107" i="16"/>
  <c r="I107" i="17"/>
  <c r="I107" i="18"/>
  <c r="I107" i="20"/>
  <c r="I107" i="24"/>
  <c r="I107" i="25"/>
  <c r="I107" i="26"/>
  <c r="I107" i="28"/>
  <c r="I107" i="29"/>
  <c r="I107" i="30"/>
  <c r="I107" i="32"/>
  <c r="I108" i="7"/>
  <c r="O117" i="7" s="1"/>
  <c r="U112" i="7" s="1"/>
  <c r="J14" i="44" s="1"/>
  <c r="I108" i="9"/>
  <c r="O117" i="9" s="1"/>
  <c r="U112" i="9" s="1"/>
  <c r="J8" i="44" s="1"/>
  <c r="I108" i="10"/>
  <c r="O117" i="10" s="1"/>
  <c r="U112" i="10" s="1"/>
  <c r="J15" i="44" s="1"/>
  <c r="I108" i="11"/>
  <c r="O117" i="11" s="1"/>
  <c r="U112" i="11" s="1"/>
  <c r="J16" i="44" s="1"/>
  <c r="I108" i="12"/>
  <c r="O117" i="12" s="1"/>
  <c r="U112" i="12" s="1"/>
  <c r="J33" i="44" s="1"/>
  <c r="I108" i="13"/>
  <c r="O117" i="13" s="1"/>
  <c r="U112" i="13" s="1"/>
  <c r="J24" i="44" s="1"/>
  <c r="I108" i="14"/>
  <c r="O117" i="14" s="1"/>
  <c r="U112" i="14" s="1"/>
  <c r="J34" i="44" s="1"/>
  <c r="I108" i="15"/>
  <c r="O117" i="15" s="1"/>
  <c r="U112" i="15" s="1"/>
  <c r="J17" i="44" s="1"/>
  <c r="I108" i="17"/>
  <c r="O117" i="17" s="1"/>
  <c r="U112" i="17" s="1"/>
  <c r="J36" i="44" s="1"/>
  <c r="I108" i="19"/>
  <c r="O117" i="19" s="1"/>
  <c r="U112" i="19" s="1"/>
  <c r="J9" i="44" s="1"/>
  <c r="I108" i="20"/>
  <c r="O117" i="20" s="1"/>
  <c r="U112" i="20" s="1"/>
  <c r="J18" i="44" s="1"/>
  <c r="I108" i="21"/>
  <c r="O117" i="21" s="1"/>
  <c r="U112" i="21" s="1"/>
  <c r="J29" i="44" s="1"/>
  <c r="I108" i="23"/>
  <c r="O117" i="23" s="1"/>
  <c r="U112" i="23" s="1"/>
  <c r="J20" i="44" s="1"/>
  <c r="I108" i="25"/>
  <c r="O117" i="25" s="1"/>
  <c r="U112" i="25" s="1"/>
  <c r="J21" i="44" s="1"/>
  <c r="I108" i="26"/>
  <c r="O117" i="26" s="1"/>
  <c r="U112" i="26" s="1"/>
  <c r="J30" i="44" s="1"/>
  <c r="I108" i="27"/>
  <c r="O117" i="27" s="1"/>
  <c r="U112" i="27" s="1"/>
  <c r="J10" i="44" s="1"/>
  <c r="I108" i="28"/>
  <c r="O117" i="28" s="1"/>
  <c r="U112" i="28" s="1"/>
  <c r="J11" i="44" s="1"/>
  <c r="I108" i="29"/>
  <c r="O117" i="29" s="1"/>
  <c r="U112" i="29" s="1"/>
  <c r="J31" i="44" s="1"/>
  <c r="I108" i="30"/>
  <c r="O117" i="30" s="1"/>
  <c r="U112" i="30" s="1"/>
  <c r="J27" i="44" s="1"/>
  <c r="I108" i="31"/>
  <c r="O117" i="31" s="1"/>
  <c r="U112" i="31" s="1"/>
  <c r="J22" i="44" s="1"/>
  <c r="I109" i="8"/>
  <c r="I109" i="10"/>
  <c r="I109" i="11"/>
  <c r="I109" i="12"/>
  <c r="I109" i="14"/>
  <c r="I109" i="16"/>
  <c r="I109" i="17"/>
  <c r="I109" i="18"/>
  <c r="I109" i="19"/>
  <c r="I109" i="20"/>
  <c r="I109" i="24"/>
  <c r="I109" i="25"/>
  <c r="I109" i="26"/>
  <c r="I109" i="27"/>
  <c r="I109" i="28"/>
  <c r="I109" i="30"/>
  <c r="I109" i="32"/>
  <c r="AD38" i="37"/>
  <c r="AD39" i="37"/>
  <c r="AD40" i="37"/>
  <c r="AD41" i="37"/>
  <c r="AD42" i="37"/>
  <c r="AD43" i="37"/>
  <c r="AD44" i="37"/>
  <c r="AD45" i="37"/>
  <c r="AD46" i="37"/>
  <c r="AD47" i="37"/>
  <c r="I33" i="27"/>
  <c r="O42" i="27" s="1"/>
  <c r="I107" i="7"/>
  <c r="I80" i="8"/>
  <c r="I80" i="12"/>
  <c r="I80" i="15"/>
  <c r="I80" i="20"/>
  <c r="I105" i="22"/>
  <c r="I80" i="23"/>
  <c r="I80" i="24"/>
  <c r="I80" i="25"/>
  <c r="I80" i="28"/>
  <c r="I80" i="30"/>
  <c r="I80" i="31"/>
  <c r="I80" i="32"/>
  <c r="I81" i="3"/>
  <c r="I81" i="7"/>
  <c r="I81" i="9"/>
  <c r="I81" i="10"/>
  <c r="I81" i="12"/>
  <c r="I81" i="13"/>
  <c r="I81" i="14"/>
  <c r="I81" i="17"/>
  <c r="I81" i="18"/>
  <c r="I81" i="19"/>
  <c r="I81" i="20"/>
  <c r="I81" i="21"/>
  <c r="I106" i="22"/>
  <c r="I81" i="25"/>
  <c r="I81" i="26"/>
  <c r="I81" i="27"/>
  <c r="I81" i="28"/>
  <c r="I81" i="29"/>
  <c r="I81" i="30"/>
  <c r="I82" i="3"/>
  <c r="I82" i="7"/>
  <c r="I82" i="8"/>
  <c r="I82" i="9"/>
  <c r="I82" i="10"/>
  <c r="I82" i="11"/>
  <c r="I82" i="14"/>
  <c r="I82" i="15"/>
  <c r="I82" i="16"/>
  <c r="I82" i="17"/>
  <c r="I82" i="18"/>
  <c r="I82" i="19"/>
  <c r="I82" i="20"/>
  <c r="I107" i="22"/>
  <c r="I82" i="23"/>
  <c r="I82" i="24"/>
  <c r="I82" i="25"/>
  <c r="I82" i="26"/>
  <c r="I82" i="27"/>
  <c r="I82" i="30"/>
  <c r="I82" i="31"/>
  <c r="I82" i="32"/>
  <c r="I83" i="3"/>
  <c r="O92" i="3" s="1"/>
  <c r="U87" i="3" s="1"/>
  <c r="J6" i="40" s="1"/>
  <c r="I83" i="7"/>
  <c r="O92" i="7" s="1"/>
  <c r="U87" i="7" s="1"/>
  <c r="J14" i="40" s="1"/>
  <c r="I83" i="8"/>
  <c r="O92" i="8" s="1"/>
  <c r="U87" i="8" s="1"/>
  <c r="J7" i="40" s="1"/>
  <c r="I83" i="9"/>
  <c r="O92" i="9" s="1"/>
  <c r="U87" i="9" s="1"/>
  <c r="J8" i="40" s="1"/>
  <c r="I83" i="10"/>
  <c r="O92" i="10" s="1"/>
  <c r="U87" i="10" s="1"/>
  <c r="J15" i="40" s="1"/>
  <c r="I83" i="11"/>
  <c r="O92" i="11" s="1"/>
  <c r="U87" i="11" s="1"/>
  <c r="J16" i="40" s="1"/>
  <c r="I83" i="12"/>
  <c r="O92" i="12" s="1"/>
  <c r="U87" i="12" s="1"/>
  <c r="J33" i="40" s="1"/>
  <c r="I83" i="14"/>
  <c r="O92" i="14" s="1"/>
  <c r="U87" i="14" s="1"/>
  <c r="J34" i="40" s="1"/>
  <c r="I83" i="15"/>
  <c r="O92" i="15" s="1"/>
  <c r="U87" i="15" s="1"/>
  <c r="J17" i="40" s="1"/>
  <c r="I83" i="16"/>
  <c r="O92" i="16" s="1"/>
  <c r="U87" i="16" s="1"/>
  <c r="J35" i="40" s="1"/>
  <c r="I83" i="19"/>
  <c r="O92" i="19" s="1"/>
  <c r="U87" i="19" s="1"/>
  <c r="J9" i="40" s="1"/>
  <c r="I83" i="20"/>
  <c r="O92" i="20" s="1"/>
  <c r="U87" i="20" s="1"/>
  <c r="J18" i="40" s="1"/>
  <c r="I83" i="21"/>
  <c r="O92" i="21" s="1"/>
  <c r="U87" i="21" s="1"/>
  <c r="J29" i="40" s="1"/>
  <c r="I108" i="22"/>
  <c r="O117" i="22" s="1"/>
  <c r="U112" i="22" s="1"/>
  <c r="J19" i="44" s="1"/>
  <c r="I83" i="23"/>
  <c r="O92" i="23" s="1"/>
  <c r="U87" i="23" s="1"/>
  <c r="J20" i="40" s="1"/>
  <c r="I83" i="24"/>
  <c r="O92" i="24" s="1"/>
  <c r="U87" i="24" s="1"/>
  <c r="J26" i="40" s="1"/>
  <c r="I83" i="25"/>
  <c r="O92" i="25" s="1"/>
  <c r="U87" i="25" s="1"/>
  <c r="J21" i="40" s="1"/>
  <c r="I83" i="27"/>
  <c r="O92" i="27" s="1"/>
  <c r="U87" i="27" s="1"/>
  <c r="J10" i="40" s="1"/>
  <c r="I83" i="28"/>
  <c r="O92" i="28" s="1"/>
  <c r="U87" i="28" s="1"/>
  <c r="J11" i="40" s="1"/>
  <c r="I83" i="29"/>
  <c r="O92" i="29" s="1"/>
  <c r="U87" i="29" s="1"/>
  <c r="J31" i="40" s="1"/>
  <c r="I83" i="30"/>
  <c r="O92" i="30" s="1"/>
  <c r="U87" i="30" s="1"/>
  <c r="J27" i="40" s="1"/>
  <c r="I83" i="31"/>
  <c r="O92" i="31" s="1"/>
  <c r="U87" i="31" s="1"/>
  <c r="J22" i="40" s="1"/>
  <c r="I83" i="32"/>
  <c r="O92" i="32" s="1"/>
  <c r="U87" i="32" s="1"/>
  <c r="J12" i="40" s="1"/>
  <c r="I84" i="9"/>
  <c r="I84" i="10"/>
  <c r="I84" i="12"/>
  <c r="I84" i="13"/>
  <c r="I84" i="14"/>
  <c r="I84" i="17"/>
  <c r="I84" i="18"/>
  <c r="I84" i="19"/>
  <c r="I84" i="20"/>
  <c r="I84" i="22"/>
  <c r="I84" i="25"/>
  <c r="I84" i="26"/>
  <c r="I84" i="27"/>
  <c r="I84" i="28"/>
  <c r="I84" i="29"/>
  <c r="I84" i="30"/>
  <c r="I108" i="32"/>
  <c r="O117" i="32" s="1"/>
  <c r="U112" i="32" s="1"/>
  <c r="J12" i="44" s="1"/>
  <c r="I107" i="31"/>
  <c r="I109" i="31"/>
  <c r="I106" i="30"/>
  <c r="I104" i="30"/>
  <c r="O116" i="30" s="1"/>
  <c r="U111" i="30" s="1"/>
  <c r="I27" i="44" s="1"/>
  <c r="I109" i="29"/>
  <c r="I104" i="28"/>
  <c r="O116" i="28" s="1"/>
  <c r="U111" i="28" s="1"/>
  <c r="I11" i="44" s="1"/>
  <c r="I107" i="27"/>
  <c r="I106" i="26"/>
  <c r="I104" i="26"/>
  <c r="O116" i="26" s="1"/>
  <c r="U111" i="26" s="1"/>
  <c r="I30" i="44" s="1"/>
  <c r="I105" i="25"/>
  <c r="I108" i="24"/>
  <c r="O117" i="24" s="1"/>
  <c r="U112" i="24" s="1"/>
  <c r="J26" i="44" s="1"/>
  <c r="I107" i="23"/>
  <c r="I109" i="23"/>
  <c r="I105" i="21"/>
  <c r="I107" i="21"/>
  <c r="I109" i="21"/>
  <c r="I105" i="19"/>
  <c r="I107" i="19"/>
  <c r="I105" i="18"/>
  <c r="I106" i="18"/>
  <c r="I108" i="18"/>
  <c r="O117" i="18" s="1"/>
  <c r="U112" i="18" s="1"/>
  <c r="J25" i="44" s="1"/>
  <c r="I105" i="17"/>
  <c r="I106" i="16"/>
  <c r="I108" i="16"/>
  <c r="O117" i="16" s="1"/>
  <c r="U112" i="16" s="1"/>
  <c r="J35" i="44" s="1"/>
  <c r="I107" i="15"/>
  <c r="I109" i="15"/>
  <c r="I105" i="14"/>
  <c r="I106" i="14"/>
  <c r="I109" i="13"/>
  <c r="I104" i="12"/>
  <c r="O116" i="12" s="1"/>
  <c r="U111" i="12" s="1"/>
  <c r="I33" i="44" s="1"/>
  <c r="I80" i="10"/>
  <c r="I106" i="10"/>
  <c r="I105" i="11"/>
  <c r="I107" i="11"/>
  <c r="I105" i="9"/>
  <c r="I109" i="9"/>
  <c r="I107" i="8"/>
  <c r="I108" i="8"/>
  <c r="O117" i="8" s="1"/>
  <c r="U112" i="8" s="1"/>
  <c r="J7" i="44" s="1"/>
  <c r="I104" i="8"/>
  <c r="O116" i="8" s="1"/>
  <c r="U111" i="8" s="1"/>
  <c r="I7" i="44" s="1"/>
  <c r="I106" i="7"/>
  <c r="I109" i="7"/>
  <c r="I106" i="3"/>
  <c r="I104" i="3"/>
  <c r="O116" i="3" s="1"/>
  <c r="U111" i="3" s="1"/>
  <c r="I6" i="44" s="1"/>
  <c r="I81" i="32"/>
  <c r="I84" i="32"/>
  <c r="I81" i="31"/>
  <c r="I84" i="31"/>
  <c r="I79" i="30"/>
  <c r="O91" i="30" s="1"/>
  <c r="U86" i="30" s="1"/>
  <c r="I27" i="40" s="1"/>
  <c r="I82" i="29"/>
  <c r="I79" i="29"/>
  <c r="O91" i="29" s="1"/>
  <c r="U86" i="29" s="1"/>
  <c r="I31" i="40" s="1"/>
  <c r="I82" i="28"/>
  <c r="I80" i="27"/>
  <c r="I80" i="26"/>
  <c r="I83" i="26"/>
  <c r="O92" i="26" s="1"/>
  <c r="U87" i="26" s="1"/>
  <c r="J30" i="40" s="1"/>
  <c r="I79" i="25"/>
  <c r="O91" i="25" s="1"/>
  <c r="U86" i="25" s="1"/>
  <c r="I21" i="40" s="1"/>
  <c r="I81" i="24"/>
  <c r="I84" i="24"/>
  <c r="I81" i="23"/>
  <c r="I84" i="23"/>
  <c r="I79" i="22"/>
  <c r="O91" i="22" s="1"/>
  <c r="U86" i="22" s="1"/>
  <c r="I19" i="40" s="1"/>
  <c r="I82" i="21"/>
  <c r="I84" i="21"/>
  <c r="I79" i="21"/>
  <c r="O91" i="21" s="1"/>
  <c r="U86" i="21" s="1"/>
  <c r="I29" i="40" s="1"/>
  <c r="I80" i="19"/>
  <c r="I80" i="18"/>
  <c r="I83" i="18"/>
  <c r="O92" i="18" s="1"/>
  <c r="U87" i="18" s="1"/>
  <c r="J25" i="40" s="1"/>
  <c r="I83" i="17"/>
  <c r="O92" i="17" s="1"/>
  <c r="U87" i="17" s="1"/>
  <c r="J36" i="40" s="1"/>
  <c r="I79" i="17"/>
  <c r="O91" i="17" s="1"/>
  <c r="U86" i="17" s="1"/>
  <c r="I36" i="40" s="1"/>
  <c r="I80" i="16"/>
  <c r="I81" i="16"/>
  <c r="I84" i="16"/>
  <c r="I81" i="15"/>
  <c r="I84" i="15"/>
  <c r="I80" i="14"/>
  <c r="I79" i="14"/>
  <c r="O91" i="14" s="1"/>
  <c r="U86" i="14" s="1"/>
  <c r="I34" i="40" s="1"/>
  <c r="I82" i="13"/>
  <c r="I83" i="13"/>
  <c r="O92" i="13" s="1"/>
  <c r="U87" i="13" s="1"/>
  <c r="J24" i="40" s="1"/>
  <c r="I79" i="13"/>
  <c r="O91" i="13" s="1"/>
  <c r="U86" i="13" s="1"/>
  <c r="I24" i="40" s="1"/>
  <c r="I82" i="12"/>
  <c r="I80" i="11"/>
  <c r="I81" i="11"/>
  <c r="I84" i="11"/>
  <c r="I79" i="11"/>
  <c r="O91" i="11" s="1"/>
  <c r="U86" i="11" s="1"/>
  <c r="I16" i="40" s="1"/>
  <c r="E28" i="34"/>
  <c r="I55" i="9" s="1"/>
  <c r="E29" i="34"/>
  <c r="I56" i="9" s="1"/>
  <c r="E30" i="34"/>
  <c r="E31" i="34"/>
  <c r="I58" i="9" s="1"/>
  <c r="O67" i="9" s="1"/>
  <c r="E32" i="34"/>
  <c r="I59" i="9" s="1"/>
  <c r="E27" i="34"/>
  <c r="I54" i="9" s="1"/>
  <c r="O66" i="9" s="1"/>
  <c r="U61" i="9" s="1"/>
  <c r="I81" i="8"/>
  <c r="I84" i="8"/>
  <c r="I80" i="3"/>
  <c r="I84" i="3"/>
  <c r="I79" i="3"/>
  <c r="O91" i="3" s="1"/>
  <c r="U86" i="3" s="1"/>
  <c r="I6" i="40" s="1"/>
  <c r="AD38" i="34"/>
  <c r="AD39" i="34"/>
  <c r="AD40" i="34"/>
  <c r="AD41" i="34"/>
  <c r="AD42" i="34"/>
  <c r="AD43" i="34"/>
  <c r="AD44" i="34"/>
  <c r="AD45" i="34"/>
  <c r="AD46" i="34"/>
  <c r="AD47" i="34"/>
  <c r="B27" i="34"/>
  <c r="I54" i="3" s="1"/>
  <c r="O66" i="3" s="1"/>
  <c r="U61" i="3" s="1"/>
  <c r="C27" i="34"/>
  <c r="I54" i="7" s="1"/>
  <c r="O66" i="7" s="1"/>
  <c r="U61" i="7" s="1"/>
  <c r="D27" i="34"/>
  <c r="F27" i="34"/>
  <c r="I54" i="10" s="1"/>
  <c r="O66" i="10" s="1"/>
  <c r="U61" i="10" s="1"/>
  <c r="G27" i="34"/>
  <c r="I54" i="11" s="1"/>
  <c r="O66" i="11" s="1"/>
  <c r="U61" i="11" s="1"/>
  <c r="H27" i="34"/>
  <c r="I54" i="12" s="1"/>
  <c r="O66" i="12" s="1"/>
  <c r="I27" i="34"/>
  <c r="J27" i="34"/>
  <c r="I54" i="14" s="1"/>
  <c r="O66" i="14" s="1"/>
  <c r="U61" i="14" s="1"/>
  <c r="K27" i="34"/>
  <c r="I54" i="15" s="1"/>
  <c r="O66" i="15" s="1"/>
  <c r="L27" i="34"/>
  <c r="I54" i="16" s="1"/>
  <c r="O66" i="16" s="1"/>
  <c r="U61" i="16" s="1"/>
  <c r="M27" i="34"/>
  <c r="I54" i="17" s="1"/>
  <c r="O66" i="17" s="1"/>
  <c r="N27" i="34"/>
  <c r="O27" i="34"/>
  <c r="I54" i="19" s="1"/>
  <c r="O66" i="19" s="1"/>
  <c r="U61" i="19" s="1"/>
  <c r="P27" i="34"/>
  <c r="I54" i="20" s="1"/>
  <c r="O66" i="20" s="1"/>
  <c r="U61" i="20" s="1"/>
  <c r="Q27" i="34"/>
  <c r="R27" i="34"/>
  <c r="I54" i="22" s="1"/>
  <c r="O66" i="22" s="1"/>
  <c r="U61" i="22" s="1"/>
  <c r="S27" i="34"/>
  <c r="I54" i="23" s="1"/>
  <c r="O66" i="23" s="1"/>
  <c r="U61" i="23" s="1"/>
  <c r="T27" i="34"/>
  <c r="I54" i="24" s="1"/>
  <c r="O66" i="24" s="1"/>
  <c r="U61" i="24" s="1"/>
  <c r="U27" i="34"/>
  <c r="I54" i="25" s="1"/>
  <c r="O66" i="25" s="1"/>
  <c r="U61" i="25" s="1"/>
  <c r="V27" i="34"/>
  <c r="I54" i="26" s="1"/>
  <c r="O66" i="26" s="1"/>
  <c r="U61" i="26" s="1"/>
  <c r="W27" i="34"/>
  <c r="I54" i="27" s="1"/>
  <c r="O66" i="27" s="1"/>
  <c r="U61" i="27" s="1"/>
  <c r="X27" i="34"/>
  <c r="I54" i="28" s="1"/>
  <c r="O66" i="28" s="1"/>
  <c r="U61" i="28" s="1"/>
  <c r="Y27" i="34"/>
  <c r="Z27" i="34"/>
  <c r="I54" i="30" s="1"/>
  <c r="O66" i="30" s="1"/>
  <c r="U61" i="30" s="1"/>
  <c r="AA27" i="34"/>
  <c r="I54" i="31" s="1"/>
  <c r="O66" i="31" s="1"/>
  <c r="U61" i="31" s="1"/>
  <c r="AB27" i="34"/>
  <c r="B28" i="34"/>
  <c r="I55" i="3" s="1"/>
  <c r="C28" i="34"/>
  <c r="I55" i="7" s="1"/>
  <c r="D28" i="34"/>
  <c r="F28" i="34"/>
  <c r="I55" i="10" s="1"/>
  <c r="G28" i="34"/>
  <c r="H28" i="34"/>
  <c r="I28" i="34"/>
  <c r="I55" i="13" s="1"/>
  <c r="J28" i="34"/>
  <c r="K28" i="34"/>
  <c r="I55" i="15" s="1"/>
  <c r="L28" i="34"/>
  <c r="I55" i="16" s="1"/>
  <c r="M28" i="34"/>
  <c r="I55" i="17" s="1"/>
  <c r="N28" i="34"/>
  <c r="O28" i="34"/>
  <c r="P28" i="34"/>
  <c r="I55" i="20" s="1"/>
  <c r="Q28" i="34"/>
  <c r="I55" i="21" s="1"/>
  <c r="R28" i="34"/>
  <c r="S28" i="34"/>
  <c r="I55" i="23" s="1"/>
  <c r="T28" i="34"/>
  <c r="U28" i="34"/>
  <c r="I55" i="25" s="1"/>
  <c r="V28" i="34"/>
  <c r="W28" i="34"/>
  <c r="X28" i="34"/>
  <c r="Y28" i="34"/>
  <c r="I55" i="29" s="1"/>
  <c r="Z28" i="34"/>
  <c r="AA28" i="34"/>
  <c r="I55" i="31" s="1"/>
  <c r="AB28" i="34"/>
  <c r="I55" i="32" s="1"/>
  <c r="B29" i="34"/>
  <c r="I56" i="3" s="1"/>
  <c r="C29" i="34"/>
  <c r="I56" i="7" s="1"/>
  <c r="D29" i="34"/>
  <c r="F29" i="34"/>
  <c r="G29" i="34"/>
  <c r="I56" i="11" s="1"/>
  <c r="H29" i="34"/>
  <c r="I56" i="12" s="1"/>
  <c r="I29" i="34"/>
  <c r="I56" i="13" s="1"/>
  <c r="J29" i="34"/>
  <c r="K29" i="34"/>
  <c r="I56" i="15" s="1"/>
  <c r="L29" i="34"/>
  <c r="I56" i="16" s="1"/>
  <c r="M29" i="34"/>
  <c r="N29" i="34"/>
  <c r="I56" i="18" s="1"/>
  <c r="O29" i="34"/>
  <c r="I56" i="19" s="1"/>
  <c r="P29" i="34"/>
  <c r="I56" i="20" s="1"/>
  <c r="Q29" i="34"/>
  <c r="I56" i="21" s="1"/>
  <c r="R29" i="34"/>
  <c r="S29" i="34"/>
  <c r="I56" i="23" s="1"/>
  <c r="T29" i="34"/>
  <c r="I56" i="24" s="1"/>
  <c r="U29" i="34"/>
  <c r="V29" i="34"/>
  <c r="I56" i="26" s="1"/>
  <c r="W29" i="34"/>
  <c r="I56" i="27" s="1"/>
  <c r="X29" i="34"/>
  <c r="I56" i="28" s="1"/>
  <c r="Y29" i="34"/>
  <c r="I56" i="29" s="1"/>
  <c r="Z29" i="34"/>
  <c r="I56" i="30" s="1"/>
  <c r="AA29" i="34"/>
  <c r="I56" i="31" s="1"/>
  <c r="AB29" i="34"/>
  <c r="I56" i="32" s="1"/>
  <c r="B30" i="34"/>
  <c r="C30" i="34"/>
  <c r="I57" i="7" s="1"/>
  <c r="D30" i="34"/>
  <c r="I57" i="8" s="1"/>
  <c r="F30" i="34"/>
  <c r="I57" i="10" s="1"/>
  <c r="G30" i="34"/>
  <c r="I57" i="11" s="1"/>
  <c r="H30" i="34"/>
  <c r="I30" i="34"/>
  <c r="I57" i="13" s="1"/>
  <c r="J30" i="34"/>
  <c r="I57" i="14" s="1"/>
  <c r="K30" i="34"/>
  <c r="L30" i="34"/>
  <c r="I57" i="16" s="1"/>
  <c r="M30" i="34"/>
  <c r="I57" i="17" s="1"/>
  <c r="N30" i="34"/>
  <c r="I57" i="18" s="1"/>
  <c r="O30" i="34"/>
  <c r="I57" i="19" s="1"/>
  <c r="P30" i="34"/>
  <c r="I57" i="20" s="1"/>
  <c r="Q30" i="34"/>
  <c r="I57" i="21" s="1"/>
  <c r="R30" i="34"/>
  <c r="I57" i="22" s="1"/>
  <c r="S30" i="34"/>
  <c r="T30" i="34"/>
  <c r="I57" i="24" s="1"/>
  <c r="U30" i="34"/>
  <c r="I57" i="25" s="1"/>
  <c r="V30" i="34"/>
  <c r="I57" i="26" s="1"/>
  <c r="W30" i="34"/>
  <c r="X30" i="34"/>
  <c r="I57" i="28" s="1"/>
  <c r="Y30" i="34"/>
  <c r="Z30" i="34"/>
  <c r="I57" i="30" s="1"/>
  <c r="AA30" i="34"/>
  <c r="AB30" i="34"/>
  <c r="I57" i="32" s="1"/>
  <c r="B31" i="34"/>
  <c r="C31" i="34"/>
  <c r="I58" i="7" s="1"/>
  <c r="O67" i="7" s="1"/>
  <c r="D31" i="34"/>
  <c r="I58" i="8" s="1"/>
  <c r="O67" i="8" s="1"/>
  <c r="F31" i="34"/>
  <c r="I58" i="10" s="1"/>
  <c r="O67" i="10" s="1"/>
  <c r="G31" i="34"/>
  <c r="I58" i="11" s="1"/>
  <c r="O67" i="11" s="1"/>
  <c r="H31" i="34"/>
  <c r="I58" i="12" s="1"/>
  <c r="O67" i="12" s="1"/>
  <c r="I31" i="34"/>
  <c r="J31" i="34"/>
  <c r="K31" i="34"/>
  <c r="I58" i="15" s="1"/>
  <c r="O67" i="15" s="1"/>
  <c r="L31" i="34"/>
  <c r="I58" i="16" s="1"/>
  <c r="O67" i="16" s="1"/>
  <c r="M31" i="34"/>
  <c r="I58" i="17" s="1"/>
  <c r="O67" i="17" s="1"/>
  <c r="N31" i="34"/>
  <c r="O31" i="34"/>
  <c r="I58" i="19" s="1"/>
  <c r="O67" i="19" s="1"/>
  <c r="P31" i="34"/>
  <c r="I58" i="20" s="1"/>
  <c r="O67" i="20" s="1"/>
  <c r="Q31" i="34"/>
  <c r="R31" i="34"/>
  <c r="I58" i="22" s="1"/>
  <c r="O67" i="22" s="1"/>
  <c r="S31" i="34"/>
  <c r="I58" i="23" s="1"/>
  <c r="O67" i="23" s="1"/>
  <c r="T31" i="34"/>
  <c r="I58" i="24" s="1"/>
  <c r="O67" i="24" s="1"/>
  <c r="U31" i="34"/>
  <c r="I58" i="25" s="1"/>
  <c r="O67" i="25" s="1"/>
  <c r="V31" i="34"/>
  <c r="W31" i="34"/>
  <c r="I58" i="27" s="1"/>
  <c r="O67" i="27" s="1"/>
  <c r="X31" i="34"/>
  <c r="I58" i="28" s="1"/>
  <c r="O67" i="28" s="1"/>
  <c r="Y31" i="34"/>
  <c r="I58" i="29" s="1"/>
  <c r="O67" i="29" s="1"/>
  <c r="Z31" i="34"/>
  <c r="I58" i="30" s="1"/>
  <c r="O67" i="30" s="1"/>
  <c r="AA31" i="34"/>
  <c r="I58" i="31" s="1"/>
  <c r="O67" i="31" s="1"/>
  <c r="AB31" i="34"/>
  <c r="I58" i="32" s="1"/>
  <c r="O67" i="32" s="1"/>
  <c r="B32" i="34"/>
  <c r="I59" i="3" s="1"/>
  <c r="C32" i="34"/>
  <c r="D32" i="34"/>
  <c r="I59" i="8" s="1"/>
  <c r="F32" i="34"/>
  <c r="I59" i="10" s="1"/>
  <c r="G32" i="34"/>
  <c r="I59" i="11" s="1"/>
  <c r="H32" i="34"/>
  <c r="I32" i="34"/>
  <c r="I59" i="13" s="1"/>
  <c r="J32" i="34"/>
  <c r="I59" i="14" s="1"/>
  <c r="K32" i="34"/>
  <c r="I59" i="15" s="1"/>
  <c r="L32" i="34"/>
  <c r="M32" i="34"/>
  <c r="I59" i="17" s="1"/>
  <c r="N32" i="34"/>
  <c r="I59" i="18" s="1"/>
  <c r="O32" i="34"/>
  <c r="I59" i="19" s="1"/>
  <c r="P32" i="34"/>
  <c r="I59" i="20" s="1"/>
  <c r="Q32" i="34"/>
  <c r="I59" i="21" s="1"/>
  <c r="R32" i="34"/>
  <c r="I59" i="22" s="1"/>
  <c r="S32" i="34"/>
  <c r="I59" i="23" s="1"/>
  <c r="T32" i="34"/>
  <c r="U32" i="34"/>
  <c r="I59" i="25" s="1"/>
  <c r="V32" i="34"/>
  <c r="I59" i="26" s="1"/>
  <c r="W32" i="34"/>
  <c r="I59" i="27" s="1"/>
  <c r="X32" i="34"/>
  <c r="I59" i="28" s="1"/>
  <c r="Y32" i="34"/>
  <c r="Z32" i="34"/>
  <c r="I59" i="30" s="1"/>
  <c r="AA32" i="34"/>
  <c r="I59" i="31" s="1"/>
  <c r="AB32" i="34"/>
  <c r="I59" i="32" s="1"/>
  <c r="I57" i="31"/>
  <c r="I57" i="29"/>
  <c r="I54" i="29"/>
  <c r="O66" i="29" s="1"/>
  <c r="U61" i="29" s="1"/>
  <c r="I55" i="28"/>
  <c r="I55" i="27"/>
  <c r="I57" i="27"/>
  <c r="I58" i="26"/>
  <c r="O67" i="26" s="1"/>
  <c r="I56" i="25"/>
  <c r="I55" i="24"/>
  <c r="I59" i="24"/>
  <c r="I57" i="23"/>
  <c r="I56" i="22"/>
  <c r="I58" i="21"/>
  <c r="O67" i="21" s="1"/>
  <c r="I54" i="21"/>
  <c r="O66" i="21" s="1"/>
  <c r="U61" i="21" s="1"/>
  <c r="I55" i="19"/>
  <c r="I58" i="18"/>
  <c r="O67" i="18" s="1"/>
  <c r="I54" i="18"/>
  <c r="O66" i="18" s="1"/>
  <c r="U61" i="18" s="1"/>
  <c r="I56" i="17"/>
  <c r="I59" i="16"/>
  <c r="I57" i="15"/>
  <c r="I56" i="14"/>
  <c r="I58" i="14"/>
  <c r="O67" i="14" s="1"/>
  <c r="I58" i="13"/>
  <c r="O67" i="13" s="1"/>
  <c r="I54" i="13"/>
  <c r="O66" i="13" s="1"/>
  <c r="U61" i="13" s="1"/>
  <c r="I55" i="12"/>
  <c r="I57" i="12"/>
  <c r="I59" i="12"/>
  <c r="I55" i="11"/>
  <c r="I57" i="9"/>
  <c r="I56" i="8"/>
  <c r="I54" i="8"/>
  <c r="O66" i="8" s="1"/>
  <c r="I59" i="7"/>
  <c r="I57" i="3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4" i="34"/>
  <c r="AD5" i="34"/>
  <c r="AD6" i="34"/>
  <c r="AD7" i="34"/>
  <c r="AD8" i="34"/>
  <c r="AD9" i="34"/>
  <c r="AD10" i="34"/>
  <c r="AD11" i="34"/>
  <c r="AD12" i="34"/>
  <c r="AD13" i="34"/>
  <c r="AD14" i="34"/>
  <c r="AD15" i="34"/>
  <c r="AD16" i="34"/>
  <c r="AD17" i="34"/>
  <c r="AD18" i="34"/>
  <c r="AD19" i="34"/>
  <c r="AD20" i="34"/>
  <c r="AD21" i="34"/>
  <c r="B23" i="34"/>
  <c r="C23" i="34"/>
  <c r="D23" i="34"/>
  <c r="E23" i="34"/>
  <c r="F23" i="34"/>
  <c r="G23" i="34"/>
  <c r="H23" i="34"/>
  <c r="I23" i="34"/>
  <c r="J23" i="34"/>
  <c r="K23" i="34"/>
  <c r="L23" i="34"/>
  <c r="M23" i="34"/>
  <c r="N23" i="34"/>
  <c r="O23" i="34"/>
  <c r="P23" i="34"/>
  <c r="Q23" i="34"/>
  <c r="R23" i="34"/>
  <c r="S23" i="34"/>
  <c r="T23" i="34"/>
  <c r="U23" i="34"/>
  <c r="V23" i="34"/>
  <c r="W23" i="34"/>
  <c r="X23" i="34"/>
  <c r="Y23" i="34"/>
  <c r="Z23" i="34"/>
  <c r="AA23" i="34"/>
  <c r="AB23" i="34"/>
  <c r="B49" i="34"/>
  <c r="I32" i="22"/>
  <c r="I31" i="25"/>
  <c r="I31" i="21"/>
  <c r="I33" i="22"/>
  <c r="O42" i="22" s="1"/>
  <c r="I34" i="28"/>
  <c r="I31" i="28"/>
  <c r="I34" i="20"/>
  <c r="I31" i="9"/>
  <c r="I30" i="32"/>
  <c r="I30" i="31"/>
  <c r="I33" i="30"/>
  <c r="O42" i="30" s="1"/>
  <c r="I31" i="29"/>
  <c r="I29" i="26"/>
  <c r="O41" i="26" s="1"/>
  <c r="U36" i="26" s="1"/>
  <c r="I30" i="41" s="1"/>
  <c r="I32" i="26"/>
  <c r="I33" i="26"/>
  <c r="O42" i="26" s="1"/>
  <c r="I30" i="23"/>
  <c r="I30" i="20"/>
  <c r="I29" i="18"/>
  <c r="O41" i="18" s="1"/>
  <c r="U36" i="18" s="1"/>
  <c r="I25" i="41" s="1"/>
  <c r="I29" i="17"/>
  <c r="O41" i="17" s="1"/>
  <c r="U36" i="17" s="1"/>
  <c r="I36" i="41" s="1"/>
  <c r="I34" i="17"/>
  <c r="I33" i="16"/>
  <c r="O42" i="16" s="1"/>
  <c r="I34" i="16"/>
  <c r="I29" i="15"/>
  <c r="O41" i="15" s="1"/>
  <c r="I30" i="15"/>
  <c r="I32" i="14"/>
  <c r="I31" i="12"/>
  <c r="I34" i="12"/>
  <c r="I33" i="11"/>
  <c r="O42" i="11" s="1"/>
  <c r="I29" i="10"/>
  <c r="O41" i="10" s="1"/>
  <c r="U36" i="10" s="1"/>
  <c r="I15" i="41" s="1"/>
  <c r="I33" i="7"/>
  <c r="O42" i="7" s="1"/>
  <c r="B49" i="4"/>
  <c r="I79" i="12" l="1"/>
  <c r="O91" i="12" s="1"/>
  <c r="U86" i="12" s="1"/>
  <c r="I33" i="40" s="1"/>
  <c r="H34" i="35"/>
  <c r="I104" i="27"/>
  <c r="O116" i="27" s="1"/>
  <c r="U111" i="27" s="1"/>
  <c r="I10" i="44" s="1"/>
  <c r="W34" i="37"/>
  <c r="I79" i="27"/>
  <c r="O91" i="27" s="1"/>
  <c r="U86" i="27" s="1"/>
  <c r="I10" i="40" s="1"/>
  <c r="W34" i="35"/>
  <c r="AD31" i="37"/>
  <c r="V34" i="37"/>
  <c r="I79" i="18"/>
  <c r="O91" i="18" s="1"/>
  <c r="U86" i="18" s="1"/>
  <c r="I25" i="40" s="1"/>
  <c r="N34" i="35"/>
  <c r="I104" i="17"/>
  <c r="O116" i="17" s="1"/>
  <c r="U111" i="17" s="1"/>
  <c r="I36" i="44" s="1"/>
  <c r="M34" i="37"/>
  <c r="U34" i="35"/>
  <c r="I79" i="9"/>
  <c r="O91" i="9" s="1"/>
  <c r="U86" i="9" s="1"/>
  <c r="I8" i="40" s="1"/>
  <c r="E34" i="35"/>
  <c r="L34" i="37"/>
  <c r="AD49" i="34"/>
  <c r="I108" i="3"/>
  <c r="O117" i="3" s="1"/>
  <c r="U112" i="3" s="1"/>
  <c r="J6" i="44" s="1"/>
  <c r="I104" i="16"/>
  <c r="O116" i="16" s="1"/>
  <c r="U111" i="16" s="1"/>
  <c r="I35" i="44" s="1"/>
  <c r="I79" i="32"/>
  <c r="O91" i="32" s="1"/>
  <c r="U86" i="32" s="1"/>
  <c r="I12" i="40" s="1"/>
  <c r="AB34" i="35"/>
  <c r="I79" i="24"/>
  <c r="O91" i="24" s="1"/>
  <c r="U86" i="24" s="1"/>
  <c r="I26" i="40" s="1"/>
  <c r="T34" i="35"/>
  <c r="I79" i="16"/>
  <c r="O91" i="16" s="1"/>
  <c r="U86" i="16" s="1"/>
  <c r="I35" i="40" s="1"/>
  <c r="L34" i="35"/>
  <c r="I79" i="8"/>
  <c r="O91" i="8" s="1"/>
  <c r="U86" i="8" s="1"/>
  <c r="I7" i="40" s="1"/>
  <c r="D34" i="35"/>
  <c r="I107" i="3"/>
  <c r="AD30" i="37"/>
  <c r="I104" i="31"/>
  <c r="O116" i="31" s="1"/>
  <c r="U111" i="31" s="1"/>
  <c r="I22" i="44" s="1"/>
  <c r="AA34" i="37"/>
  <c r="I104" i="23"/>
  <c r="O116" i="23" s="1"/>
  <c r="U111" i="23" s="1"/>
  <c r="I20" i="44" s="1"/>
  <c r="S34" i="37"/>
  <c r="I104" i="15"/>
  <c r="O116" i="15" s="1"/>
  <c r="U111" i="15" s="1"/>
  <c r="I17" i="44" s="1"/>
  <c r="K34" i="37"/>
  <c r="I104" i="7"/>
  <c r="O116" i="7" s="1"/>
  <c r="U111" i="7" s="1"/>
  <c r="I14" i="44" s="1"/>
  <c r="C34" i="37"/>
  <c r="I79" i="28"/>
  <c r="O91" i="28" s="1"/>
  <c r="U86" i="28" s="1"/>
  <c r="I11" i="40" s="1"/>
  <c r="X34" i="35"/>
  <c r="I104" i="19"/>
  <c r="O116" i="19" s="1"/>
  <c r="U111" i="19" s="1"/>
  <c r="I9" i="44" s="1"/>
  <c r="O34" i="37"/>
  <c r="O34" i="35"/>
  <c r="I104" i="18"/>
  <c r="O116" i="18" s="1"/>
  <c r="U111" i="18" s="1"/>
  <c r="I25" i="44" s="1"/>
  <c r="N34" i="37"/>
  <c r="Y34" i="34"/>
  <c r="I79" i="26"/>
  <c r="O91" i="26" s="1"/>
  <c r="U86" i="26" s="1"/>
  <c r="I30" i="40" s="1"/>
  <c r="V34" i="35"/>
  <c r="I79" i="10"/>
  <c r="O91" i="10" s="1"/>
  <c r="U86" i="10" s="1"/>
  <c r="I15" i="40" s="1"/>
  <c r="F34" i="35"/>
  <c r="I105" i="3"/>
  <c r="AD28" i="37"/>
  <c r="AD23" i="4"/>
  <c r="M34" i="35"/>
  <c r="AD49" i="37"/>
  <c r="D34" i="37"/>
  <c r="I79" i="19"/>
  <c r="O91" i="19" s="1"/>
  <c r="U86" i="19" s="1"/>
  <c r="I9" i="40" s="1"/>
  <c r="I79" i="31"/>
  <c r="O91" i="31" s="1"/>
  <c r="U86" i="31" s="1"/>
  <c r="I22" i="40" s="1"/>
  <c r="AA34" i="35"/>
  <c r="I79" i="23"/>
  <c r="O91" i="23" s="1"/>
  <c r="U86" i="23" s="1"/>
  <c r="I20" i="40" s="1"/>
  <c r="S34" i="35"/>
  <c r="I79" i="15"/>
  <c r="O91" i="15" s="1"/>
  <c r="U86" i="15" s="1"/>
  <c r="I17" i="40" s="1"/>
  <c r="K34" i="35"/>
  <c r="I79" i="7"/>
  <c r="O91" i="7" s="1"/>
  <c r="U86" i="7" s="1"/>
  <c r="I14" i="40" s="1"/>
  <c r="C34" i="35"/>
  <c r="Z34" i="37"/>
  <c r="R34" i="37"/>
  <c r="I104" i="14"/>
  <c r="O116" i="14" s="1"/>
  <c r="U111" i="14" s="1"/>
  <c r="I34" i="44" s="1"/>
  <c r="J34" i="37"/>
  <c r="AD27" i="37"/>
  <c r="I104" i="25"/>
  <c r="O116" i="25" s="1"/>
  <c r="U111" i="25" s="1"/>
  <c r="I21" i="44" s="1"/>
  <c r="U34" i="37"/>
  <c r="I104" i="9"/>
  <c r="O116" i="9" s="1"/>
  <c r="U111" i="9" s="1"/>
  <c r="I8" i="44" s="1"/>
  <c r="E34" i="37"/>
  <c r="T34" i="37"/>
  <c r="Y34" i="4"/>
  <c r="Z34" i="35"/>
  <c r="I104" i="22"/>
  <c r="O116" i="22" s="1"/>
  <c r="U111" i="22" s="1"/>
  <c r="I19" i="44" s="1"/>
  <c r="R34" i="35"/>
  <c r="J34" i="35"/>
  <c r="B34" i="35"/>
  <c r="AD27" i="35"/>
  <c r="I109" i="3"/>
  <c r="AD32" i="37"/>
  <c r="I104" i="29"/>
  <c r="O116" i="29" s="1"/>
  <c r="U111" i="29" s="1"/>
  <c r="I31" i="44" s="1"/>
  <c r="Y34" i="37"/>
  <c r="I104" i="21"/>
  <c r="O116" i="21" s="1"/>
  <c r="U111" i="21" s="1"/>
  <c r="I29" i="44" s="1"/>
  <c r="I28" i="44" s="1"/>
  <c r="Q34" i="37"/>
  <c r="I104" i="13"/>
  <c r="O116" i="13" s="1"/>
  <c r="U111" i="13" s="1"/>
  <c r="I24" i="44" s="1"/>
  <c r="I34" i="37"/>
  <c r="I79" i="20"/>
  <c r="O91" i="20" s="1"/>
  <c r="U86" i="20" s="1"/>
  <c r="I18" i="40" s="1"/>
  <c r="P34" i="35"/>
  <c r="I104" i="11"/>
  <c r="O116" i="11" s="1"/>
  <c r="U111" i="11" s="1"/>
  <c r="I16" i="44" s="1"/>
  <c r="G34" i="37"/>
  <c r="AD23" i="34"/>
  <c r="G34" i="35"/>
  <c r="I104" i="10"/>
  <c r="O116" i="10" s="1"/>
  <c r="U111" i="10" s="1"/>
  <c r="I15" i="44" s="1"/>
  <c r="F34" i="37"/>
  <c r="Y34" i="35"/>
  <c r="Q34" i="35"/>
  <c r="I34" i="35"/>
  <c r="AD29" i="37"/>
  <c r="X34" i="37"/>
  <c r="I104" i="20"/>
  <c r="O116" i="20" s="1"/>
  <c r="U111" i="20" s="1"/>
  <c r="I18" i="44" s="1"/>
  <c r="P34" i="37"/>
  <c r="H34" i="37"/>
  <c r="AD49" i="4"/>
  <c r="I83" i="22"/>
  <c r="O92" i="22" s="1"/>
  <c r="U87" i="22" s="1"/>
  <c r="J19" i="40" s="1"/>
  <c r="I80" i="22"/>
  <c r="I106" i="13"/>
  <c r="I106" i="17"/>
  <c r="I106" i="9"/>
  <c r="X34" i="34"/>
  <c r="AB34" i="34"/>
  <c r="D34" i="34"/>
  <c r="H34" i="34"/>
  <c r="H34" i="4"/>
  <c r="M34" i="4"/>
  <c r="T34" i="4"/>
  <c r="L34" i="4"/>
  <c r="I34" i="4"/>
  <c r="Q34" i="4"/>
  <c r="AB34" i="4"/>
  <c r="I29" i="24"/>
  <c r="O41" i="24" s="1"/>
  <c r="U36" i="24" s="1"/>
  <c r="I26" i="41" s="1"/>
  <c r="I23" i="41" s="1"/>
  <c r="L51" i="42"/>
  <c r="U65" i="42" s="1"/>
  <c r="I23" i="25" s="1"/>
  <c r="I23" i="43"/>
  <c r="P34" i="4"/>
  <c r="I32" i="12"/>
  <c r="U34" i="4"/>
  <c r="E34" i="4"/>
  <c r="I29" i="16"/>
  <c r="O41" i="16" s="1"/>
  <c r="U36" i="16" s="1"/>
  <c r="I35" i="41" s="1"/>
  <c r="X34" i="4"/>
  <c r="D34" i="4"/>
  <c r="L34" i="34"/>
  <c r="I54" i="32"/>
  <c r="O66" i="32" s="1"/>
  <c r="U61" i="32" s="1"/>
  <c r="I12" i="39" s="1"/>
  <c r="P34" i="34"/>
  <c r="I55" i="8"/>
  <c r="T34" i="34"/>
  <c r="I59" i="29"/>
  <c r="I82" i="22"/>
  <c r="I81" i="22"/>
  <c r="I28" i="41"/>
  <c r="J5" i="43"/>
  <c r="J4" i="43" s="1"/>
  <c r="I8" i="43"/>
  <c r="I13" i="43"/>
  <c r="U37" i="7"/>
  <c r="J14" i="41" s="1"/>
  <c r="U37" i="11"/>
  <c r="J16" i="41" s="1"/>
  <c r="U37" i="12"/>
  <c r="J33" i="41" s="1"/>
  <c r="U37" i="13"/>
  <c r="J24" i="41" s="1"/>
  <c r="U37" i="14"/>
  <c r="J34" i="41" s="1"/>
  <c r="U36" i="14"/>
  <c r="I34" i="41" s="1"/>
  <c r="U37" i="15"/>
  <c r="J17" i="41" s="1"/>
  <c r="U36" i="15"/>
  <c r="I17" i="41" s="1"/>
  <c r="U37" i="16"/>
  <c r="J35" i="41" s="1"/>
  <c r="U37" i="17"/>
  <c r="J36" i="41" s="1"/>
  <c r="U37" i="18"/>
  <c r="J25" i="41" s="1"/>
  <c r="U37" i="19"/>
  <c r="J9" i="41" s="1"/>
  <c r="U37" i="20"/>
  <c r="J18" i="41" s="1"/>
  <c r="U37" i="23"/>
  <c r="J20" i="41" s="1"/>
  <c r="U37" i="26"/>
  <c r="J30" i="41" s="1"/>
  <c r="U37" i="29"/>
  <c r="J31" i="41" s="1"/>
  <c r="U37" i="30"/>
  <c r="J27" i="41" s="1"/>
  <c r="U37" i="31"/>
  <c r="J22" i="41" s="1"/>
  <c r="U36" i="31"/>
  <c r="I22" i="41" s="1"/>
  <c r="U37" i="32"/>
  <c r="J12" i="41" s="1"/>
  <c r="U36" i="32"/>
  <c r="I12" i="41" s="1"/>
  <c r="U37" i="8"/>
  <c r="J7" i="41" s="1"/>
  <c r="U37" i="22"/>
  <c r="J19" i="41" s="1"/>
  <c r="U36" i="22"/>
  <c r="I19" i="41" s="1"/>
  <c r="U37" i="25"/>
  <c r="J21" i="41" s="1"/>
  <c r="U36" i="25"/>
  <c r="I21" i="41" s="1"/>
  <c r="U37" i="24"/>
  <c r="J26" i="41" s="1"/>
  <c r="I14" i="39"/>
  <c r="U62" i="7"/>
  <c r="U61" i="8"/>
  <c r="I7" i="39" s="1"/>
  <c r="U62" i="8"/>
  <c r="I8" i="39"/>
  <c r="U62" i="9"/>
  <c r="I15" i="39"/>
  <c r="U62" i="10"/>
  <c r="U62" i="12"/>
  <c r="I24" i="39"/>
  <c r="U62" i="13"/>
  <c r="I34" i="39"/>
  <c r="U62" i="14"/>
  <c r="U61" i="15"/>
  <c r="I17" i="39" s="1"/>
  <c r="I35" i="39"/>
  <c r="U62" i="16"/>
  <c r="U61" i="17"/>
  <c r="I36" i="39" s="1"/>
  <c r="U62" i="17"/>
  <c r="I25" i="39"/>
  <c r="U62" i="18"/>
  <c r="I18" i="39"/>
  <c r="U62" i="20"/>
  <c r="I29" i="39"/>
  <c r="U62" i="21"/>
  <c r="I19" i="39"/>
  <c r="U62" i="22"/>
  <c r="I26" i="39"/>
  <c r="U62" i="24"/>
  <c r="I21" i="39"/>
  <c r="U62" i="25"/>
  <c r="I30" i="39"/>
  <c r="U62" i="26"/>
  <c r="I11" i="39"/>
  <c r="U62" i="28"/>
  <c r="U62" i="32"/>
  <c r="I22" i="39"/>
  <c r="U62" i="31"/>
  <c r="I27" i="39"/>
  <c r="U62" i="30"/>
  <c r="I31" i="39"/>
  <c r="U62" i="29"/>
  <c r="I10" i="39"/>
  <c r="U62" i="27"/>
  <c r="I20" i="39"/>
  <c r="U62" i="23"/>
  <c r="I9" i="39"/>
  <c r="U62" i="19"/>
  <c r="U62" i="15"/>
  <c r="I16" i="39"/>
  <c r="U62" i="11"/>
  <c r="U61" i="12"/>
  <c r="I33" i="39" s="1"/>
  <c r="U37" i="28"/>
  <c r="J11" i="41" s="1"/>
  <c r="U37" i="27"/>
  <c r="J10" i="41" s="1"/>
  <c r="U37" i="21"/>
  <c r="J29" i="41" s="1"/>
  <c r="U37" i="10"/>
  <c r="J15" i="41" s="1"/>
  <c r="U37" i="9"/>
  <c r="J8" i="41" s="1"/>
  <c r="B34" i="34"/>
  <c r="AD30" i="34"/>
  <c r="Z34" i="34"/>
  <c r="V34" i="34"/>
  <c r="R34" i="34"/>
  <c r="N34" i="34"/>
  <c r="J34" i="34"/>
  <c r="S34" i="4"/>
  <c r="O34" i="4"/>
  <c r="C34" i="4"/>
  <c r="Z34" i="4"/>
  <c r="V34" i="4"/>
  <c r="R34" i="4"/>
  <c r="N34" i="4"/>
  <c r="F34" i="4"/>
  <c r="C34" i="34"/>
  <c r="G34" i="34"/>
  <c r="K34" i="34"/>
  <c r="O34" i="34"/>
  <c r="S34" i="34"/>
  <c r="W34" i="34"/>
  <c r="AA34" i="34"/>
  <c r="I55" i="14"/>
  <c r="I55" i="18"/>
  <c r="I55" i="22"/>
  <c r="I55" i="26"/>
  <c r="I80" i="13"/>
  <c r="I80" i="17"/>
  <c r="I80" i="21"/>
  <c r="I80" i="29"/>
  <c r="I106" i="23"/>
  <c r="I106" i="31"/>
  <c r="I30" i="10"/>
  <c r="I109" i="22"/>
  <c r="I55" i="30"/>
  <c r="AA34" i="4"/>
  <c r="W34" i="4"/>
  <c r="K34" i="4"/>
  <c r="G34" i="4"/>
  <c r="I30" i="26"/>
  <c r="E34" i="34"/>
  <c r="I34" i="34"/>
  <c r="M34" i="34"/>
  <c r="Q34" i="34"/>
  <c r="U34" i="34"/>
  <c r="I58" i="3"/>
  <c r="O67" i="3" s="1"/>
  <c r="U62" i="3" s="1"/>
  <c r="AD27" i="34"/>
  <c r="I106" i="11"/>
  <c r="I106" i="15"/>
  <c r="I106" i="19"/>
  <c r="I80" i="9"/>
  <c r="J34" i="4"/>
  <c r="B34" i="4"/>
  <c r="F34" i="34"/>
  <c r="AD29" i="34"/>
  <c r="AD31" i="35"/>
  <c r="I56" i="10"/>
  <c r="J28" i="44"/>
  <c r="J23" i="44"/>
  <c r="J32" i="44"/>
  <c r="J5" i="44"/>
  <c r="I6" i="39"/>
  <c r="I6" i="41"/>
  <c r="AD28" i="34"/>
  <c r="AD31" i="34"/>
  <c r="AD32" i="34"/>
  <c r="I84" i="7"/>
  <c r="AD32" i="35"/>
  <c r="AD31" i="4"/>
  <c r="I33" i="3"/>
  <c r="O42" i="3" s="1"/>
  <c r="AD29" i="35"/>
  <c r="AD28" i="35"/>
  <c r="I80" i="7"/>
  <c r="AD30" i="4"/>
  <c r="AD30" i="35"/>
  <c r="AD27" i="4"/>
  <c r="AD32" i="4"/>
  <c r="AD29" i="4"/>
  <c r="I31" i="3"/>
  <c r="AD28" i="4"/>
  <c r="AD34" i="37" l="1"/>
  <c r="AD34" i="34"/>
  <c r="AD34" i="4"/>
  <c r="L51" i="37"/>
  <c r="AD34" i="35"/>
  <c r="L51" i="35" s="1"/>
  <c r="Z58" i="42"/>
  <c r="I16" i="30" s="1"/>
  <c r="X12" i="30" s="1"/>
  <c r="AA27" i="43" s="1"/>
  <c r="I13" i="39"/>
  <c r="I28" i="39"/>
  <c r="I23" i="39"/>
  <c r="I32" i="41"/>
  <c r="B65" i="42"/>
  <c r="I23" i="3" s="1"/>
  <c r="P63" i="42"/>
  <c r="I21" i="20" s="1"/>
  <c r="X18" i="20" s="1"/>
  <c r="AI18" i="43" s="1"/>
  <c r="N62" i="42"/>
  <c r="I20" i="18" s="1"/>
  <c r="X17" i="18" s="1"/>
  <c r="AG25" i="43" s="1"/>
  <c r="O61" i="42"/>
  <c r="I19" i="19" s="1"/>
  <c r="J19" i="19" s="1"/>
  <c r="L59" i="42"/>
  <c r="I17" i="16" s="1"/>
  <c r="AB61" i="42"/>
  <c r="I19" i="32" s="1"/>
  <c r="X15" i="32" s="1"/>
  <c r="AE12" i="43" s="1"/>
  <c r="J65" i="42"/>
  <c r="I23" i="14" s="1"/>
  <c r="M60" i="42"/>
  <c r="I18" i="17" s="1"/>
  <c r="Q61" i="42"/>
  <c r="I19" i="21" s="1"/>
  <c r="X15" i="21" s="1"/>
  <c r="AE29" i="43" s="1"/>
  <c r="R58" i="42"/>
  <c r="I16" i="22" s="1"/>
  <c r="X12" i="22" s="1"/>
  <c r="AA19" i="43" s="1"/>
  <c r="G61" i="42"/>
  <c r="I19" i="11" s="1"/>
  <c r="X15" i="11" s="1"/>
  <c r="AE16" i="43" s="1"/>
  <c r="Q58" i="42"/>
  <c r="I16" i="21" s="1"/>
  <c r="X12" i="21" s="1"/>
  <c r="AA29" i="43" s="1"/>
  <c r="AB62" i="42"/>
  <c r="I20" i="32" s="1"/>
  <c r="X17" i="32" s="1"/>
  <c r="AG12" i="43" s="1"/>
  <c r="W62" i="42"/>
  <c r="I20" i="27" s="1"/>
  <c r="X17" i="27" s="1"/>
  <c r="AG10" i="43" s="1"/>
  <c r="I58" i="42"/>
  <c r="I16" i="13" s="1"/>
  <c r="X12" i="13" s="1"/>
  <c r="AA24" i="43" s="1"/>
  <c r="AA58" i="42"/>
  <c r="I16" i="31" s="1"/>
  <c r="X12" i="31" s="1"/>
  <c r="AA22" i="43" s="1"/>
  <c r="D59" i="42"/>
  <c r="I17" i="8" s="1"/>
  <c r="E63" i="42"/>
  <c r="I21" i="9" s="1"/>
  <c r="X18" i="9" s="1"/>
  <c r="AI8" i="43" s="1"/>
  <c r="T56" i="42"/>
  <c r="I14" i="24" s="1"/>
  <c r="K57" i="42"/>
  <c r="I15" i="15" s="1"/>
  <c r="X11" i="15" s="1"/>
  <c r="Y17" i="43" s="1"/>
  <c r="T61" i="42"/>
  <c r="I19" i="24" s="1"/>
  <c r="X15" i="24" s="1"/>
  <c r="AE26" i="43" s="1"/>
  <c r="F57" i="42"/>
  <c r="I15" i="10" s="1"/>
  <c r="X11" i="10" s="1"/>
  <c r="Y15" i="43" s="1"/>
  <c r="I61" i="42"/>
  <c r="I19" i="13" s="1"/>
  <c r="X15" i="13" s="1"/>
  <c r="AE24" i="43" s="1"/>
  <c r="R62" i="42"/>
  <c r="I20" i="22" s="1"/>
  <c r="X17" i="22" s="1"/>
  <c r="AG19" i="43" s="1"/>
  <c r="E59" i="42"/>
  <c r="I17" i="9" s="1"/>
  <c r="P59" i="42"/>
  <c r="I17" i="20" s="1"/>
  <c r="AA56" i="42"/>
  <c r="I14" i="31" s="1"/>
  <c r="O60" i="42"/>
  <c r="I18" i="19" s="1"/>
  <c r="Q65" i="42"/>
  <c r="I23" i="21" s="1"/>
  <c r="T65" i="42"/>
  <c r="I23" i="24" s="1"/>
  <c r="X58" i="42"/>
  <c r="I16" i="28" s="1"/>
  <c r="X12" i="28" s="1"/>
  <c r="AA11" i="43" s="1"/>
  <c r="F63" i="42"/>
  <c r="I21" i="10" s="1"/>
  <c r="X18" i="10" s="1"/>
  <c r="AI15" i="43" s="1"/>
  <c r="AA65" i="42"/>
  <c r="I23" i="31" s="1"/>
  <c r="Y65" i="42"/>
  <c r="I23" i="29" s="1"/>
  <c r="L65" i="42"/>
  <c r="I23" i="16" s="1"/>
  <c r="P58" i="42"/>
  <c r="I16" i="20" s="1"/>
  <c r="X12" i="20" s="1"/>
  <c r="AA18" i="43" s="1"/>
  <c r="Z63" i="42"/>
  <c r="I21" i="30" s="1"/>
  <c r="X18" i="30" s="1"/>
  <c r="AI27" i="43" s="1"/>
  <c r="X65" i="42"/>
  <c r="I23" i="28" s="1"/>
  <c r="H57" i="42"/>
  <c r="I15" i="12" s="1"/>
  <c r="X11" i="12" s="1"/>
  <c r="Y33" i="43" s="1"/>
  <c r="R64" i="42"/>
  <c r="I22" i="22" s="1"/>
  <c r="X14" i="22" s="1"/>
  <c r="AC19" i="43" s="1"/>
  <c r="N56" i="42"/>
  <c r="I14" i="18" s="1"/>
  <c r="Y62" i="42"/>
  <c r="I20" i="29" s="1"/>
  <c r="X17" i="29" s="1"/>
  <c r="AG31" i="43" s="1"/>
  <c r="D65" i="42"/>
  <c r="I23" i="8" s="1"/>
  <c r="W65" i="42"/>
  <c r="I23" i="27" s="1"/>
  <c r="J58" i="42"/>
  <c r="I16" i="14" s="1"/>
  <c r="X12" i="14" s="1"/>
  <c r="AA34" i="43" s="1"/>
  <c r="S63" i="42"/>
  <c r="I21" i="23" s="1"/>
  <c r="X18" i="23" s="1"/>
  <c r="AI20" i="43" s="1"/>
  <c r="Y61" i="42"/>
  <c r="I19" i="29" s="1"/>
  <c r="X15" i="29" s="1"/>
  <c r="AE31" i="43" s="1"/>
  <c r="H64" i="42"/>
  <c r="I22" i="12" s="1"/>
  <c r="X14" i="12" s="1"/>
  <c r="AC33" i="43" s="1"/>
  <c r="H56" i="42"/>
  <c r="I14" i="12" s="1"/>
  <c r="R63" i="42"/>
  <c r="I21" i="22" s="1"/>
  <c r="X18" i="22" s="1"/>
  <c r="AI19" i="43" s="1"/>
  <c r="M61" i="42"/>
  <c r="I19" i="17" s="1"/>
  <c r="X15" i="17" s="1"/>
  <c r="AE36" i="43" s="1"/>
  <c r="U63" i="42"/>
  <c r="I21" i="25" s="1"/>
  <c r="X18" i="25" s="1"/>
  <c r="AI21" i="43" s="1"/>
  <c r="M56" i="42"/>
  <c r="I14" i="17" s="1"/>
  <c r="T60" i="42"/>
  <c r="I18" i="24" s="1"/>
  <c r="S62" i="42"/>
  <c r="I20" i="23" s="1"/>
  <c r="X17" i="23" s="1"/>
  <c r="AG20" i="43" s="1"/>
  <c r="V59" i="42"/>
  <c r="I17" i="26" s="1"/>
  <c r="B61" i="42"/>
  <c r="I19" i="3" s="1"/>
  <c r="X15" i="3" s="1"/>
  <c r="AE6" i="43" s="1"/>
  <c r="F56" i="42"/>
  <c r="I14" i="10" s="1"/>
  <c r="Y58" i="42"/>
  <c r="I16" i="29" s="1"/>
  <c r="X12" i="29" s="1"/>
  <c r="AA31" i="43" s="1"/>
  <c r="X62" i="42"/>
  <c r="I20" i="28" s="1"/>
  <c r="X17" i="28" s="1"/>
  <c r="AG11" i="43" s="1"/>
  <c r="P56" i="42"/>
  <c r="I14" i="20" s="1"/>
  <c r="J64" i="42"/>
  <c r="I22" i="14" s="1"/>
  <c r="X14" i="14" s="1"/>
  <c r="AC34" i="43" s="1"/>
  <c r="AA59" i="42"/>
  <c r="I17" i="31" s="1"/>
  <c r="V64" i="42"/>
  <c r="I22" i="26" s="1"/>
  <c r="X14" i="26" s="1"/>
  <c r="AC30" i="43" s="1"/>
  <c r="Q64" i="42"/>
  <c r="I22" i="21" s="1"/>
  <c r="X14" i="21" s="1"/>
  <c r="AC29" i="43" s="1"/>
  <c r="Y57" i="42"/>
  <c r="I15" i="29" s="1"/>
  <c r="X11" i="29" s="1"/>
  <c r="Y31" i="43" s="1"/>
  <c r="L61" i="42"/>
  <c r="I19" i="16" s="1"/>
  <c r="X15" i="16" s="1"/>
  <c r="AE35" i="43" s="1"/>
  <c r="W61" i="42"/>
  <c r="I19" i="27" s="1"/>
  <c r="X15" i="27" s="1"/>
  <c r="AE10" i="43" s="1"/>
  <c r="R61" i="42"/>
  <c r="I19" i="22" s="1"/>
  <c r="X15" i="22" s="1"/>
  <c r="AE19" i="43" s="1"/>
  <c r="U61" i="42"/>
  <c r="I19" i="25" s="1"/>
  <c r="X15" i="25" s="1"/>
  <c r="AE21" i="43" s="1"/>
  <c r="M58" i="42"/>
  <c r="I16" i="17" s="1"/>
  <c r="X12" i="17" s="1"/>
  <c r="AA36" i="43" s="1"/>
  <c r="H65" i="42"/>
  <c r="I23" i="12" s="1"/>
  <c r="X61" i="42"/>
  <c r="I19" i="28" s="1"/>
  <c r="X15" i="28" s="1"/>
  <c r="AE11" i="43" s="1"/>
  <c r="AB58" i="42"/>
  <c r="I16" i="32" s="1"/>
  <c r="X12" i="32" s="1"/>
  <c r="AA12" i="43" s="1"/>
  <c r="D56" i="42"/>
  <c r="I14" i="8" s="1"/>
  <c r="G59" i="42"/>
  <c r="I17" i="11" s="1"/>
  <c r="N63" i="42"/>
  <c r="I21" i="18" s="1"/>
  <c r="X18" i="18" s="1"/>
  <c r="AI25" i="43" s="1"/>
  <c r="N57" i="42"/>
  <c r="I15" i="18" s="1"/>
  <c r="X11" i="18" s="1"/>
  <c r="Y25" i="43" s="1"/>
  <c r="R65" i="42"/>
  <c r="I23" i="22" s="1"/>
  <c r="G64" i="42"/>
  <c r="I22" i="11" s="1"/>
  <c r="X14" i="11" s="1"/>
  <c r="AC16" i="43" s="1"/>
  <c r="B63" i="42"/>
  <c r="I21" i="3" s="1"/>
  <c r="X18" i="3" s="1"/>
  <c r="AI6" i="43" s="1"/>
  <c r="I64" i="42"/>
  <c r="I22" i="13" s="1"/>
  <c r="X14" i="13" s="1"/>
  <c r="AC24" i="43" s="1"/>
  <c r="Y60" i="42"/>
  <c r="I18" i="29" s="1"/>
  <c r="Q57" i="42"/>
  <c r="I15" i="21" s="1"/>
  <c r="X11" i="21" s="1"/>
  <c r="Y29" i="43" s="1"/>
  <c r="AB63" i="42"/>
  <c r="I21" i="32" s="1"/>
  <c r="X18" i="32" s="1"/>
  <c r="AI12" i="43" s="1"/>
  <c r="D61" i="42"/>
  <c r="I19" i="8" s="1"/>
  <c r="X15" i="8" s="1"/>
  <c r="AE7" i="43" s="1"/>
  <c r="H58" i="42"/>
  <c r="I16" i="12" s="1"/>
  <c r="X12" i="12" s="1"/>
  <c r="AA33" i="43" s="1"/>
  <c r="O63" i="42"/>
  <c r="I21" i="19" s="1"/>
  <c r="X18" i="19" s="1"/>
  <c r="AI9" i="43" s="1"/>
  <c r="W57" i="42"/>
  <c r="I15" i="27" s="1"/>
  <c r="X11" i="27" s="1"/>
  <c r="Y10" i="43" s="1"/>
  <c r="B62" i="42"/>
  <c r="I20" i="3" s="1"/>
  <c r="X17" i="3" s="1"/>
  <c r="AG6" i="43" s="1"/>
  <c r="O64" i="42"/>
  <c r="I22" i="19" s="1"/>
  <c r="X14" i="19" s="1"/>
  <c r="AC9" i="43" s="1"/>
  <c r="V62" i="42"/>
  <c r="I20" i="26" s="1"/>
  <c r="X17" i="26" s="1"/>
  <c r="AG30" i="43" s="1"/>
  <c r="K61" i="42"/>
  <c r="I19" i="15" s="1"/>
  <c r="X15" i="15" s="1"/>
  <c r="AE17" i="43" s="1"/>
  <c r="Z57" i="42"/>
  <c r="I15" i="30" s="1"/>
  <c r="X11" i="30" s="1"/>
  <c r="Y27" i="43" s="1"/>
  <c r="Y63" i="42"/>
  <c r="I21" i="29" s="1"/>
  <c r="X18" i="29" s="1"/>
  <c r="AI31" i="43" s="1"/>
  <c r="Q60" i="42"/>
  <c r="I18" i="21" s="1"/>
  <c r="Q56" i="42"/>
  <c r="I14" i="21" s="1"/>
  <c r="T63" i="42"/>
  <c r="I21" i="24" s="1"/>
  <c r="X18" i="24" s="1"/>
  <c r="AI26" i="43" s="1"/>
  <c r="X60" i="42"/>
  <c r="I18" i="28" s="1"/>
  <c r="L57" i="42"/>
  <c r="I15" i="16" s="1"/>
  <c r="X11" i="16" s="1"/>
  <c r="Y35" i="43" s="1"/>
  <c r="K58" i="42"/>
  <c r="I16" i="15" s="1"/>
  <c r="X12" i="15" s="1"/>
  <c r="AA17" i="43" s="1"/>
  <c r="V57" i="42"/>
  <c r="I15" i="26" s="1"/>
  <c r="X11" i="26" s="1"/>
  <c r="Y30" i="43" s="1"/>
  <c r="O62" i="42"/>
  <c r="I20" i="19" s="1"/>
  <c r="X17" i="19" s="1"/>
  <c r="AG9" i="43" s="1"/>
  <c r="S58" i="42"/>
  <c r="I16" i="23" s="1"/>
  <c r="X12" i="23" s="1"/>
  <c r="AA20" i="43" s="1"/>
  <c r="M64" i="42"/>
  <c r="I22" i="17" s="1"/>
  <c r="X14" i="17" s="1"/>
  <c r="AC36" i="43" s="1"/>
  <c r="E61" i="42"/>
  <c r="I19" i="9" s="1"/>
  <c r="X15" i="9" s="1"/>
  <c r="AE8" i="43" s="1"/>
  <c r="U57" i="42"/>
  <c r="I15" i="25" s="1"/>
  <c r="X11" i="25" s="1"/>
  <c r="Y21" i="43" s="1"/>
  <c r="D64" i="42"/>
  <c r="I22" i="8" s="1"/>
  <c r="X14" i="8" s="1"/>
  <c r="AC7" i="43" s="1"/>
  <c r="H61" i="42"/>
  <c r="I19" i="12" s="1"/>
  <c r="X15" i="12" s="1"/>
  <c r="AE33" i="43" s="1"/>
  <c r="L58" i="42"/>
  <c r="I16" i="16" s="1"/>
  <c r="X12" i="16" s="1"/>
  <c r="AA35" i="43" s="1"/>
  <c r="W63" i="42"/>
  <c r="I21" i="27" s="1"/>
  <c r="X18" i="27" s="1"/>
  <c r="AI10" i="43" s="1"/>
  <c r="C58" i="42"/>
  <c r="I16" i="7" s="1"/>
  <c r="X12" i="7" s="1"/>
  <c r="AA14" i="43" s="1"/>
  <c r="J62" i="42"/>
  <c r="I20" i="14" s="1"/>
  <c r="X17" i="14" s="1"/>
  <c r="AG34" i="43" s="1"/>
  <c r="C65" i="42"/>
  <c r="I23" i="7" s="1"/>
  <c r="J63" i="42"/>
  <c r="I21" i="14" s="1"/>
  <c r="X18" i="14" s="1"/>
  <c r="AI34" i="43" s="1"/>
  <c r="AA61" i="42"/>
  <c r="I19" i="31" s="1"/>
  <c r="X15" i="31" s="1"/>
  <c r="AE22" i="43" s="1"/>
  <c r="N58" i="42"/>
  <c r="I16" i="18" s="1"/>
  <c r="X12" i="18" s="1"/>
  <c r="AA25" i="43" s="1"/>
  <c r="Q63" i="42"/>
  <c r="I21" i="21" s="1"/>
  <c r="X18" i="21" s="1"/>
  <c r="AI29" i="43" s="1"/>
  <c r="I60" i="42"/>
  <c r="I18" i="13" s="1"/>
  <c r="I56" i="42"/>
  <c r="I14" i="13" s="1"/>
  <c r="L63" i="42"/>
  <c r="I21" i="16" s="1"/>
  <c r="X18" i="16" s="1"/>
  <c r="AI35" i="43" s="1"/>
  <c r="P60" i="42"/>
  <c r="I18" i="20" s="1"/>
  <c r="D57" i="42"/>
  <c r="I15" i="8" s="1"/>
  <c r="X11" i="8" s="1"/>
  <c r="Y7" i="43" s="1"/>
  <c r="K62" i="42"/>
  <c r="I20" i="15" s="1"/>
  <c r="X17" i="15" s="1"/>
  <c r="AG17" i="43" s="1"/>
  <c r="S56" i="42"/>
  <c r="I14" i="23" s="1"/>
  <c r="N59" i="42"/>
  <c r="I17" i="18" s="1"/>
  <c r="G62" i="42"/>
  <c r="I20" i="11" s="1"/>
  <c r="X17" i="11" s="1"/>
  <c r="AG16" i="43" s="1"/>
  <c r="N60" i="42"/>
  <c r="I18" i="18" s="1"/>
  <c r="W56" i="42"/>
  <c r="I14" i="27" s="1"/>
  <c r="I63" i="42"/>
  <c r="I21" i="13" s="1"/>
  <c r="X18" i="13" s="1"/>
  <c r="AI24" i="43" s="1"/>
  <c r="I59" i="42"/>
  <c r="I17" i="13" s="1"/>
  <c r="AB65" i="42"/>
  <c r="I23" i="32" s="1"/>
  <c r="D63" i="42"/>
  <c r="I21" i="8" s="1"/>
  <c r="X18" i="8" s="1"/>
  <c r="AI7" i="43" s="1"/>
  <c r="T59" i="42"/>
  <c r="I17" i="24" s="1"/>
  <c r="X56" i="42"/>
  <c r="I14" i="28" s="1"/>
  <c r="G57" i="42"/>
  <c r="I15" i="11" s="1"/>
  <c r="X11" i="11" s="1"/>
  <c r="Y16" i="43" s="1"/>
  <c r="C61" i="42"/>
  <c r="I19" i="7" s="1"/>
  <c r="X15" i="7" s="1"/>
  <c r="AE14" i="43" s="1"/>
  <c r="Z65" i="42"/>
  <c r="I23" i="30" s="1"/>
  <c r="U56" i="42"/>
  <c r="I14" i="25" s="1"/>
  <c r="G63" i="42"/>
  <c r="I21" i="11" s="1"/>
  <c r="X18" i="11" s="1"/>
  <c r="AI16" i="43" s="1"/>
  <c r="E65" i="42"/>
  <c r="I23" i="9" s="1"/>
  <c r="M62" i="42"/>
  <c r="I20" i="17" s="1"/>
  <c r="X17" i="17" s="1"/>
  <c r="AG36" i="43" s="1"/>
  <c r="U59" i="42"/>
  <c r="I17" i="25" s="1"/>
  <c r="E57" i="42"/>
  <c r="I15" i="9" s="1"/>
  <c r="X11" i="9" s="1"/>
  <c r="Y8" i="43" s="1"/>
  <c r="T64" i="42"/>
  <c r="I22" i="24" s="1"/>
  <c r="X14" i="24" s="1"/>
  <c r="AC26" i="43" s="1"/>
  <c r="L62" i="42"/>
  <c r="I20" i="16" s="1"/>
  <c r="X17" i="16" s="1"/>
  <c r="AG35" i="43" s="1"/>
  <c r="D60" i="42"/>
  <c r="I18" i="8" s="1"/>
  <c r="X57" i="42"/>
  <c r="I15" i="28" s="1"/>
  <c r="X11" i="28" s="1"/>
  <c r="Y11" i="43" s="1"/>
  <c r="AA64" i="42"/>
  <c r="I22" i="31" s="1"/>
  <c r="X14" i="31" s="1"/>
  <c r="AC22" i="43" s="1"/>
  <c r="K60" i="42"/>
  <c r="I18" i="15" s="1"/>
  <c r="V65" i="42"/>
  <c r="I23" i="26" s="1"/>
  <c r="Z60" i="42"/>
  <c r="I18" i="30" s="1"/>
  <c r="B56" i="42"/>
  <c r="I14" i="3" s="1"/>
  <c r="G58" i="42"/>
  <c r="I16" i="11" s="1"/>
  <c r="X12" i="11" s="1"/>
  <c r="AA16" i="43" s="1"/>
  <c r="V58" i="42"/>
  <c r="I16" i="26" s="1"/>
  <c r="X12" i="26" s="1"/>
  <c r="AA30" i="43" s="1"/>
  <c r="S59" i="42"/>
  <c r="I17" i="23" s="1"/>
  <c r="V60" i="42"/>
  <c r="I18" i="26" s="1"/>
  <c r="Y64" i="42"/>
  <c r="I22" i="29" s="1"/>
  <c r="X14" i="29" s="1"/>
  <c r="AC31" i="43" s="1"/>
  <c r="I62" i="42"/>
  <c r="I20" i="13" s="1"/>
  <c r="X17" i="13" s="1"/>
  <c r="AG24" i="43" s="1"/>
  <c r="Q59" i="42"/>
  <c r="I17" i="21" s="1"/>
  <c r="Y56" i="42"/>
  <c r="I14" i="29" s="1"/>
  <c r="P64" i="42"/>
  <c r="I22" i="20" s="1"/>
  <c r="X14" i="20" s="1"/>
  <c r="AC18" i="43" s="1"/>
  <c r="H62" i="42"/>
  <c r="I20" i="12" s="1"/>
  <c r="X17" i="12" s="1"/>
  <c r="AG33" i="43" s="1"/>
  <c r="AB59" i="42"/>
  <c r="I17" i="32" s="1"/>
  <c r="T57" i="42"/>
  <c r="I15" i="24" s="1"/>
  <c r="X11" i="24" s="1"/>
  <c r="Y26" i="43" s="1"/>
  <c r="S64" i="42"/>
  <c r="I22" i="23" s="1"/>
  <c r="X14" i="23" s="1"/>
  <c r="AC20" i="43" s="1"/>
  <c r="C60" i="42"/>
  <c r="I18" i="7" s="1"/>
  <c r="N65" i="42"/>
  <c r="I23" i="18" s="1"/>
  <c r="R60" i="42"/>
  <c r="I18" i="22" s="1"/>
  <c r="V61" i="42"/>
  <c r="I19" i="26" s="1"/>
  <c r="X15" i="26" s="1"/>
  <c r="AE30" i="43" s="1"/>
  <c r="S57" i="42"/>
  <c r="I15" i="23" s="1"/>
  <c r="X11" i="23" s="1"/>
  <c r="Y20" i="43" s="1"/>
  <c r="F58" i="42"/>
  <c r="I16" i="10" s="1"/>
  <c r="X12" i="10" s="1"/>
  <c r="AA15" i="43" s="1"/>
  <c r="C59" i="42"/>
  <c r="I17" i="7" s="1"/>
  <c r="F60" i="42"/>
  <c r="I18" i="10" s="1"/>
  <c r="I65" i="42"/>
  <c r="I23" i="13" s="1"/>
  <c r="Q62" i="42"/>
  <c r="I20" i="21" s="1"/>
  <c r="X17" i="21" s="1"/>
  <c r="AG29" i="43" s="1"/>
  <c r="Y59" i="42"/>
  <c r="I17" i="29" s="1"/>
  <c r="I57" i="42"/>
  <c r="I15" i="13" s="1"/>
  <c r="X11" i="13" s="1"/>
  <c r="Y24" i="43" s="1"/>
  <c r="X64" i="42"/>
  <c r="I22" i="28" s="1"/>
  <c r="X14" i="28" s="1"/>
  <c r="AC11" i="43" s="1"/>
  <c r="P62" i="42"/>
  <c r="I20" i="20" s="1"/>
  <c r="X17" i="20" s="1"/>
  <c r="AG18" i="43" s="1"/>
  <c r="H60" i="42"/>
  <c r="I18" i="12" s="1"/>
  <c r="AB57" i="42"/>
  <c r="I15" i="32" s="1"/>
  <c r="X11" i="32" s="1"/>
  <c r="Y12" i="43" s="1"/>
  <c r="AA62" i="42"/>
  <c r="I20" i="31" s="1"/>
  <c r="X17" i="31" s="1"/>
  <c r="AG22" i="43" s="1"/>
  <c r="V63" i="42"/>
  <c r="I21" i="26" s="1"/>
  <c r="X18" i="26" s="1"/>
  <c r="AI30" i="43" s="1"/>
  <c r="K63" i="42"/>
  <c r="I21" i="15" s="1"/>
  <c r="X18" i="15" s="1"/>
  <c r="AI17" i="43" s="1"/>
  <c r="W64" i="42"/>
  <c r="I22" i="27" s="1"/>
  <c r="X14" i="27" s="1"/>
  <c r="AC10" i="43" s="1"/>
  <c r="V56" i="42"/>
  <c r="I14" i="26" s="1"/>
  <c r="E64" i="42"/>
  <c r="I22" i="9" s="1"/>
  <c r="X14" i="9" s="1"/>
  <c r="AC8" i="43" s="1"/>
  <c r="J60" i="42"/>
  <c r="I18" i="14" s="1"/>
  <c r="AB64" i="42"/>
  <c r="I22" i="32" s="1"/>
  <c r="X14" i="32" s="1"/>
  <c r="AC12" i="43" s="1"/>
  <c r="D62" i="42"/>
  <c r="I20" i="8" s="1"/>
  <c r="X17" i="8" s="1"/>
  <c r="AG7" i="43" s="1"/>
  <c r="G65" i="42"/>
  <c r="I23" i="11" s="1"/>
  <c r="S60" i="42"/>
  <c r="I18" i="23" s="1"/>
  <c r="C56" i="42"/>
  <c r="I14" i="7" s="1"/>
  <c r="F61" i="42"/>
  <c r="I19" i="10" s="1"/>
  <c r="X15" i="10" s="1"/>
  <c r="AE15" i="43" s="1"/>
  <c r="J56" i="42"/>
  <c r="I14" i="14" s="1"/>
  <c r="W58" i="42"/>
  <c r="I16" i="27" s="1"/>
  <c r="X12" i="27" s="1"/>
  <c r="AA10" i="43" s="1"/>
  <c r="J59" i="42"/>
  <c r="I17" i="14" s="1"/>
  <c r="G60" i="42"/>
  <c r="I18" i="11" s="1"/>
  <c r="J61" i="42"/>
  <c r="I19" i="14" s="1"/>
  <c r="X15" i="14" s="1"/>
  <c r="AE34" i="43" s="1"/>
  <c r="X63" i="42"/>
  <c r="I21" i="28" s="1"/>
  <c r="X18" i="28" s="1"/>
  <c r="AI11" i="43" s="1"/>
  <c r="AA63" i="42"/>
  <c r="I21" i="31" s="1"/>
  <c r="X18" i="31" s="1"/>
  <c r="AI22" i="43" s="1"/>
  <c r="U60" i="42"/>
  <c r="I18" i="25" s="1"/>
  <c r="AA60" i="42"/>
  <c r="I18" i="31" s="1"/>
  <c r="C64" i="42"/>
  <c r="I22" i="7" s="1"/>
  <c r="X14" i="7" s="1"/>
  <c r="AC14" i="43" s="1"/>
  <c r="O59" i="42"/>
  <c r="I17" i="19" s="1"/>
  <c r="Z64" i="42"/>
  <c r="I22" i="30" s="1"/>
  <c r="X14" i="30" s="1"/>
  <c r="AC27" i="43" s="1"/>
  <c r="B60" i="42"/>
  <c r="I18" i="3" s="1"/>
  <c r="S65" i="42"/>
  <c r="I23" i="23" s="1"/>
  <c r="O56" i="42"/>
  <c r="I14" i="19" s="1"/>
  <c r="B57" i="42"/>
  <c r="I15" i="3" s="1"/>
  <c r="X11" i="3" s="1"/>
  <c r="Y6" i="43" s="1"/>
  <c r="AA57" i="42"/>
  <c r="I15" i="31" s="1"/>
  <c r="X11" i="31" s="1"/>
  <c r="Y22" i="43" s="1"/>
  <c r="B59" i="42"/>
  <c r="I17" i="3" s="1"/>
  <c r="P61" i="42"/>
  <c r="I19" i="20" s="1"/>
  <c r="X15" i="20" s="1"/>
  <c r="AE18" i="43" s="1"/>
  <c r="N64" i="42"/>
  <c r="I22" i="18" s="1"/>
  <c r="X14" i="18" s="1"/>
  <c r="AC25" i="43" s="1"/>
  <c r="S61" i="42"/>
  <c r="I19" i="23" s="1"/>
  <c r="X15" i="23" s="1"/>
  <c r="AE20" i="43" s="1"/>
  <c r="H63" i="42"/>
  <c r="I21" i="12" s="1"/>
  <c r="X18" i="12" s="1"/>
  <c r="AI33" i="43" s="1"/>
  <c r="K64" i="42"/>
  <c r="I22" i="15" s="1"/>
  <c r="X14" i="15" s="1"/>
  <c r="AC17" i="43" s="1"/>
  <c r="Z56" i="42"/>
  <c r="I14" i="30" s="1"/>
  <c r="O57" i="42"/>
  <c r="I15" i="19" s="1"/>
  <c r="X11" i="19" s="1"/>
  <c r="Y9" i="43" s="1"/>
  <c r="U62" i="42"/>
  <c r="I20" i="25" s="1"/>
  <c r="X17" i="25" s="1"/>
  <c r="AG21" i="43" s="1"/>
  <c r="U58" i="42"/>
  <c r="I16" i="25" s="1"/>
  <c r="X12" i="25" s="1"/>
  <c r="AA21" i="43" s="1"/>
  <c r="H59" i="42"/>
  <c r="I17" i="12" s="1"/>
  <c r="B64" i="42"/>
  <c r="I22" i="3" s="1"/>
  <c r="X14" i="3" s="1"/>
  <c r="AC6" i="43" s="1"/>
  <c r="K65" i="42"/>
  <c r="I23" i="15" s="1"/>
  <c r="R56" i="42"/>
  <c r="I14" i="22" s="1"/>
  <c r="AB60" i="42"/>
  <c r="I18" i="32" s="1"/>
  <c r="F62" i="42"/>
  <c r="I20" i="10" s="1"/>
  <c r="X17" i="10" s="1"/>
  <c r="AG15" i="43" s="1"/>
  <c r="F65" i="42"/>
  <c r="I23" i="10" s="1"/>
  <c r="T62" i="42"/>
  <c r="I20" i="24" s="1"/>
  <c r="X17" i="24" s="1"/>
  <c r="AG26" i="43" s="1"/>
  <c r="W60" i="42"/>
  <c r="I18" i="27" s="1"/>
  <c r="E56" i="42"/>
  <c r="I14" i="9" s="1"/>
  <c r="AB56" i="42"/>
  <c r="I14" i="32" s="1"/>
  <c r="F59" i="42"/>
  <c r="I17" i="10" s="1"/>
  <c r="M59" i="42"/>
  <c r="I17" i="17" s="1"/>
  <c r="M63" i="42"/>
  <c r="I21" i="17" s="1"/>
  <c r="X18" i="17" s="1"/>
  <c r="AI36" i="43" s="1"/>
  <c r="C62" i="42"/>
  <c r="I20" i="7" s="1"/>
  <c r="X17" i="7" s="1"/>
  <c r="AG14" i="43" s="1"/>
  <c r="E62" i="42"/>
  <c r="I20" i="9" s="1"/>
  <c r="X17" i="9" s="1"/>
  <c r="AG8" i="43" s="1"/>
  <c r="M65" i="42"/>
  <c r="I23" i="17" s="1"/>
  <c r="O65" i="42"/>
  <c r="I23" i="19" s="1"/>
  <c r="G56" i="42"/>
  <c r="I14" i="11" s="1"/>
  <c r="P57" i="42"/>
  <c r="I15" i="20" s="1"/>
  <c r="X11" i="20" s="1"/>
  <c r="Y18" i="43" s="1"/>
  <c r="R57" i="42"/>
  <c r="I15" i="22" s="1"/>
  <c r="X11" i="22" s="1"/>
  <c r="Y19" i="43" s="1"/>
  <c r="E58" i="42"/>
  <c r="I16" i="9" s="1"/>
  <c r="X12" i="9" s="1"/>
  <c r="AA8" i="43" s="1"/>
  <c r="T58" i="42"/>
  <c r="I16" i="24" s="1"/>
  <c r="X12" i="24" s="1"/>
  <c r="AA26" i="43" s="1"/>
  <c r="Z62" i="42"/>
  <c r="I20" i="30" s="1"/>
  <c r="X17" i="30" s="1"/>
  <c r="AG27" i="43" s="1"/>
  <c r="C63" i="42"/>
  <c r="I21" i="7" s="1"/>
  <c r="X18" i="7" s="1"/>
  <c r="AI14" i="43" s="1"/>
  <c r="L64" i="42"/>
  <c r="I22" i="16" s="1"/>
  <c r="X14" i="16" s="1"/>
  <c r="AC35" i="43" s="1"/>
  <c r="C57" i="42"/>
  <c r="I15" i="7" s="1"/>
  <c r="X11" i="7" s="1"/>
  <c r="Y14" i="43" s="1"/>
  <c r="E60" i="42"/>
  <c r="I18" i="9" s="1"/>
  <c r="L60" i="42"/>
  <c r="I18" i="16" s="1"/>
  <c r="K56" i="42"/>
  <c r="I14" i="15" s="1"/>
  <c r="Z61" i="42"/>
  <c r="I19" i="30" s="1"/>
  <c r="X15" i="30" s="1"/>
  <c r="AE27" i="43" s="1"/>
  <c r="J57" i="42"/>
  <c r="I15" i="14" s="1"/>
  <c r="X11" i="14" s="1"/>
  <c r="Y34" i="43" s="1"/>
  <c r="W59" i="42"/>
  <c r="I17" i="27" s="1"/>
  <c r="O58" i="42"/>
  <c r="I16" i="19" s="1"/>
  <c r="X12" i="19" s="1"/>
  <c r="AA9" i="43" s="1"/>
  <c r="P65" i="42"/>
  <c r="I23" i="20" s="1"/>
  <c r="L56" i="42"/>
  <c r="I14" i="16" s="1"/>
  <c r="B58" i="42"/>
  <c r="I16" i="3" s="1"/>
  <c r="X12" i="3" s="1"/>
  <c r="AA6" i="43" s="1"/>
  <c r="F64" i="42"/>
  <c r="I22" i="10" s="1"/>
  <c r="X14" i="10" s="1"/>
  <c r="AC15" i="43" s="1"/>
  <c r="X59" i="42"/>
  <c r="I17" i="28" s="1"/>
  <c r="R59" i="42"/>
  <c r="I17" i="22" s="1"/>
  <c r="M57" i="42"/>
  <c r="I15" i="17" s="1"/>
  <c r="X11" i="17" s="1"/>
  <c r="Y36" i="43" s="1"/>
  <c r="D58" i="42"/>
  <c r="I16" i="8" s="1"/>
  <c r="X12" i="8" s="1"/>
  <c r="AA7" i="43" s="1"/>
  <c r="N61" i="42"/>
  <c r="I19" i="18" s="1"/>
  <c r="X15" i="18" s="1"/>
  <c r="AE25" i="43" s="1"/>
  <c r="K59" i="42"/>
  <c r="I17" i="15" s="1"/>
  <c r="U64" i="42"/>
  <c r="I22" i="25" s="1"/>
  <c r="X14" i="25" s="1"/>
  <c r="AC21" i="43" s="1"/>
  <c r="Z59" i="42"/>
  <c r="I17" i="30" s="1"/>
  <c r="I32" i="39"/>
  <c r="J28" i="41"/>
  <c r="I13" i="41"/>
  <c r="J23" i="41"/>
  <c r="J32" i="41"/>
  <c r="J13" i="41"/>
  <c r="U37" i="3"/>
  <c r="J6" i="41" s="1"/>
  <c r="J5" i="41" s="1"/>
  <c r="X15" i="19"/>
  <c r="AE9" i="43" s="1"/>
  <c r="L51" i="34"/>
  <c r="Z65" i="34" s="1"/>
  <c r="I72" i="30" s="1"/>
  <c r="L51" i="4"/>
  <c r="B60" i="4" s="1"/>
  <c r="J13" i="44"/>
  <c r="J4" i="44" s="1"/>
  <c r="J23" i="40"/>
  <c r="I23" i="44"/>
  <c r="I32" i="44"/>
  <c r="J32" i="40"/>
  <c r="I5" i="44"/>
  <c r="J5" i="40"/>
  <c r="J28" i="40"/>
  <c r="J13" i="40"/>
  <c r="I23" i="40"/>
  <c r="I5" i="39"/>
  <c r="L7" i="3" l="1"/>
  <c r="L10" i="3" s="1"/>
  <c r="J16" i="30"/>
  <c r="AB57" i="37"/>
  <c r="I114" i="32" s="1"/>
  <c r="X110" i="32" s="1"/>
  <c r="Y12" i="44" s="1"/>
  <c r="B56" i="37"/>
  <c r="J19" i="32"/>
  <c r="O63" i="4"/>
  <c r="I45" i="19" s="1"/>
  <c r="V64" i="4"/>
  <c r="I46" i="26" s="1"/>
  <c r="J46" i="26" s="1"/>
  <c r="Z60" i="37"/>
  <c r="I117" i="30" s="1"/>
  <c r="D61" i="37"/>
  <c r="I118" i="8" s="1"/>
  <c r="X114" i="8" s="1"/>
  <c r="AE7" i="44" s="1"/>
  <c r="H60" i="37"/>
  <c r="I117" i="12" s="1"/>
  <c r="R59" i="37"/>
  <c r="I116" i="22" s="1"/>
  <c r="B62" i="37"/>
  <c r="I62" i="37"/>
  <c r="I119" i="13" s="1"/>
  <c r="X116" i="13" s="1"/>
  <c r="AG24" i="44" s="1"/>
  <c r="S65" i="37"/>
  <c r="I122" i="23" s="1"/>
  <c r="H65" i="37"/>
  <c r="I122" i="12" s="1"/>
  <c r="J64" i="37"/>
  <c r="I121" i="14" s="1"/>
  <c r="X113" i="14" s="1"/>
  <c r="AC34" i="44" s="1"/>
  <c r="W62" i="37"/>
  <c r="I119" i="27" s="1"/>
  <c r="X116" i="27" s="1"/>
  <c r="AG10" i="44" s="1"/>
  <c r="E62" i="37"/>
  <c r="I119" i="9" s="1"/>
  <c r="X116" i="9" s="1"/>
  <c r="AG8" i="44" s="1"/>
  <c r="G64" i="37"/>
  <c r="I121" i="11" s="1"/>
  <c r="X113" i="11" s="1"/>
  <c r="AC16" i="44" s="1"/>
  <c r="H62" i="37"/>
  <c r="I119" i="12" s="1"/>
  <c r="X116" i="12" s="1"/>
  <c r="AG33" i="44" s="1"/>
  <c r="T60" i="37"/>
  <c r="I117" i="24" s="1"/>
  <c r="D58" i="37"/>
  <c r="I115" i="8" s="1"/>
  <c r="X111" i="8" s="1"/>
  <c r="AA7" i="44" s="1"/>
  <c r="E61" i="37"/>
  <c r="I118" i="9" s="1"/>
  <c r="X114" i="9" s="1"/>
  <c r="AE8" i="44" s="1"/>
  <c r="K58" i="37"/>
  <c r="I115" i="15" s="1"/>
  <c r="X111" i="15" s="1"/>
  <c r="AA17" i="44" s="1"/>
  <c r="L59" i="37"/>
  <c r="I116" i="16" s="1"/>
  <c r="G57" i="37"/>
  <c r="I114" i="11" s="1"/>
  <c r="X110" i="11" s="1"/>
  <c r="Y16" i="44" s="1"/>
  <c r="K57" i="37"/>
  <c r="I114" i="15" s="1"/>
  <c r="X110" i="15" s="1"/>
  <c r="Y17" i="44" s="1"/>
  <c r="F57" i="37"/>
  <c r="I114" i="10" s="1"/>
  <c r="X110" i="10" s="1"/>
  <c r="Y15" i="44" s="1"/>
  <c r="E64" i="37"/>
  <c r="I121" i="9" s="1"/>
  <c r="X113" i="9" s="1"/>
  <c r="AC8" i="44" s="1"/>
  <c r="J59" i="37"/>
  <c r="I116" i="14" s="1"/>
  <c r="O58" i="37"/>
  <c r="I115" i="19" s="1"/>
  <c r="X111" i="19" s="1"/>
  <c r="AA9" i="44" s="1"/>
  <c r="F62" i="37"/>
  <c r="I119" i="10" s="1"/>
  <c r="X116" i="10" s="1"/>
  <c r="AG15" i="44" s="1"/>
  <c r="I65" i="37"/>
  <c r="I122" i="13" s="1"/>
  <c r="Q57" i="37"/>
  <c r="I114" i="21" s="1"/>
  <c r="X110" i="21" s="1"/>
  <c r="Y29" i="44" s="1"/>
  <c r="M65" i="37"/>
  <c r="I122" i="17" s="1"/>
  <c r="V61" i="37"/>
  <c r="I118" i="26" s="1"/>
  <c r="X114" i="26" s="1"/>
  <c r="AE30" i="44" s="1"/>
  <c r="AA58" i="37"/>
  <c r="I115" i="31" s="1"/>
  <c r="X111" i="31" s="1"/>
  <c r="AA22" i="44" s="1"/>
  <c r="AA64" i="37"/>
  <c r="I121" i="31" s="1"/>
  <c r="X113" i="31" s="1"/>
  <c r="AC22" i="44" s="1"/>
  <c r="B61" i="37"/>
  <c r="C62" i="37"/>
  <c r="I119" i="7" s="1"/>
  <c r="X116" i="7" s="1"/>
  <c r="AG14" i="44" s="1"/>
  <c r="C61" i="37"/>
  <c r="I118" i="7" s="1"/>
  <c r="X114" i="7" s="1"/>
  <c r="AE14" i="44" s="1"/>
  <c r="C64" i="37"/>
  <c r="I121" i="7" s="1"/>
  <c r="X113" i="7" s="1"/>
  <c r="AC14" i="44" s="1"/>
  <c r="S56" i="37"/>
  <c r="L65" i="37"/>
  <c r="I122" i="16" s="1"/>
  <c r="K63" i="37"/>
  <c r="I120" i="15" s="1"/>
  <c r="X117" i="15" s="1"/>
  <c r="AI17" i="44" s="1"/>
  <c r="P61" i="37"/>
  <c r="I118" i="20" s="1"/>
  <c r="X114" i="20" s="1"/>
  <c r="AE18" i="44" s="1"/>
  <c r="L61" i="37"/>
  <c r="I118" i="16" s="1"/>
  <c r="X114" i="16" s="1"/>
  <c r="AE35" i="44" s="1"/>
  <c r="V60" i="37"/>
  <c r="I117" i="26" s="1"/>
  <c r="M62" i="37"/>
  <c r="I119" i="17" s="1"/>
  <c r="X116" i="17" s="1"/>
  <c r="AG36" i="44" s="1"/>
  <c r="Q60" i="37"/>
  <c r="I117" i="21" s="1"/>
  <c r="P62" i="37"/>
  <c r="I119" i="20" s="1"/>
  <c r="X116" i="20" s="1"/>
  <c r="AG18" i="44" s="1"/>
  <c r="AB56" i="37"/>
  <c r="U56" i="37"/>
  <c r="H61" i="37"/>
  <c r="I118" i="12" s="1"/>
  <c r="X114" i="12" s="1"/>
  <c r="AE33" i="44" s="1"/>
  <c r="D56" i="37"/>
  <c r="G65" i="37"/>
  <c r="I122" i="11" s="1"/>
  <c r="X56" i="37"/>
  <c r="X65" i="37"/>
  <c r="I122" i="28" s="1"/>
  <c r="M59" i="37"/>
  <c r="I116" i="17" s="1"/>
  <c r="D59" i="37"/>
  <c r="I116" i="8" s="1"/>
  <c r="G62" i="37"/>
  <c r="I119" i="11" s="1"/>
  <c r="X116" i="11" s="1"/>
  <c r="AG16" i="44" s="1"/>
  <c r="S58" i="37"/>
  <c r="I115" i="23" s="1"/>
  <c r="X111" i="23" s="1"/>
  <c r="AA20" i="44" s="1"/>
  <c r="P64" i="37"/>
  <c r="I121" i="20" s="1"/>
  <c r="X113" i="20" s="1"/>
  <c r="AC18" i="44" s="1"/>
  <c r="M58" i="37"/>
  <c r="I115" i="17" s="1"/>
  <c r="X111" i="17" s="1"/>
  <c r="AA36" i="44" s="1"/>
  <c r="R56" i="37"/>
  <c r="V64" i="37"/>
  <c r="I121" i="26" s="1"/>
  <c r="X113" i="26" s="1"/>
  <c r="AC30" i="44" s="1"/>
  <c r="W57" i="37"/>
  <c r="I114" i="27" s="1"/>
  <c r="X110" i="27" s="1"/>
  <c r="Y10" i="44" s="1"/>
  <c r="F65" i="37"/>
  <c r="I122" i="10" s="1"/>
  <c r="X57" i="37"/>
  <c r="I114" i="28" s="1"/>
  <c r="X110" i="28" s="1"/>
  <c r="Y11" i="44" s="1"/>
  <c r="V63" i="37"/>
  <c r="I120" i="26" s="1"/>
  <c r="X117" i="26" s="1"/>
  <c r="AI30" i="44" s="1"/>
  <c r="Z61" i="37"/>
  <c r="I118" i="30" s="1"/>
  <c r="X114" i="30" s="1"/>
  <c r="AE27" i="44" s="1"/>
  <c r="U62" i="37"/>
  <c r="I119" i="25" s="1"/>
  <c r="X116" i="25" s="1"/>
  <c r="AG21" i="44" s="1"/>
  <c r="C63" i="37"/>
  <c r="I120" i="7" s="1"/>
  <c r="X117" i="7" s="1"/>
  <c r="AI14" i="44" s="1"/>
  <c r="B60" i="37"/>
  <c r="B59" i="37"/>
  <c r="D62" i="37"/>
  <c r="I119" i="8" s="1"/>
  <c r="X116" i="8" s="1"/>
  <c r="AG7" i="44" s="1"/>
  <c r="I59" i="37"/>
  <c r="I116" i="13" s="1"/>
  <c r="H64" i="37"/>
  <c r="I121" i="12" s="1"/>
  <c r="X113" i="12" s="1"/>
  <c r="AC33" i="44" s="1"/>
  <c r="R60" i="37"/>
  <c r="I92" i="22" s="1"/>
  <c r="D63" i="37"/>
  <c r="I120" i="8" s="1"/>
  <c r="X117" i="8" s="1"/>
  <c r="AI7" i="44" s="1"/>
  <c r="L64" i="37"/>
  <c r="I121" i="16" s="1"/>
  <c r="X113" i="16" s="1"/>
  <c r="AC35" i="44" s="1"/>
  <c r="I61" i="37"/>
  <c r="I118" i="13" s="1"/>
  <c r="X114" i="13" s="1"/>
  <c r="AE24" i="44" s="1"/>
  <c r="H56" i="37"/>
  <c r="N57" i="37"/>
  <c r="I114" i="18" s="1"/>
  <c r="X110" i="18" s="1"/>
  <c r="Y25" i="44" s="1"/>
  <c r="X62" i="37"/>
  <c r="I119" i="28" s="1"/>
  <c r="X116" i="28" s="1"/>
  <c r="AG11" i="44" s="1"/>
  <c r="AB59" i="37"/>
  <c r="I116" i="32" s="1"/>
  <c r="Z57" i="37"/>
  <c r="I114" i="30" s="1"/>
  <c r="X110" i="30" s="1"/>
  <c r="Y27" i="44" s="1"/>
  <c r="N59" i="37"/>
  <c r="I116" i="18" s="1"/>
  <c r="O57" i="37"/>
  <c r="I114" i="19" s="1"/>
  <c r="X110" i="19" s="1"/>
  <c r="Y9" i="44" s="1"/>
  <c r="W61" i="37"/>
  <c r="I118" i="27" s="1"/>
  <c r="X114" i="27" s="1"/>
  <c r="AE10" i="44" s="1"/>
  <c r="P65" i="37"/>
  <c r="I122" i="20" s="1"/>
  <c r="Z63" i="37"/>
  <c r="I120" i="30" s="1"/>
  <c r="X117" i="30" s="1"/>
  <c r="AI27" i="44" s="1"/>
  <c r="B65" i="37"/>
  <c r="K65" i="37"/>
  <c r="I122" i="15" s="1"/>
  <c r="E58" i="37"/>
  <c r="I115" i="9" s="1"/>
  <c r="X111" i="9" s="1"/>
  <c r="AA8" i="44" s="1"/>
  <c r="B63" i="37"/>
  <c r="D57" i="37"/>
  <c r="I114" i="8" s="1"/>
  <c r="X110" i="8" s="1"/>
  <c r="Y7" i="44" s="1"/>
  <c r="B58" i="37"/>
  <c r="I64" i="37"/>
  <c r="I121" i="13" s="1"/>
  <c r="X113" i="13" s="1"/>
  <c r="AC24" i="44" s="1"/>
  <c r="I63" i="37"/>
  <c r="I120" i="13" s="1"/>
  <c r="X117" i="13" s="1"/>
  <c r="AI24" i="44" s="1"/>
  <c r="D60" i="37"/>
  <c r="I117" i="8" s="1"/>
  <c r="J57" i="37"/>
  <c r="I114" i="14" s="1"/>
  <c r="X110" i="14" s="1"/>
  <c r="Y34" i="44" s="1"/>
  <c r="G63" i="37"/>
  <c r="I120" i="11" s="1"/>
  <c r="X117" i="11" s="1"/>
  <c r="AI16" i="44" s="1"/>
  <c r="K59" i="37"/>
  <c r="I116" i="15" s="1"/>
  <c r="H59" i="37"/>
  <c r="I116" i="12" s="1"/>
  <c r="G56" i="37"/>
  <c r="I57" i="37"/>
  <c r="I114" i="13" s="1"/>
  <c r="X110" i="13" s="1"/>
  <c r="Y24" i="44" s="1"/>
  <c r="E63" i="37"/>
  <c r="I120" i="9" s="1"/>
  <c r="X117" i="9" s="1"/>
  <c r="AI8" i="44" s="1"/>
  <c r="Q58" i="37"/>
  <c r="I115" i="21" s="1"/>
  <c r="X111" i="21" s="1"/>
  <c r="AA29" i="44" s="1"/>
  <c r="Q65" i="37"/>
  <c r="I122" i="21" s="1"/>
  <c r="M56" i="37"/>
  <c r="S61" i="37"/>
  <c r="I118" i="23" s="1"/>
  <c r="X114" i="23" s="1"/>
  <c r="AE20" i="44" s="1"/>
  <c r="P63" i="37"/>
  <c r="I120" i="20" s="1"/>
  <c r="X117" i="20" s="1"/>
  <c r="AI18" i="44" s="1"/>
  <c r="Y58" i="37"/>
  <c r="I115" i="29" s="1"/>
  <c r="X111" i="29" s="1"/>
  <c r="AA31" i="44" s="1"/>
  <c r="O62" i="37"/>
  <c r="I119" i="19" s="1"/>
  <c r="X116" i="19" s="1"/>
  <c r="AG9" i="44" s="1"/>
  <c r="L62" i="37"/>
  <c r="I119" i="16" s="1"/>
  <c r="X116" i="16" s="1"/>
  <c r="AG35" i="44" s="1"/>
  <c r="R61" i="37"/>
  <c r="I118" i="22" s="1"/>
  <c r="X114" i="22" s="1"/>
  <c r="AE19" i="44" s="1"/>
  <c r="O61" i="37"/>
  <c r="I118" i="19" s="1"/>
  <c r="X114" i="19" s="1"/>
  <c r="AE9" i="44" s="1"/>
  <c r="U65" i="37"/>
  <c r="I122" i="25" s="1"/>
  <c r="U64" i="37"/>
  <c r="I121" i="25" s="1"/>
  <c r="X113" i="25" s="1"/>
  <c r="AC21" i="44" s="1"/>
  <c r="Y57" i="37"/>
  <c r="I114" i="29" s="1"/>
  <c r="X110" i="29" s="1"/>
  <c r="Y31" i="44" s="1"/>
  <c r="W60" i="37"/>
  <c r="I117" i="27" s="1"/>
  <c r="P56" i="37"/>
  <c r="C56" i="37"/>
  <c r="C60" i="37"/>
  <c r="I117" i="7" s="1"/>
  <c r="N60" i="37"/>
  <c r="I117" i="18" s="1"/>
  <c r="R62" i="37"/>
  <c r="I119" i="22" s="1"/>
  <c r="X116" i="22" s="1"/>
  <c r="AG19" i="44" s="1"/>
  <c r="M57" i="37"/>
  <c r="I114" i="17" s="1"/>
  <c r="X110" i="17" s="1"/>
  <c r="Y36" i="44" s="1"/>
  <c r="L56" i="37"/>
  <c r="Q59" i="37"/>
  <c r="I116" i="21" s="1"/>
  <c r="O65" i="37"/>
  <c r="I122" i="19" s="1"/>
  <c r="T58" i="37"/>
  <c r="I115" i="24" s="1"/>
  <c r="X111" i="24" s="1"/>
  <c r="AA26" i="44" s="1"/>
  <c r="AB58" i="37"/>
  <c r="I115" i="32" s="1"/>
  <c r="X111" i="32" s="1"/>
  <c r="AA12" i="44" s="1"/>
  <c r="V58" i="37"/>
  <c r="I115" i="26" s="1"/>
  <c r="X111" i="26" s="1"/>
  <c r="AA30" i="44" s="1"/>
  <c r="W64" i="37"/>
  <c r="I121" i="27" s="1"/>
  <c r="X113" i="27" s="1"/>
  <c r="AC10" i="44" s="1"/>
  <c r="V57" i="37"/>
  <c r="I114" i="26" s="1"/>
  <c r="X110" i="26" s="1"/>
  <c r="Y30" i="44" s="1"/>
  <c r="Y61" i="37"/>
  <c r="I118" i="29" s="1"/>
  <c r="X114" i="29" s="1"/>
  <c r="AE31" i="44" s="1"/>
  <c r="AA61" i="37"/>
  <c r="I118" i="31" s="1"/>
  <c r="X114" i="31" s="1"/>
  <c r="AE22" i="44" s="1"/>
  <c r="AB65" i="37"/>
  <c r="I122" i="32" s="1"/>
  <c r="J56" i="37"/>
  <c r="B57" i="37"/>
  <c r="N56" i="37"/>
  <c r="H57" i="37"/>
  <c r="I114" i="12" s="1"/>
  <c r="X110" i="12" s="1"/>
  <c r="Y33" i="44" s="1"/>
  <c r="L60" i="37"/>
  <c r="I117" i="16" s="1"/>
  <c r="L57" i="37"/>
  <c r="I114" i="16" s="1"/>
  <c r="X110" i="16" s="1"/>
  <c r="Y35" i="44" s="1"/>
  <c r="J58" i="37"/>
  <c r="I115" i="14" s="1"/>
  <c r="X111" i="14" s="1"/>
  <c r="AA34" i="44" s="1"/>
  <c r="F58" i="37"/>
  <c r="I115" i="10" s="1"/>
  <c r="X111" i="10" s="1"/>
  <c r="AA15" i="44" s="1"/>
  <c r="G61" i="37"/>
  <c r="I118" i="11" s="1"/>
  <c r="X114" i="11" s="1"/>
  <c r="AE16" i="44" s="1"/>
  <c r="G60" i="37"/>
  <c r="I117" i="11" s="1"/>
  <c r="K60" i="37"/>
  <c r="I117" i="15" s="1"/>
  <c r="E65" i="37"/>
  <c r="I122" i="9" s="1"/>
  <c r="J65" i="37"/>
  <c r="I122" i="14" s="1"/>
  <c r="Q56" i="37"/>
  <c r="I56" i="37"/>
  <c r="O64" i="37"/>
  <c r="I121" i="19" s="1"/>
  <c r="X113" i="19" s="1"/>
  <c r="AC9" i="44" s="1"/>
  <c r="H63" i="37"/>
  <c r="I120" i="12" s="1"/>
  <c r="X117" i="12" s="1"/>
  <c r="AI33" i="44" s="1"/>
  <c r="N58" i="37"/>
  <c r="I115" i="18" s="1"/>
  <c r="X111" i="18" s="1"/>
  <c r="AA25" i="44" s="1"/>
  <c r="G58" i="37"/>
  <c r="I115" i="11" s="1"/>
  <c r="X111" i="11" s="1"/>
  <c r="AA16" i="44" s="1"/>
  <c r="K62" i="37"/>
  <c r="I119" i="15" s="1"/>
  <c r="X116" i="15" s="1"/>
  <c r="AG17" i="44" s="1"/>
  <c r="Y56" i="37"/>
  <c r="H58" i="37"/>
  <c r="I115" i="12" s="1"/>
  <c r="X111" i="12" s="1"/>
  <c r="AA33" i="44" s="1"/>
  <c r="N61" i="37"/>
  <c r="I118" i="18" s="1"/>
  <c r="X114" i="18" s="1"/>
  <c r="AE25" i="44" s="1"/>
  <c r="Q61" i="37"/>
  <c r="I118" i="21" s="1"/>
  <c r="X114" i="21" s="1"/>
  <c r="AE29" i="44" s="1"/>
  <c r="Y65" i="37"/>
  <c r="I122" i="29" s="1"/>
  <c r="O59" i="37"/>
  <c r="I116" i="19" s="1"/>
  <c r="L63" i="37"/>
  <c r="I120" i="16" s="1"/>
  <c r="X117" i="16" s="1"/>
  <c r="AI35" i="44" s="1"/>
  <c r="P57" i="37"/>
  <c r="I114" i="20" s="1"/>
  <c r="X110" i="20" s="1"/>
  <c r="Y18" i="44" s="1"/>
  <c r="X58" i="37"/>
  <c r="I115" i="28" s="1"/>
  <c r="X111" i="28" s="1"/>
  <c r="AA11" i="44" s="1"/>
  <c r="M61" i="37"/>
  <c r="I118" i="17" s="1"/>
  <c r="X114" i="17" s="1"/>
  <c r="AE36" i="44" s="1"/>
  <c r="S64" i="37"/>
  <c r="I121" i="23" s="1"/>
  <c r="X113" i="23" s="1"/>
  <c r="AC20" i="44" s="1"/>
  <c r="N63" i="37"/>
  <c r="I120" i="18" s="1"/>
  <c r="X117" i="18" s="1"/>
  <c r="AI25" i="44" s="1"/>
  <c r="R65" i="37"/>
  <c r="I97" i="22" s="1"/>
  <c r="M64" i="37"/>
  <c r="I121" i="17" s="1"/>
  <c r="X113" i="17" s="1"/>
  <c r="AC36" i="44" s="1"/>
  <c r="S59" i="37"/>
  <c r="I116" i="23" s="1"/>
  <c r="W56" i="37"/>
  <c r="T57" i="37"/>
  <c r="I114" i="24" s="1"/>
  <c r="X110" i="24" s="1"/>
  <c r="Y26" i="44" s="1"/>
  <c r="V62" i="37"/>
  <c r="I119" i="26" s="1"/>
  <c r="X116" i="26" s="1"/>
  <c r="AG30" i="44" s="1"/>
  <c r="T64" i="37"/>
  <c r="I121" i="24" s="1"/>
  <c r="X113" i="24" s="1"/>
  <c r="AC26" i="44" s="1"/>
  <c r="AB62" i="37"/>
  <c r="I119" i="32" s="1"/>
  <c r="X116" i="32" s="1"/>
  <c r="AG12" i="44" s="1"/>
  <c r="AA62" i="37"/>
  <c r="I119" i="31" s="1"/>
  <c r="X116" i="31" s="1"/>
  <c r="AG22" i="44" s="1"/>
  <c r="W59" i="37"/>
  <c r="I116" i="27" s="1"/>
  <c r="AB60" i="37"/>
  <c r="I117" i="32" s="1"/>
  <c r="Y59" i="37"/>
  <c r="I116" i="29" s="1"/>
  <c r="T56" i="37"/>
  <c r="U61" i="37"/>
  <c r="I118" i="25" s="1"/>
  <c r="X114" i="25" s="1"/>
  <c r="AE21" i="44" s="1"/>
  <c r="W58" i="37"/>
  <c r="I115" i="27" s="1"/>
  <c r="X111" i="27" s="1"/>
  <c r="AA10" i="44" s="1"/>
  <c r="T65" i="37"/>
  <c r="I122" i="24" s="1"/>
  <c r="U60" i="37"/>
  <c r="I117" i="25" s="1"/>
  <c r="Z62" i="37"/>
  <c r="I119" i="30" s="1"/>
  <c r="X116" i="30" s="1"/>
  <c r="AG27" i="44" s="1"/>
  <c r="X64" i="37"/>
  <c r="I121" i="28" s="1"/>
  <c r="X113" i="28" s="1"/>
  <c r="AC11" i="44" s="1"/>
  <c r="AB63" i="37"/>
  <c r="I120" i="32" s="1"/>
  <c r="X117" i="32" s="1"/>
  <c r="AI12" i="44" s="1"/>
  <c r="U63" i="37"/>
  <c r="I120" i="25" s="1"/>
  <c r="X117" i="25" s="1"/>
  <c r="AI21" i="44" s="1"/>
  <c r="Y62" i="37"/>
  <c r="I119" i="29" s="1"/>
  <c r="X116" i="29" s="1"/>
  <c r="AG31" i="44" s="1"/>
  <c r="S57" i="37"/>
  <c r="I114" i="23" s="1"/>
  <c r="X110" i="23" s="1"/>
  <c r="Y20" i="44" s="1"/>
  <c r="X63" i="37"/>
  <c r="I120" i="28" s="1"/>
  <c r="X117" i="28" s="1"/>
  <c r="AI11" i="44" s="1"/>
  <c r="T63" i="37"/>
  <c r="I120" i="24" s="1"/>
  <c r="X117" i="24" s="1"/>
  <c r="AI26" i="44" s="1"/>
  <c r="U58" i="37"/>
  <c r="I115" i="25" s="1"/>
  <c r="X111" i="25" s="1"/>
  <c r="AA21" i="44" s="1"/>
  <c r="Z56" i="37"/>
  <c r="Z59" i="37"/>
  <c r="I116" i="30" s="1"/>
  <c r="Y60" i="37"/>
  <c r="I117" i="29" s="1"/>
  <c r="P60" i="37"/>
  <c r="I117" i="20" s="1"/>
  <c r="C59" i="37"/>
  <c r="I116" i="7" s="1"/>
  <c r="F56" i="37"/>
  <c r="M63" i="37"/>
  <c r="I120" i="17" s="1"/>
  <c r="X117" i="17" s="1"/>
  <c r="AI36" i="44" s="1"/>
  <c r="I60" i="37"/>
  <c r="I117" i="13" s="1"/>
  <c r="C57" i="37"/>
  <c r="I114" i="7" s="1"/>
  <c r="X110" i="7" s="1"/>
  <c r="Y14" i="44" s="1"/>
  <c r="B64" i="37"/>
  <c r="K61" i="37"/>
  <c r="I118" i="15" s="1"/>
  <c r="X114" i="15" s="1"/>
  <c r="AE17" i="44" s="1"/>
  <c r="J62" i="37"/>
  <c r="I119" i="14" s="1"/>
  <c r="X116" i="14" s="1"/>
  <c r="AG34" i="44" s="1"/>
  <c r="F64" i="37"/>
  <c r="I121" i="10" s="1"/>
  <c r="X113" i="10" s="1"/>
  <c r="AC15" i="44" s="1"/>
  <c r="D65" i="37"/>
  <c r="I122" i="8" s="1"/>
  <c r="V59" i="37"/>
  <c r="I116" i="26" s="1"/>
  <c r="E56" i="37"/>
  <c r="C58" i="37"/>
  <c r="I115" i="7" s="1"/>
  <c r="X111" i="7" s="1"/>
  <c r="AA14" i="44" s="1"/>
  <c r="R64" i="37"/>
  <c r="I121" i="22" s="1"/>
  <c r="X113" i="22" s="1"/>
  <c r="AC19" i="44" s="1"/>
  <c r="F63" i="37"/>
  <c r="I120" i="10" s="1"/>
  <c r="X117" i="10" s="1"/>
  <c r="AI15" i="44" s="1"/>
  <c r="K64" i="37"/>
  <c r="I121" i="15" s="1"/>
  <c r="X113" i="15" s="1"/>
  <c r="AC17" i="44" s="1"/>
  <c r="D64" i="37"/>
  <c r="I121" i="8" s="1"/>
  <c r="X113" i="8" s="1"/>
  <c r="AC7" i="44" s="1"/>
  <c r="E57" i="37"/>
  <c r="I114" i="9" s="1"/>
  <c r="X110" i="9" s="1"/>
  <c r="Y8" i="44" s="1"/>
  <c r="J61" i="37"/>
  <c r="I118" i="14" s="1"/>
  <c r="X114" i="14" s="1"/>
  <c r="AE34" i="44" s="1"/>
  <c r="N62" i="37"/>
  <c r="I119" i="18" s="1"/>
  <c r="X116" i="18" s="1"/>
  <c r="AG25" i="44" s="1"/>
  <c r="G59" i="37"/>
  <c r="I116" i="11" s="1"/>
  <c r="I58" i="37"/>
  <c r="I115" i="13" s="1"/>
  <c r="X111" i="13" s="1"/>
  <c r="AA24" i="44" s="1"/>
  <c r="S62" i="37"/>
  <c r="I119" i="23" s="1"/>
  <c r="X116" i="23" s="1"/>
  <c r="AG20" i="44" s="1"/>
  <c r="E60" i="37"/>
  <c r="I117" i="9" s="1"/>
  <c r="J60" i="37"/>
  <c r="I117" i="14" s="1"/>
  <c r="Q62" i="37"/>
  <c r="I119" i="21" s="1"/>
  <c r="X116" i="21" s="1"/>
  <c r="AG29" i="44" s="1"/>
  <c r="F61" i="37"/>
  <c r="I118" i="10" s="1"/>
  <c r="X114" i="10" s="1"/>
  <c r="AE15" i="44" s="1"/>
  <c r="K56" i="37"/>
  <c r="O60" i="37"/>
  <c r="I117" i="19" s="1"/>
  <c r="E59" i="37"/>
  <c r="I116" i="9" s="1"/>
  <c r="J63" i="37"/>
  <c r="I120" i="14" s="1"/>
  <c r="X117" i="14" s="1"/>
  <c r="AI34" i="44" s="1"/>
  <c r="N65" i="37"/>
  <c r="I122" i="18" s="1"/>
  <c r="P58" i="37"/>
  <c r="I115" i="20" s="1"/>
  <c r="X111" i="20" s="1"/>
  <c r="AA18" i="44" s="1"/>
  <c r="R63" i="37"/>
  <c r="I95" i="22" s="1"/>
  <c r="X92" i="22" s="1"/>
  <c r="AI19" i="40" s="1"/>
  <c r="Z65" i="37"/>
  <c r="I122" i="30" s="1"/>
  <c r="O63" i="37"/>
  <c r="I120" i="19" s="1"/>
  <c r="X117" i="19" s="1"/>
  <c r="AI9" i="44" s="1"/>
  <c r="X61" i="37"/>
  <c r="I118" i="28" s="1"/>
  <c r="X114" i="28" s="1"/>
  <c r="AE11" i="44" s="1"/>
  <c r="N64" i="37"/>
  <c r="I121" i="18" s="1"/>
  <c r="X113" i="18" s="1"/>
  <c r="AC25" i="44" s="1"/>
  <c r="Q64" i="37"/>
  <c r="I121" i="21" s="1"/>
  <c r="X113" i="21" s="1"/>
  <c r="AC29" i="44" s="1"/>
  <c r="R58" i="37"/>
  <c r="I115" i="22" s="1"/>
  <c r="X111" i="22" s="1"/>
  <c r="AA19" i="44" s="1"/>
  <c r="AA56" i="37"/>
  <c r="O56" i="37"/>
  <c r="S60" i="37"/>
  <c r="I117" i="23" s="1"/>
  <c r="L58" i="37"/>
  <c r="I115" i="16" s="1"/>
  <c r="X111" i="16" s="1"/>
  <c r="AA35" i="44" s="1"/>
  <c r="Q63" i="37"/>
  <c r="I120" i="21" s="1"/>
  <c r="X117" i="21" s="1"/>
  <c r="AI29" i="44" s="1"/>
  <c r="R57" i="37"/>
  <c r="I114" i="22" s="1"/>
  <c r="X110" i="22" s="1"/>
  <c r="Y19" i="44" s="1"/>
  <c r="M60" i="37"/>
  <c r="I117" i="17" s="1"/>
  <c r="S63" i="37"/>
  <c r="I120" i="23" s="1"/>
  <c r="X117" i="23" s="1"/>
  <c r="AI20" i="44" s="1"/>
  <c r="T62" i="37"/>
  <c r="I119" i="24" s="1"/>
  <c r="X116" i="24" s="1"/>
  <c r="AG26" i="44" s="1"/>
  <c r="U57" i="37"/>
  <c r="I114" i="25" s="1"/>
  <c r="X110" i="25" s="1"/>
  <c r="Y21" i="44" s="1"/>
  <c r="AA59" i="37"/>
  <c r="I116" i="31" s="1"/>
  <c r="T61" i="37"/>
  <c r="I118" i="24" s="1"/>
  <c r="X114" i="24" s="1"/>
  <c r="AE26" i="44" s="1"/>
  <c r="W65" i="37"/>
  <c r="I122" i="27" s="1"/>
  <c r="V56" i="37"/>
  <c r="X60" i="37"/>
  <c r="I117" i="28" s="1"/>
  <c r="C65" i="37"/>
  <c r="I122" i="7" s="1"/>
  <c r="U59" i="37"/>
  <c r="I116" i="25" s="1"/>
  <c r="AA63" i="37"/>
  <c r="I120" i="31" s="1"/>
  <c r="X117" i="31" s="1"/>
  <c r="AI22" i="44" s="1"/>
  <c r="V65" i="37"/>
  <c r="I122" i="26" s="1"/>
  <c r="X59" i="37"/>
  <c r="I116" i="28" s="1"/>
  <c r="T59" i="37"/>
  <c r="I116" i="24" s="1"/>
  <c r="W63" i="37"/>
  <c r="I120" i="27" s="1"/>
  <c r="X117" i="27" s="1"/>
  <c r="AI10" i="44" s="1"/>
  <c r="Z58" i="37"/>
  <c r="I115" i="30" s="1"/>
  <c r="X111" i="30" s="1"/>
  <c r="AA27" i="44" s="1"/>
  <c r="AB64" i="37"/>
  <c r="I121" i="32" s="1"/>
  <c r="X113" i="32" s="1"/>
  <c r="AC12" i="44" s="1"/>
  <c r="AA65" i="37"/>
  <c r="I122" i="31" s="1"/>
  <c r="F60" i="37"/>
  <c r="I117" i="10" s="1"/>
  <c r="F59" i="37"/>
  <c r="I116" i="10" s="1"/>
  <c r="Y64" i="37"/>
  <c r="I121" i="29" s="1"/>
  <c r="X113" i="29" s="1"/>
  <c r="AC31" i="44" s="1"/>
  <c r="AA57" i="37"/>
  <c r="I114" i="31" s="1"/>
  <c r="X110" i="31" s="1"/>
  <c r="Y22" i="44" s="1"/>
  <c r="Y63" i="37"/>
  <c r="I120" i="29" s="1"/>
  <c r="X117" i="29" s="1"/>
  <c r="AI31" i="44" s="1"/>
  <c r="P59" i="37"/>
  <c r="I116" i="20" s="1"/>
  <c r="AB61" i="37"/>
  <c r="I118" i="32" s="1"/>
  <c r="X114" i="32" s="1"/>
  <c r="AE12" i="44" s="1"/>
  <c r="AA60" i="37"/>
  <c r="I117" i="31" s="1"/>
  <c r="Z64" i="37"/>
  <c r="I121" i="30" s="1"/>
  <c r="X113" i="30" s="1"/>
  <c r="AC27" i="44" s="1"/>
  <c r="B57" i="34"/>
  <c r="I64" i="3" s="1"/>
  <c r="X60" i="3" s="1"/>
  <c r="Y6" i="39" s="1"/>
  <c r="O57" i="34"/>
  <c r="I64" i="19" s="1"/>
  <c r="X60" i="19" s="1"/>
  <c r="Y9" i="39" s="1"/>
  <c r="V60" i="34"/>
  <c r="I67" i="26" s="1"/>
  <c r="I57" i="34"/>
  <c r="I64" i="13" s="1"/>
  <c r="X60" i="13" s="1"/>
  <c r="Y24" i="39" s="1"/>
  <c r="T65" i="34"/>
  <c r="I72" i="24" s="1"/>
  <c r="B58" i="34"/>
  <c r="I65" i="3" s="1"/>
  <c r="X61" i="3" s="1"/>
  <c r="AA6" i="39" s="1"/>
  <c r="T63" i="34"/>
  <c r="I70" i="24" s="1"/>
  <c r="X67" i="24" s="1"/>
  <c r="AI26" i="39" s="1"/>
  <c r="AA56" i="34"/>
  <c r="I63" i="31" s="1"/>
  <c r="F61" i="34"/>
  <c r="I68" i="10" s="1"/>
  <c r="X64" i="10" s="1"/>
  <c r="AE15" i="39" s="1"/>
  <c r="W58" i="34"/>
  <c r="I65" i="27" s="1"/>
  <c r="X61" i="27" s="1"/>
  <c r="AA10" i="39" s="1"/>
  <c r="U60" i="34"/>
  <c r="I67" i="25" s="1"/>
  <c r="Y61" i="34"/>
  <c r="I68" i="29" s="1"/>
  <c r="X64" i="29" s="1"/>
  <c r="AE31" i="39" s="1"/>
  <c r="B62" i="34"/>
  <c r="I69" i="3" s="1"/>
  <c r="X66" i="3" s="1"/>
  <c r="AG6" i="39" s="1"/>
  <c r="F62" i="34"/>
  <c r="I69" i="10" s="1"/>
  <c r="X66" i="10" s="1"/>
  <c r="AG15" i="39" s="1"/>
  <c r="J58" i="34"/>
  <c r="I65" i="14" s="1"/>
  <c r="X61" i="14" s="1"/>
  <c r="AA34" i="39" s="1"/>
  <c r="E63" i="34"/>
  <c r="I70" i="9" s="1"/>
  <c r="X67" i="9" s="1"/>
  <c r="AI8" i="39" s="1"/>
  <c r="G63" i="34"/>
  <c r="I70" i="11" s="1"/>
  <c r="X67" i="11" s="1"/>
  <c r="AI16" i="39" s="1"/>
  <c r="I59" i="34"/>
  <c r="I66" i="13" s="1"/>
  <c r="K59" i="34"/>
  <c r="I66" i="15" s="1"/>
  <c r="K61" i="34"/>
  <c r="I68" i="15" s="1"/>
  <c r="X64" i="15" s="1"/>
  <c r="AE17" i="39" s="1"/>
  <c r="AA63" i="34"/>
  <c r="I70" i="31" s="1"/>
  <c r="X67" i="31" s="1"/>
  <c r="AI22" i="39" s="1"/>
  <c r="J61" i="34"/>
  <c r="I68" i="14" s="1"/>
  <c r="X64" i="14" s="1"/>
  <c r="AE34" i="39" s="1"/>
  <c r="C59" i="34"/>
  <c r="I66" i="7" s="1"/>
  <c r="H61" i="34"/>
  <c r="I68" i="12" s="1"/>
  <c r="X64" i="12" s="1"/>
  <c r="AE33" i="39" s="1"/>
  <c r="D64" i="34"/>
  <c r="I71" i="8" s="1"/>
  <c r="X63" i="8" s="1"/>
  <c r="AC7" i="39" s="1"/>
  <c r="J57" i="34"/>
  <c r="I64" i="14" s="1"/>
  <c r="X60" i="14" s="1"/>
  <c r="Y34" i="39" s="1"/>
  <c r="G57" i="34"/>
  <c r="I64" i="11" s="1"/>
  <c r="X60" i="11" s="1"/>
  <c r="Y16" i="39" s="1"/>
  <c r="Q56" i="34"/>
  <c r="I63" i="21" s="1"/>
  <c r="Q61" i="34"/>
  <c r="I68" i="21" s="1"/>
  <c r="X64" i="21" s="1"/>
  <c r="AE29" i="39" s="1"/>
  <c r="N60" i="34"/>
  <c r="I67" i="18" s="1"/>
  <c r="AA65" i="34"/>
  <c r="I72" i="31" s="1"/>
  <c r="H58" i="34"/>
  <c r="I65" i="12" s="1"/>
  <c r="X61" i="12" s="1"/>
  <c r="AA33" i="39" s="1"/>
  <c r="Z60" i="34"/>
  <c r="I67" i="30" s="1"/>
  <c r="D57" i="34"/>
  <c r="I64" i="8" s="1"/>
  <c r="X60" i="8" s="1"/>
  <c r="Y7" i="39" s="1"/>
  <c r="K63" i="34"/>
  <c r="I70" i="15" s="1"/>
  <c r="X67" i="15" s="1"/>
  <c r="AI17" i="39" s="1"/>
  <c r="G56" i="34"/>
  <c r="I63" i="11" s="1"/>
  <c r="B61" i="34"/>
  <c r="I68" i="3" s="1"/>
  <c r="X64" i="3" s="1"/>
  <c r="AE6" i="39" s="1"/>
  <c r="L62" i="34"/>
  <c r="I69" i="16" s="1"/>
  <c r="X66" i="16" s="1"/>
  <c r="AG35" i="39" s="1"/>
  <c r="X60" i="34"/>
  <c r="I67" i="28" s="1"/>
  <c r="X63" i="34"/>
  <c r="I70" i="28" s="1"/>
  <c r="X67" i="28" s="1"/>
  <c r="AI11" i="39" s="1"/>
  <c r="X56" i="34"/>
  <c r="I63" i="28" s="1"/>
  <c r="AB62" i="34"/>
  <c r="I69" i="32" s="1"/>
  <c r="X66" i="32" s="1"/>
  <c r="AG12" i="39" s="1"/>
  <c r="S64" i="34"/>
  <c r="I71" i="23" s="1"/>
  <c r="X63" i="23" s="1"/>
  <c r="AC20" i="39" s="1"/>
  <c r="C64" i="34"/>
  <c r="I71" i="7" s="1"/>
  <c r="X63" i="7" s="1"/>
  <c r="AC14" i="39" s="1"/>
  <c r="C63" i="34"/>
  <c r="I70" i="7" s="1"/>
  <c r="X67" i="7" s="1"/>
  <c r="AI14" i="39" s="1"/>
  <c r="I60" i="34"/>
  <c r="I67" i="13" s="1"/>
  <c r="M65" i="34"/>
  <c r="I72" i="17" s="1"/>
  <c r="E57" i="34"/>
  <c r="I64" i="9" s="1"/>
  <c r="X60" i="9" s="1"/>
  <c r="Y8" i="39" s="1"/>
  <c r="J65" i="34"/>
  <c r="I72" i="14" s="1"/>
  <c r="C57" i="34"/>
  <c r="I64" i="7" s="1"/>
  <c r="X60" i="7" s="1"/>
  <c r="Y14" i="39" s="1"/>
  <c r="F59" i="34"/>
  <c r="I66" i="10" s="1"/>
  <c r="S59" i="34"/>
  <c r="I66" i="23" s="1"/>
  <c r="L60" i="34"/>
  <c r="I67" i="16" s="1"/>
  <c r="W64" i="34"/>
  <c r="I71" i="27" s="1"/>
  <c r="X63" i="27" s="1"/>
  <c r="AC10" i="39" s="1"/>
  <c r="M61" i="34"/>
  <c r="I68" i="17" s="1"/>
  <c r="X64" i="17" s="1"/>
  <c r="AE36" i="39" s="1"/>
  <c r="Z62" i="34"/>
  <c r="I69" i="30" s="1"/>
  <c r="X66" i="30" s="1"/>
  <c r="AG27" i="39" s="1"/>
  <c r="B60" i="34"/>
  <c r="I67" i="3" s="1"/>
  <c r="U65" i="34"/>
  <c r="I72" i="25" s="1"/>
  <c r="G60" i="34"/>
  <c r="I67" i="11" s="1"/>
  <c r="T56" i="34"/>
  <c r="I63" i="24" s="1"/>
  <c r="F58" i="34"/>
  <c r="I65" i="10" s="1"/>
  <c r="X61" i="10" s="1"/>
  <c r="AA15" i="39" s="1"/>
  <c r="W62" i="34"/>
  <c r="I69" i="27" s="1"/>
  <c r="X66" i="27" s="1"/>
  <c r="AG10" i="39" s="1"/>
  <c r="T62" i="34"/>
  <c r="I69" i="24" s="1"/>
  <c r="X66" i="24" s="1"/>
  <c r="AG26" i="39" s="1"/>
  <c r="E61" i="34"/>
  <c r="I68" i="9" s="1"/>
  <c r="X64" i="9" s="1"/>
  <c r="AE8" i="39" s="1"/>
  <c r="L65" i="34"/>
  <c r="I72" i="16" s="1"/>
  <c r="T58" i="34"/>
  <c r="I65" i="24" s="1"/>
  <c r="X61" i="24" s="1"/>
  <c r="AA26" i="39" s="1"/>
  <c r="E60" i="34"/>
  <c r="I67" i="9" s="1"/>
  <c r="M64" i="34"/>
  <c r="I71" i="17" s="1"/>
  <c r="X63" i="17" s="1"/>
  <c r="AC36" i="39" s="1"/>
  <c r="AB57" i="34"/>
  <c r="I64" i="32" s="1"/>
  <c r="X60" i="32" s="1"/>
  <c r="Y12" i="39" s="1"/>
  <c r="O64" i="34"/>
  <c r="I71" i="19" s="1"/>
  <c r="X63" i="19" s="1"/>
  <c r="AC9" i="39" s="1"/>
  <c r="P56" i="34"/>
  <c r="I63" i="20" s="1"/>
  <c r="O63" i="34"/>
  <c r="I70" i="19" s="1"/>
  <c r="X67" i="19" s="1"/>
  <c r="AI9" i="39" s="1"/>
  <c r="S57" i="34"/>
  <c r="I64" i="23" s="1"/>
  <c r="X60" i="23" s="1"/>
  <c r="Y20" i="39" s="1"/>
  <c r="U58" i="34"/>
  <c r="I65" i="25" s="1"/>
  <c r="X61" i="25" s="1"/>
  <c r="AA21" i="39" s="1"/>
  <c r="Y63" i="34"/>
  <c r="I70" i="29" s="1"/>
  <c r="X67" i="29" s="1"/>
  <c r="AI31" i="39" s="1"/>
  <c r="I62" i="4"/>
  <c r="I44" i="13" s="1"/>
  <c r="X41" i="13" s="1"/>
  <c r="AG24" i="41" s="1"/>
  <c r="C64" i="4"/>
  <c r="I46" i="7" s="1"/>
  <c r="J46" i="7" s="1"/>
  <c r="M57" i="4"/>
  <c r="I39" i="17" s="1"/>
  <c r="X35" i="17" s="1"/>
  <c r="Y36" i="41" s="1"/>
  <c r="Z65" i="4"/>
  <c r="I47" i="30" s="1"/>
  <c r="O60" i="4"/>
  <c r="I42" i="19" s="1"/>
  <c r="W57" i="4"/>
  <c r="I39" i="27" s="1"/>
  <c r="X35" i="27" s="1"/>
  <c r="Y10" i="41" s="1"/>
  <c r="AA63" i="4"/>
  <c r="I45" i="31" s="1"/>
  <c r="X42" i="31" s="1"/>
  <c r="AI22" i="41" s="1"/>
  <c r="W58" i="4"/>
  <c r="I40" i="27" s="1"/>
  <c r="X36" i="27" s="1"/>
  <c r="AA10" i="41" s="1"/>
  <c r="T59" i="4"/>
  <c r="I41" i="24" s="1"/>
  <c r="S60" i="4"/>
  <c r="I42" i="23" s="1"/>
  <c r="R63" i="4"/>
  <c r="I45" i="22" s="1"/>
  <c r="X42" i="22" s="1"/>
  <c r="AI19" i="41" s="1"/>
  <c r="Y59" i="4"/>
  <c r="I41" i="29" s="1"/>
  <c r="B56" i="4"/>
  <c r="H56" i="4"/>
  <c r="K59" i="4"/>
  <c r="I41" i="15" s="1"/>
  <c r="N65" i="4"/>
  <c r="I47" i="18" s="1"/>
  <c r="X61" i="4"/>
  <c r="I43" i="28" s="1"/>
  <c r="X39" i="28" s="1"/>
  <c r="AE11" i="41" s="1"/>
  <c r="AA62" i="4"/>
  <c r="I44" i="31" s="1"/>
  <c r="X41" i="31" s="1"/>
  <c r="AG22" i="41" s="1"/>
  <c r="B62" i="4"/>
  <c r="I44" i="3" s="1"/>
  <c r="X62" i="4"/>
  <c r="I44" i="28" s="1"/>
  <c r="J44" i="28" s="1"/>
  <c r="S59" i="4"/>
  <c r="I41" i="23" s="1"/>
  <c r="R61" i="4"/>
  <c r="I43" i="22" s="1"/>
  <c r="X39" i="22" s="1"/>
  <c r="AE19" i="41" s="1"/>
  <c r="Z58" i="4"/>
  <c r="I40" i="30" s="1"/>
  <c r="X36" i="30" s="1"/>
  <c r="AA27" i="41" s="1"/>
  <c r="D57" i="4"/>
  <c r="I39" i="8" s="1"/>
  <c r="X35" i="8" s="1"/>
  <c r="Y7" i="41" s="1"/>
  <c r="E64" i="4"/>
  <c r="I46" i="9" s="1"/>
  <c r="J46" i="9" s="1"/>
  <c r="Y57" i="4"/>
  <c r="I39" i="29" s="1"/>
  <c r="X35" i="29" s="1"/>
  <c r="Y31" i="41" s="1"/>
  <c r="H65" i="4"/>
  <c r="I47" i="12" s="1"/>
  <c r="K61" i="4"/>
  <c r="I43" i="15" s="1"/>
  <c r="X39" i="15" s="1"/>
  <c r="AE17" i="41" s="1"/>
  <c r="H62" i="4"/>
  <c r="I44" i="12" s="1"/>
  <c r="X41" i="12" s="1"/>
  <c r="AG33" i="41" s="1"/>
  <c r="AA56" i="4"/>
  <c r="Q64" i="4"/>
  <c r="I46" i="21" s="1"/>
  <c r="J46" i="21" s="1"/>
  <c r="V57" i="4"/>
  <c r="I39" i="26" s="1"/>
  <c r="X35" i="26" s="1"/>
  <c r="Y30" i="41" s="1"/>
  <c r="N62" i="4"/>
  <c r="I44" i="18" s="1"/>
  <c r="J44" i="18" s="1"/>
  <c r="E57" i="4"/>
  <c r="I39" i="9" s="1"/>
  <c r="X35" i="9" s="1"/>
  <c r="Y8" i="41" s="1"/>
  <c r="Z59" i="4"/>
  <c r="I41" i="30" s="1"/>
  <c r="Q63" i="4"/>
  <c r="I45" i="21" s="1"/>
  <c r="J45" i="21" s="1"/>
  <c r="H58" i="4"/>
  <c r="I40" i="12" s="1"/>
  <c r="J40" i="12" s="1"/>
  <c r="F61" i="4"/>
  <c r="I43" i="10" s="1"/>
  <c r="J43" i="10" s="1"/>
  <c r="G63" i="4"/>
  <c r="I45" i="11" s="1"/>
  <c r="X42" i="11" s="1"/>
  <c r="AI16" i="41" s="1"/>
  <c r="Q56" i="4"/>
  <c r="K60" i="4"/>
  <c r="I42" i="15" s="1"/>
  <c r="AB65" i="4"/>
  <c r="I47" i="32" s="1"/>
  <c r="C61" i="4"/>
  <c r="I43" i="7" s="1"/>
  <c r="J43" i="7" s="1"/>
  <c r="T60" i="4"/>
  <c r="I42" i="24" s="1"/>
  <c r="W62" i="4"/>
  <c r="I44" i="27" s="1"/>
  <c r="X41" i="27" s="1"/>
  <c r="AG10" i="41" s="1"/>
  <c r="N57" i="4"/>
  <c r="I39" i="18" s="1"/>
  <c r="X35" i="18" s="1"/>
  <c r="Y25" i="41" s="1"/>
  <c r="I61" i="4"/>
  <c r="I43" i="13" s="1"/>
  <c r="J43" i="13" s="1"/>
  <c r="Z63" i="4"/>
  <c r="I45" i="30" s="1"/>
  <c r="X42" i="30" s="1"/>
  <c r="AI27" i="41" s="1"/>
  <c r="I58" i="4"/>
  <c r="I40" i="13" s="1"/>
  <c r="J40" i="13" s="1"/>
  <c r="I63" i="4"/>
  <c r="I45" i="13" s="1"/>
  <c r="X42" i="13" s="1"/>
  <c r="AI24" i="41" s="1"/>
  <c r="T56" i="4"/>
  <c r="D59" i="4"/>
  <c r="I41" i="8" s="1"/>
  <c r="M60" i="4"/>
  <c r="I42" i="17" s="1"/>
  <c r="B63" i="4"/>
  <c r="I45" i="3" s="1"/>
  <c r="Q62" i="4"/>
  <c r="I44" i="21" s="1"/>
  <c r="J44" i="21" s="1"/>
  <c r="V63" i="4"/>
  <c r="I45" i="26" s="1"/>
  <c r="J45" i="26" s="1"/>
  <c r="T58" i="4"/>
  <c r="I40" i="24" s="1"/>
  <c r="X36" i="24" s="1"/>
  <c r="AA26" i="41" s="1"/>
  <c r="H57" i="4"/>
  <c r="I39" i="12" s="1"/>
  <c r="X35" i="12" s="1"/>
  <c r="Y33" i="41" s="1"/>
  <c r="K64" i="4"/>
  <c r="I46" i="15" s="1"/>
  <c r="J46" i="15" s="1"/>
  <c r="I65" i="4"/>
  <c r="I47" i="13" s="1"/>
  <c r="I64" i="4"/>
  <c r="I46" i="13" s="1"/>
  <c r="X38" i="13" s="1"/>
  <c r="AC24" i="41" s="1"/>
  <c r="AA58" i="4"/>
  <c r="I40" i="31" s="1"/>
  <c r="J40" i="31" s="1"/>
  <c r="H64" i="4"/>
  <c r="I46" i="12" s="1"/>
  <c r="J46" i="12" s="1"/>
  <c r="R60" i="4"/>
  <c r="I42" i="22" s="1"/>
  <c r="D65" i="4"/>
  <c r="I47" i="8" s="1"/>
  <c r="P60" i="4"/>
  <c r="I42" i="20" s="1"/>
  <c r="U56" i="4"/>
  <c r="W61" i="4"/>
  <c r="I43" i="27" s="1"/>
  <c r="J43" i="27" s="1"/>
  <c r="C57" i="4"/>
  <c r="I39" i="7" s="1"/>
  <c r="X35" i="7" s="1"/>
  <c r="Y14" i="41" s="1"/>
  <c r="S62" i="4"/>
  <c r="I44" i="23" s="1"/>
  <c r="X41" i="23" s="1"/>
  <c r="AG20" i="41" s="1"/>
  <c r="S65" i="4"/>
  <c r="I47" i="23" s="1"/>
  <c r="F58" i="4"/>
  <c r="I40" i="10" s="1"/>
  <c r="J40" i="10" s="1"/>
  <c r="E65" i="4"/>
  <c r="I47" i="9" s="1"/>
  <c r="L61" i="4"/>
  <c r="I43" i="16" s="1"/>
  <c r="X39" i="16" s="1"/>
  <c r="AE35" i="41" s="1"/>
  <c r="C60" i="4"/>
  <c r="I42" i="7" s="1"/>
  <c r="P62" i="4"/>
  <c r="I44" i="20" s="1"/>
  <c r="J44" i="20" s="1"/>
  <c r="S64" i="4"/>
  <c r="I46" i="23" s="1"/>
  <c r="X38" i="23" s="1"/>
  <c r="AC20" i="41" s="1"/>
  <c r="AA65" i="4"/>
  <c r="I47" i="31" s="1"/>
  <c r="R65" i="4"/>
  <c r="I47" i="22" s="1"/>
  <c r="AA61" i="4"/>
  <c r="I43" i="31" s="1"/>
  <c r="J43" i="31" s="1"/>
  <c r="X57" i="4"/>
  <c r="I39" i="28" s="1"/>
  <c r="X35" i="28" s="1"/>
  <c r="Y11" i="41" s="1"/>
  <c r="D63" i="4"/>
  <c r="I45" i="8" s="1"/>
  <c r="X42" i="8" s="1"/>
  <c r="AI7" i="41" s="1"/>
  <c r="I59" i="4"/>
  <c r="I41" i="13" s="1"/>
  <c r="F56" i="4"/>
  <c r="V62" i="4"/>
  <c r="I44" i="26" s="1"/>
  <c r="J44" i="26" s="1"/>
  <c r="H59" i="4"/>
  <c r="I41" i="12" s="1"/>
  <c r="V65" i="4"/>
  <c r="I47" i="26" s="1"/>
  <c r="E62" i="4"/>
  <c r="I44" i="9" s="1"/>
  <c r="J44" i="9" s="1"/>
  <c r="Q58" i="4"/>
  <c r="I40" i="21" s="1"/>
  <c r="X36" i="21" s="1"/>
  <c r="AA29" i="41" s="1"/>
  <c r="L65" i="4"/>
  <c r="I47" i="16" s="1"/>
  <c r="D62" i="4"/>
  <c r="I44" i="8" s="1"/>
  <c r="X41" i="8" s="1"/>
  <c r="AG7" i="41" s="1"/>
  <c r="P58" i="4"/>
  <c r="I40" i="20" s="1"/>
  <c r="J40" i="20" s="1"/>
  <c r="U64" i="4"/>
  <c r="I46" i="25" s="1"/>
  <c r="J46" i="25" s="1"/>
  <c r="N61" i="4"/>
  <c r="I43" i="18" s="1"/>
  <c r="X39" i="18" s="1"/>
  <c r="AE25" i="41" s="1"/>
  <c r="J56" i="4"/>
  <c r="V60" i="4"/>
  <c r="I42" i="26" s="1"/>
  <c r="B64" i="4"/>
  <c r="I46" i="3" s="1"/>
  <c r="B59" i="4"/>
  <c r="I41" i="3" s="1"/>
  <c r="E59" i="4"/>
  <c r="I41" i="9" s="1"/>
  <c r="Q60" i="4"/>
  <c r="I42" i="21" s="1"/>
  <c r="B61" i="4"/>
  <c r="I43" i="3" s="1"/>
  <c r="R56" i="4"/>
  <c r="C59" i="4"/>
  <c r="I41" i="7" s="1"/>
  <c r="U61" i="4"/>
  <c r="I43" i="25" s="1"/>
  <c r="X39" i="25" s="1"/>
  <c r="AE21" i="41" s="1"/>
  <c r="L64" i="4"/>
  <c r="I46" i="16" s="1"/>
  <c r="X38" i="16" s="1"/>
  <c r="AC35" i="41" s="1"/>
  <c r="R57" i="4"/>
  <c r="I39" i="22" s="1"/>
  <c r="X35" i="22" s="1"/>
  <c r="Y19" i="41" s="1"/>
  <c r="F60" i="4"/>
  <c r="I42" i="10" s="1"/>
  <c r="V61" i="4"/>
  <c r="I43" i="26" s="1"/>
  <c r="J43" i="26" s="1"/>
  <c r="P63" i="4"/>
  <c r="I45" i="20" s="1"/>
  <c r="X42" i="20" s="1"/>
  <c r="AI18" i="41" s="1"/>
  <c r="K65" i="4"/>
  <c r="I47" i="15" s="1"/>
  <c r="K57" i="4"/>
  <c r="I39" i="15" s="1"/>
  <c r="X35" i="15" s="1"/>
  <c r="Y17" i="41" s="1"/>
  <c r="F59" i="4"/>
  <c r="I41" i="10" s="1"/>
  <c r="Z60" i="4"/>
  <c r="I42" i="30" s="1"/>
  <c r="L62" i="4"/>
  <c r="I44" i="16" s="1"/>
  <c r="X41" i="16" s="1"/>
  <c r="AG35" i="41" s="1"/>
  <c r="F64" i="4"/>
  <c r="I46" i="10" s="1"/>
  <c r="J46" i="10" s="1"/>
  <c r="U65" i="4"/>
  <c r="I47" i="25" s="1"/>
  <c r="L57" i="4"/>
  <c r="I39" i="16" s="1"/>
  <c r="X35" i="16" s="1"/>
  <c r="Y35" i="41" s="1"/>
  <c r="G59" i="4"/>
  <c r="I41" i="11" s="1"/>
  <c r="AA60" i="4"/>
  <c r="I42" i="31" s="1"/>
  <c r="M62" i="4"/>
  <c r="I44" i="17" s="1"/>
  <c r="X41" i="17" s="1"/>
  <c r="AG36" i="41" s="1"/>
  <c r="O64" i="4"/>
  <c r="I46" i="19" s="1"/>
  <c r="X38" i="19" s="1"/>
  <c r="AC9" i="41" s="1"/>
  <c r="D56" i="4"/>
  <c r="U57" i="4"/>
  <c r="I39" i="25" s="1"/>
  <c r="X35" i="25" s="1"/>
  <c r="Y21" i="41" s="1"/>
  <c r="AA59" i="4"/>
  <c r="I41" i="31" s="1"/>
  <c r="Q61" i="4"/>
  <c r="I43" i="21" s="1"/>
  <c r="J43" i="21" s="1"/>
  <c r="C63" i="4"/>
  <c r="I45" i="7" s="1"/>
  <c r="X42" i="7" s="1"/>
  <c r="AI14" i="41" s="1"/>
  <c r="X64" i="4"/>
  <c r="I46" i="28" s="1"/>
  <c r="X38" i="28" s="1"/>
  <c r="AC11" i="41" s="1"/>
  <c r="N56" i="4"/>
  <c r="C58" i="4"/>
  <c r="I40" i="7" s="1"/>
  <c r="J40" i="7" s="1"/>
  <c r="AB59" i="4"/>
  <c r="I41" i="32" s="1"/>
  <c r="Z61" i="4"/>
  <c r="I43" i="30" s="1"/>
  <c r="X39" i="30" s="1"/>
  <c r="AE27" i="41" s="1"/>
  <c r="L63" i="4"/>
  <c r="I45" i="16" s="1"/>
  <c r="X42" i="16" s="1"/>
  <c r="AI35" i="41" s="1"/>
  <c r="G65" i="4"/>
  <c r="I47" i="11" s="1"/>
  <c r="L60" i="4"/>
  <c r="I42" i="16" s="1"/>
  <c r="Z56" i="4"/>
  <c r="J64" i="4"/>
  <c r="I46" i="14" s="1"/>
  <c r="J46" i="14" s="1"/>
  <c r="U60" i="4"/>
  <c r="I42" i="25" s="1"/>
  <c r="G57" i="4"/>
  <c r="I39" i="11" s="1"/>
  <c r="X35" i="11" s="1"/>
  <c r="Y16" i="41" s="1"/>
  <c r="R64" i="4"/>
  <c r="I46" i="22" s="1"/>
  <c r="X38" i="22" s="1"/>
  <c r="AC19" i="41" s="1"/>
  <c r="D61" i="4"/>
  <c r="I43" i="8" s="1"/>
  <c r="J43" i="8" s="1"/>
  <c r="G56" i="4"/>
  <c r="Z64" i="4"/>
  <c r="I46" i="30" s="1"/>
  <c r="J46" i="30" s="1"/>
  <c r="AB58" i="4"/>
  <c r="I40" i="32" s="1"/>
  <c r="J40" i="32" s="1"/>
  <c r="O56" i="4"/>
  <c r="Q59" i="4"/>
  <c r="I41" i="21" s="1"/>
  <c r="W60" i="4"/>
  <c r="I42" i="27" s="1"/>
  <c r="X60" i="4"/>
  <c r="I42" i="28" s="1"/>
  <c r="AB56" i="4"/>
  <c r="L59" i="4"/>
  <c r="I41" i="16" s="1"/>
  <c r="J62" i="4"/>
  <c r="I44" i="14" s="1"/>
  <c r="X41" i="14" s="1"/>
  <c r="AG34" i="41" s="1"/>
  <c r="T64" i="4"/>
  <c r="I46" i="24" s="1"/>
  <c r="X38" i="24" s="1"/>
  <c r="AC26" i="41" s="1"/>
  <c r="Z57" i="4"/>
  <c r="I39" i="30" s="1"/>
  <c r="X35" i="30" s="1"/>
  <c r="Y27" i="41" s="1"/>
  <c r="N60" i="4"/>
  <c r="I42" i="18" s="1"/>
  <c r="K62" i="4"/>
  <c r="I44" i="15" s="1"/>
  <c r="X41" i="15" s="1"/>
  <c r="AG17" i="41" s="1"/>
  <c r="X63" i="4"/>
  <c r="I45" i="28" s="1"/>
  <c r="J45" i="28" s="1"/>
  <c r="T65" i="4"/>
  <c r="I47" i="24" s="1"/>
  <c r="AA57" i="4"/>
  <c r="I39" i="31" s="1"/>
  <c r="X35" i="31" s="1"/>
  <c r="Y22" i="41" s="1"/>
  <c r="N59" i="4"/>
  <c r="I41" i="18" s="1"/>
  <c r="G61" i="4"/>
  <c r="I43" i="11" s="1"/>
  <c r="J43" i="11" s="1"/>
  <c r="AB62" i="4"/>
  <c r="I44" i="32" s="1"/>
  <c r="J44" i="32" s="1"/>
  <c r="N64" i="4"/>
  <c r="I46" i="18" s="1"/>
  <c r="X38" i="18" s="1"/>
  <c r="AC25" i="41" s="1"/>
  <c r="C56" i="4"/>
  <c r="AB57" i="4"/>
  <c r="I39" i="32" s="1"/>
  <c r="X35" i="32" s="1"/>
  <c r="Y12" i="41" s="1"/>
  <c r="O59" i="4"/>
  <c r="I41" i="19" s="1"/>
  <c r="H61" i="4"/>
  <c r="I43" i="12" s="1"/>
  <c r="X39" i="12" s="1"/>
  <c r="AE33" i="41" s="1"/>
  <c r="J63" i="4"/>
  <c r="I45" i="14" s="1"/>
  <c r="X42" i="14" s="1"/>
  <c r="AI34" i="41" s="1"/>
  <c r="W64" i="4"/>
  <c r="I46" i="27" s="1"/>
  <c r="X38" i="27" s="1"/>
  <c r="AC10" i="41" s="1"/>
  <c r="M56" i="4"/>
  <c r="R58" i="4"/>
  <c r="I40" i="22" s="1"/>
  <c r="X36" i="22" s="1"/>
  <c r="AA19" i="41" s="1"/>
  <c r="I60" i="4"/>
  <c r="I42" i="13" s="1"/>
  <c r="Y61" i="4"/>
  <c r="I43" i="29" s="1"/>
  <c r="X39" i="29" s="1"/>
  <c r="AE31" i="41" s="1"/>
  <c r="S63" i="4"/>
  <c r="I45" i="23" s="1"/>
  <c r="X42" i="23" s="1"/>
  <c r="AI20" i="41" s="1"/>
  <c r="F65" i="4"/>
  <c r="I47" i="10" s="1"/>
  <c r="Y56" i="4"/>
  <c r="S58" i="4"/>
  <c r="I40" i="23" s="1"/>
  <c r="X36" i="23" s="1"/>
  <c r="AA20" i="41" s="1"/>
  <c r="J60" i="4"/>
  <c r="I42" i="14" s="1"/>
  <c r="G62" i="4"/>
  <c r="I44" i="11" s="1"/>
  <c r="X41" i="11" s="1"/>
  <c r="AG16" i="41" s="1"/>
  <c r="AB63" i="4"/>
  <c r="I45" i="32" s="1"/>
  <c r="J45" i="32" s="1"/>
  <c r="O65" i="4"/>
  <c r="I47" i="19" s="1"/>
  <c r="T61" i="4"/>
  <c r="I43" i="24" s="1"/>
  <c r="X39" i="24" s="1"/>
  <c r="AE26" i="41" s="1"/>
  <c r="J59" i="4"/>
  <c r="I41" i="14" s="1"/>
  <c r="P65" i="4"/>
  <c r="I47" i="20" s="1"/>
  <c r="AB61" i="4"/>
  <c r="I43" i="32" s="1"/>
  <c r="X39" i="32" s="1"/>
  <c r="AE12" i="41" s="1"/>
  <c r="V59" i="4"/>
  <c r="I41" i="26" s="1"/>
  <c r="O58" i="4"/>
  <c r="I40" i="19" s="1"/>
  <c r="X36" i="19" s="1"/>
  <c r="AA9" i="41" s="1"/>
  <c r="J57" i="4"/>
  <c r="I39" i="14" s="1"/>
  <c r="X35" i="14" s="1"/>
  <c r="Y34" i="41" s="1"/>
  <c r="J65" i="4"/>
  <c r="I47" i="14" s="1"/>
  <c r="D64" i="4"/>
  <c r="I46" i="8" s="1"/>
  <c r="J46" i="8" s="1"/>
  <c r="Z62" i="4"/>
  <c r="I44" i="30" s="1"/>
  <c r="J44" i="30" s="1"/>
  <c r="M61" i="4"/>
  <c r="I43" i="17" s="1"/>
  <c r="X39" i="17" s="1"/>
  <c r="AE36" i="41" s="1"/>
  <c r="D60" i="4"/>
  <c r="I42" i="8" s="1"/>
  <c r="V58" i="4"/>
  <c r="I40" i="26" s="1"/>
  <c r="J40" i="26" s="1"/>
  <c r="Q57" i="4"/>
  <c r="I39" i="21" s="1"/>
  <c r="X35" i="21" s="1"/>
  <c r="Y29" i="41" s="1"/>
  <c r="I56" i="4"/>
  <c r="W65" i="4"/>
  <c r="I47" i="27" s="1"/>
  <c r="W56" i="4"/>
  <c r="E56" i="4"/>
  <c r="E60" i="4"/>
  <c r="I42" i="9" s="1"/>
  <c r="X56" i="4"/>
  <c r="B57" i="4"/>
  <c r="I39" i="3" s="1"/>
  <c r="X35" i="3" s="1"/>
  <c r="P57" i="4"/>
  <c r="I39" i="20" s="1"/>
  <c r="X35" i="20" s="1"/>
  <c r="Y18" i="41" s="1"/>
  <c r="S61" i="4"/>
  <c r="I43" i="23" s="1"/>
  <c r="X39" i="23" s="1"/>
  <c r="AE20" i="41" s="1"/>
  <c r="AA64" i="4"/>
  <c r="I46" i="31" s="1"/>
  <c r="U58" i="4"/>
  <c r="I40" i="25" s="1"/>
  <c r="X36" i="25" s="1"/>
  <c r="AA21" i="41" s="1"/>
  <c r="U63" i="4"/>
  <c r="I45" i="25" s="1"/>
  <c r="X42" i="25" s="1"/>
  <c r="AI21" i="41" s="1"/>
  <c r="O57" i="4"/>
  <c r="I39" i="19" s="1"/>
  <c r="X35" i="19" s="1"/>
  <c r="Y9" i="41" s="1"/>
  <c r="N63" i="4"/>
  <c r="I45" i="18" s="1"/>
  <c r="X42" i="18" s="1"/>
  <c r="AI25" i="41" s="1"/>
  <c r="M58" i="4"/>
  <c r="I40" i="17" s="1"/>
  <c r="X36" i="17" s="1"/>
  <c r="AA36" i="41" s="1"/>
  <c r="M63" i="4"/>
  <c r="I45" i="17" s="1"/>
  <c r="X42" i="17" s="1"/>
  <c r="AI36" i="41" s="1"/>
  <c r="L58" i="4"/>
  <c r="I40" i="16" s="1"/>
  <c r="X36" i="16" s="1"/>
  <c r="AA35" i="41" s="1"/>
  <c r="F63" i="4"/>
  <c r="I45" i="10" s="1"/>
  <c r="X42" i="10" s="1"/>
  <c r="AI15" i="41" s="1"/>
  <c r="E58" i="4"/>
  <c r="I40" i="9" s="1"/>
  <c r="X36" i="9" s="1"/>
  <c r="AA8" i="41" s="1"/>
  <c r="E63" i="4"/>
  <c r="I45" i="9" s="1"/>
  <c r="J45" i="9" s="1"/>
  <c r="D58" i="4"/>
  <c r="I40" i="8" s="1"/>
  <c r="X36" i="8" s="1"/>
  <c r="AA7" i="41" s="1"/>
  <c r="Y62" i="4"/>
  <c r="I44" i="29" s="1"/>
  <c r="X41" i="29" s="1"/>
  <c r="AG31" i="41" s="1"/>
  <c r="P56" i="4"/>
  <c r="Y64" i="4"/>
  <c r="I46" i="29" s="1"/>
  <c r="J46" i="29" s="1"/>
  <c r="T63" i="4"/>
  <c r="I45" i="24" s="1"/>
  <c r="X42" i="24" s="1"/>
  <c r="AI26" i="41" s="1"/>
  <c r="O62" i="4"/>
  <c r="I44" i="19" s="1"/>
  <c r="X41" i="19" s="1"/>
  <c r="AG9" i="41" s="1"/>
  <c r="J61" i="4"/>
  <c r="I43" i="14" s="1"/>
  <c r="X39" i="14" s="1"/>
  <c r="AE34" i="41" s="1"/>
  <c r="R59" i="4"/>
  <c r="I41" i="22" s="1"/>
  <c r="K58" i="4"/>
  <c r="I40" i="15" s="1"/>
  <c r="F57" i="4"/>
  <c r="I39" i="10" s="1"/>
  <c r="X35" i="10" s="1"/>
  <c r="Y15" i="41" s="1"/>
  <c r="Y65" i="4"/>
  <c r="I47" i="29" s="1"/>
  <c r="P64" i="4"/>
  <c r="I46" i="20" s="1"/>
  <c r="X38" i="20" s="1"/>
  <c r="AC18" i="41" s="1"/>
  <c r="K63" i="4"/>
  <c r="I45" i="15" s="1"/>
  <c r="X42" i="15" s="1"/>
  <c r="AI17" i="41" s="1"/>
  <c r="F62" i="4"/>
  <c r="I44" i="10" s="1"/>
  <c r="X41" i="10" s="1"/>
  <c r="AG15" i="41" s="1"/>
  <c r="AB60" i="4"/>
  <c r="I42" i="32" s="1"/>
  <c r="P59" i="4"/>
  <c r="I41" i="20" s="1"/>
  <c r="J58" i="4"/>
  <c r="I40" i="14" s="1"/>
  <c r="J40" i="14" s="1"/>
  <c r="V56" i="4"/>
  <c r="M65" i="4"/>
  <c r="I47" i="17" s="1"/>
  <c r="G64" i="4"/>
  <c r="I46" i="11" s="1"/>
  <c r="J46" i="11" s="1"/>
  <c r="U62" i="4"/>
  <c r="I44" i="25" s="1"/>
  <c r="X41" i="25" s="1"/>
  <c r="AG21" i="41" s="1"/>
  <c r="P61" i="4"/>
  <c r="I43" i="20" s="1"/>
  <c r="H60" i="4"/>
  <c r="I42" i="12" s="1"/>
  <c r="Y58" i="4"/>
  <c r="I40" i="29" s="1"/>
  <c r="X36" i="29" s="1"/>
  <c r="AA31" i="41" s="1"/>
  <c r="T57" i="4"/>
  <c r="I39" i="24" s="1"/>
  <c r="X35" i="24" s="1"/>
  <c r="Y26" i="41" s="1"/>
  <c r="L56" i="4"/>
  <c r="C65" i="4"/>
  <c r="I47" i="7" s="1"/>
  <c r="Y63" i="4"/>
  <c r="I45" i="29" s="1"/>
  <c r="X42" i="29" s="1"/>
  <c r="AI31" i="41" s="1"/>
  <c r="T62" i="4"/>
  <c r="I44" i="24" s="1"/>
  <c r="X41" i="24" s="1"/>
  <c r="AG26" i="41" s="1"/>
  <c r="O61" i="4"/>
  <c r="I43" i="19" s="1"/>
  <c r="J43" i="19" s="1"/>
  <c r="G60" i="4"/>
  <c r="I42" i="11" s="1"/>
  <c r="X58" i="4"/>
  <c r="I40" i="28" s="1"/>
  <c r="X36" i="28" s="1"/>
  <c r="AA11" i="41" s="1"/>
  <c r="S57" i="4"/>
  <c r="I39" i="23" s="1"/>
  <c r="X35" i="23" s="1"/>
  <c r="Y20" i="41" s="1"/>
  <c r="K56" i="4"/>
  <c r="M64" i="4"/>
  <c r="I46" i="17" s="1"/>
  <c r="X38" i="17" s="1"/>
  <c r="AC36" i="41" s="1"/>
  <c r="H63" i="4"/>
  <c r="I45" i="12" s="1"/>
  <c r="X42" i="12" s="1"/>
  <c r="AI33" i="41" s="1"/>
  <c r="C62" i="4"/>
  <c r="I44" i="7" s="1"/>
  <c r="X41" i="7" s="1"/>
  <c r="AG14" i="41" s="1"/>
  <c r="Y60" i="4"/>
  <c r="I42" i="29" s="1"/>
  <c r="M59" i="4"/>
  <c r="I41" i="17" s="1"/>
  <c r="G58" i="4"/>
  <c r="I40" i="11" s="1"/>
  <c r="X36" i="11" s="1"/>
  <c r="AA16" i="41" s="1"/>
  <c r="S56" i="4"/>
  <c r="AB64" i="4"/>
  <c r="I46" i="32" s="1"/>
  <c r="W63" i="4"/>
  <c r="I45" i="27" s="1"/>
  <c r="X42" i="27" s="1"/>
  <c r="AI10" i="41" s="1"/>
  <c r="R62" i="4"/>
  <c r="I44" i="22" s="1"/>
  <c r="J44" i="22" s="1"/>
  <c r="E61" i="4"/>
  <c r="I43" i="9" s="1"/>
  <c r="X39" i="9" s="1"/>
  <c r="AE8" i="41" s="1"/>
  <c r="U59" i="4"/>
  <c r="I41" i="25" s="1"/>
  <c r="N58" i="4"/>
  <c r="I40" i="18" s="1"/>
  <c r="X36" i="18" s="1"/>
  <c r="AA25" i="41" s="1"/>
  <c r="I57" i="4"/>
  <c r="I39" i="13" s="1"/>
  <c r="X35" i="13" s="1"/>
  <c r="Y24" i="41" s="1"/>
  <c r="X65" i="4"/>
  <c r="I47" i="28" s="1"/>
  <c r="B65" i="4"/>
  <c r="I47" i="3" s="1"/>
  <c r="Q65" i="4"/>
  <c r="I47" i="21" s="1"/>
  <c r="X59" i="4"/>
  <c r="I41" i="28" s="1"/>
  <c r="B58" i="4"/>
  <c r="I40" i="3" s="1"/>
  <c r="W59" i="4"/>
  <c r="I41" i="27" s="1"/>
  <c r="J20" i="18"/>
  <c r="J21" i="20"/>
  <c r="J22" i="26"/>
  <c r="J15" i="15"/>
  <c r="J20" i="32"/>
  <c r="J21" i="21"/>
  <c r="J19" i="21"/>
  <c r="L7" i="24"/>
  <c r="L11" i="24" s="1"/>
  <c r="J18" i="24" s="1"/>
  <c r="X8" i="24" s="1"/>
  <c r="U26" i="43" s="1"/>
  <c r="J20" i="28"/>
  <c r="J21" i="10"/>
  <c r="J22" i="12"/>
  <c r="J22" i="22"/>
  <c r="J16" i="23"/>
  <c r="J20" i="22"/>
  <c r="J16" i="31"/>
  <c r="J16" i="20"/>
  <c r="J16" i="21"/>
  <c r="J21" i="22"/>
  <c r="J16" i="22"/>
  <c r="L7" i="29"/>
  <c r="L11" i="29" s="1"/>
  <c r="J18" i="29" s="1"/>
  <c r="X8" i="29" s="1"/>
  <c r="U31" i="43" s="1"/>
  <c r="J19" i="27"/>
  <c r="J16" i="14"/>
  <c r="J21" i="25"/>
  <c r="J19" i="24"/>
  <c r="Y28" i="43"/>
  <c r="J21" i="23"/>
  <c r="J20" i="27"/>
  <c r="J19" i="11"/>
  <c r="J15" i="10"/>
  <c r="J19" i="13"/>
  <c r="J22" i="14"/>
  <c r="J22" i="13"/>
  <c r="AE23" i="43"/>
  <c r="J21" i="9"/>
  <c r="J16" i="13"/>
  <c r="J20" i="29"/>
  <c r="J19" i="17"/>
  <c r="J21" i="30"/>
  <c r="J16" i="28"/>
  <c r="J19" i="29"/>
  <c r="J15" i="12"/>
  <c r="AG28" i="43"/>
  <c r="J21" i="13"/>
  <c r="J15" i="18"/>
  <c r="J16" i="17"/>
  <c r="J15" i="30"/>
  <c r="J22" i="31"/>
  <c r="J20" i="19"/>
  <c r="J21" i="24"/>
  <c r="J19" i="25"/>
  <c r="AC32" i="43"/>
  <c r="L7" i="31"/>
  <c r="L11" i="31" s="1"/>
  <c r="J18" i="31" s="1"/>
  <c r="X8" i="31" s="1"/>
  <c r="U22" i="43" s="1"/>
  <c r="L7" i="18"/>
  <c r="L11" i="18" s="1"/>
  <c r="J18" i="18" s="1"/>
  <c r="X8" i="18" s="1"/>
  <c r="U25" i="43" s="1"/>
  <c r="J22" i="24"/>
  <c r="J21" i="14"/>
  <c r="J15" i="26"/>
  <c r="J15" i="29"/>
  <c r="J20" i="3"/>
  <c r="J16" i="16"/>
  <c r="J15" i="8"/>
  <c r="J19" i="9"/>
  <c r="J20" i="11"/>
  <c r="J16" i="32"/>
  <c r="L7" i="12"/>
  <c r="L9" i="12" s="1"/>
  <c r="J14" i="12" s="1"/>
  <c r="U14" i="12" s="1"/>
  <c r="K33" i="43" s="1"/>
  <c r="AC23" i="43"/>
  <c r="AC28" i="43"/>
  <c r="J19" i="16"/>
  <c r="J21" i="29"/>
  <c r="J22" i="21"/>
  <c r="L7" i="20"/>
  <c r="L9" i="20" s="1"/>
  <c r="J14" i="20" s="1"/>
  <c r="U14" i="20" s="1"/>
  <c r="K18" i="43" s="1"/>
  <c r="J20" i="23"/>
  <c r="J19" i="22"/>
  <c r="J16" i="12"/>
  <c r="J19" i="3"/>
  <c r="J22" i="19"/>
  <c r="J16" i="29"/>
  <c r="L7" i="25"/>
  <c r="L10" i="25" s="1"/>
  <c r="J17" i="25" s="1"/>
  <c r="U18" i="25" s="1"/>
  <c r="P21" i="43" s="1"/>
  <c r="L7" i="13"/>
  <c r="L9" i="13" s="1"/>
  <c r="J14" i="13" s="1"/>
  <c r="U14" i="13" s="1"/>
  <c r="K24" i="43" s="1"/>
  <c r="L7" i="8"/>
  <c r="L9" i="8" s="1"/>
  <c r="J14" i="8" s="1"/>
  <c r="U14" i="8" s="1"/>
  <c r="K7" i="43" s="1"/>
  <c r="J21" i="16"/>
  <c r="R11" i="12"/>
  <c r="J21" i="8"/>
  <c r="J20" i="26"/>
  <c r="J21" i="19"/>
  <c r="J21" i="18"/>
  <c r="J16" i="15"/>
  <c r="J19" i="28"/>
  <c r="J19" i="15"/>
  <c r="R11" i="21"/>
  <c r="J20" i="15"/>
  <c r="J21" i="3"/>
  <c r="J15" i="27"/>
  <c r="L7" i="27"/>
  <c r="L11" i="27" s="1"/>
  <c r="J18" i="27" s="1"/>
  <c r="X8" i="27" s="1"/>
  <c r="U10" i="43" s="1"/>
  <c r="J22" i="11"/>
  <c r="J19" i="12"/>
  <c r="J15" i="11"/>
  <c r="J15" i="21"/>
  <c r="J19" i="31"/>
  <c r="J20" i="14"/>
  <c r="J15" i="25"/>
  <c r="J15" i="16"/>
  <c r="J21" i="32"/>
  <c r="J16" i="18"/>
  <c r="J21" i="27"/>
  <c r="J22" i="17"/>
  <c r="J21" i="11"/>
  <c r="L7" i="28"/>
  <c r="L10" i="28" s="1"/>
  <c r="J17" i="28" s="1"/>
  <c r="U18" i="28" s="1"/>
  <c r="P11" i="43" s="1"/>
  <c r="R11" i="15"/>
  <c r="J22" i="32"/>
  <c r="J20" i="9"/>
  <c r="J15" i="32"/>
  <c r="J19" i="26"/>
  <c r="J20" i="16"/>
  <c r="Y67" i="42"/>
  <c r="J16" i="25"/>
  <c r="J19" i="20"/>
  <c r="R11" i="32"/>
  <c r="J22" i="20"/>
  <c r="J22" i="27"/>
  <c r="R11" i="13"/>
  <c r="J22" i="23"/>
  <c r="J22" i="29"/>
  <c r="J15" i="13"/>
  <c r="J15" i="24"/>
  <c r="J16" i="11"/>
  <c r="J20" i="17"/>
  <c r="R11" i="11"/>
  <c r="R11" i="29"/>
  <c r="J21" i="15"/>
  <c r="J20" i="24"/>
  <c r="J22" i="15"/>
  <c r="Y23" i="43"/>
  <c r="L7" i="22"/>
  <c r="L10" i="22" s="1"/>
  <c r="J17" i="22" s="1"/>
  <c r="U18" i="22" s="1"/>
  <c r="P19" i="43" s="1"/>
  <c r="J15" i="14"/>
  <c r="J20" i="8"/>
  <c r="J20" i="13"/>
  <c r="R11" i="26"/>
  <c r="AG23" i="43"/>
  <c r="J22" i="28"/>
  <c r="J15" i="23"/>
  <c r="J15" i="9"/>
  <c r="J19" i="23"/>
  <c r="J20" i="12"/>
  <c r="R11" i="28"/>
  <c r="I67" i="42"/>
  <c r="J22" i="9"/>
  <c r="J20" i="20"/>
  <c r="J20" i="21"/>
  <c r="J16" i="26"/>
  <c r="J20" i="31"/>
  <c r="J19" i="14"/>
  <c r="J15" i="28"/>
  <c r="V67" i="42"/>
  <c r="J16" i="10"/>
  <c r="J21" i="26"/>
  <c r="Q67" i="42"/>
  <c r="J67" i="42"/>
  <c r="J20" i="30"/>
  <c r="L7" i="19"/>
  <c r="L11" i="19" s="1"/>
  <c r="J18" i="19" s="1"/>
  <c r="X8" i="19" s="1"/>
  <c r="U9" i="43" s="1"/>
  <c r="R11" i="20"/>
  <c r="J15" i="20"/>
  <c r="J21" i="31"/>
  <c r="R11" i="31"/>
  <c r="R11" i="23"/>
  <c r="R11" i="14"/>
  <c r="AA67" i="42"/>
  <c r="L7" i="14"/>
  <c r="L11" i="14" s="1"/>
  <c r="J18" i="14" s="1"/>
  <c r="X8" i="14" s="1"/>
  <c r="U34" i="43" s="1"/>
  <c r="J20" i="25"/>
  <c r="L7" i="23"/>
  <c r="L11" i="23" s="1"/>
  <c r="J18" i="23" s="1"/>
  <c r="X8" i="23" s="1"/>
  <c r="U20" i="43" s="1"/>
  <c r="R11" i="27"/>
  <c r="J15" i="31"/>
  <c r="S67" i="42"/>
  <c r="J16" i="27"/>
  <c r="J20" i="7"/>
  <c r="J21" i="28"/>
  <c r="J21" i="12"/>
  <c r="L7" i="17"/>
  <c r="L11" i="17" s="1"/>
  <c r="J18" i="17" s="1"/>
  <c r="X8" i="17" s="1"/>
  <c r="U36" i="43" s="1"/>
  <c r="J21" i="17"/>
  <c r="W67" i="42"/>
  <c r="J22" i="18"/>
  <c r="L7" i="9"/>
  <c r="L12" i="9" s="1"/>
  <c r="J23" i="9" s="1"/>
  <c r="U8" i="9" s="1"/>
  <c r="D8" i="43" s="1"/>
  <c r="J15" i="3"/>
  <c r="J19" i="10"/>
  <c r="J22" i="30"/>
  <c r="L7" i="11"/>
  <c r="L9" i="11" s="1"/>
  <c r="J14" i="11" s="1"/>
  <c r="U14" i="11" s="1"/>
  <c r="K16" i="43" s="1"/>
  <c r="L7" i="30"/>
  <c r="L10" i="30" s="1"/>
  <c r="J17" i="30" s="1"/>
  <c r="U18" i="30" s="1"/>
  <c r="P27" i="43" s="1"/>
  <c r="L7" i="16"/>
  <c r="L10" i="16" s="1"/>
  <c r="J17" i="16" s="1"/>
  <c r="U18" i="16" s="1"/>
  <c r="P35" i="43" s="1"/>
  <c r="J21" i="7"/>
  <c r="J15" i="17"/>
  <c r="J15" i="22"/>
  <c r="H67" i="42"/>
  <c r="L7" i="32"/>
  <c r="L10" i="32" s="1"/>
  <c r="J17" i="32" s="1"/>
  <c r="U18" i="32" s="1"/>
  <c r="P12" i="43" s="1"/>
  <c r="M67" i="42"/>
  <c r="J15" i="19"/>
  <c r="R11" i="3"/>
  <c r="AG13" i="43"/>
  <c r="L7" i="10"/>
  <c r="L9" i="10" s="1"/>
  <c r="J14" i="10" s="1"/>
  <c r="U14" i="10" s="1"/>
  <c r="K15" i="43" s="1"/>
  <c r="AD57" i="42"/>
  <c r="J20" i="10"/>
  <c r="AB67" i="42"/>
  <c r="G67" i="42"/>
  <c r="T67" i="42"/>
  <c r="J22" i="3"/>
  <c r="R11" i="24"/>
  <c r="AD65" i="42"/>
  <c r="J19" i="18"/>
  <c r="AD61" i="42"/>
  <c r="L7" i="15"/>
  <c r="L9" i="15" s="1"/>
  <c r="J14" i="15" s="1"/>
  <c r="U14" i="15" s="1"/>
  <c r="K17" i="43" s="1"/>
  <c r="J15" i="7"/>
  <c r="R11" i="18"/>
  <c r="R11" i="30"/>
  <c r="AD62" i="42"/>
  <c r="J16" i="24"/>
  <c r="Y32" i="43"/>
  <c r="N67" i="42"/>
  <c r="J19" i="30"/>
  <c r="R11" i="22"/>
  <c r="R11" i="25"/>
  <c r="R11" i="16"/>
  <c r="R11" i="17"/>
  <c r="AD60" i="42"/>
  <c r="C67" i="42"/>
  <c r="R67" i="42"/>
  <c r="AD59" i="42"/>
  <c r="AD64" i="42"/>
  <c r="U67" i="42"/>
  <c r="AD63" i="42"/>
  <c r="J22" i="25"/>
  <c r="B67" i="42"/>
  <c r="J16" i="3"/>
  <c r="Y13" i="43"/>
  <c r="R11" i="9"/>
  <c r="O67" i="42"/>
  <c r="J16" i="9"/>
  <c r="F67" i="42"/>
  <c r="J22" i="10"/>
  <c r="Z67" i="42"/>
  <c r="AD56" i="42"/>
  <c r="R11" i="10"/>
  <c r="E67" i="42"/>
  <c r="R11" i="19"/>
  <c r="P67" i="42"/>
  <c r="X67" i="42"/>
  <c r="AC13" i="43"/>
  <c r="AD58" i="42"/>
  <c r="J22" i="16"/>
  <c r="J16" i="19"/>
  <c r="L67" i="42"/>
  <c r="D67" i="42"/>
  <c r="K67" i="42"/>
  <c r="AG32" i="43"/>
  <c r="I4" i="39"/>
  <c r="L58" i="34"/>
  <c r="I65" i="16" s="1"/>
  <c r="X61" i="16" s="1"/>
  <c r="AA35" i="39" s="1"/>
  <c r="D58" i="34"/>
  <c r="I65" i="8" s="1"/>
  <c r="X61" i="8" s="1"/>
  <c r="AA7" i="39" s="1"/>
  <c r="M58" i="34"/>
  <c r="I65" i="17" s="1"/>
  <c r="X61" i="17" s="1"/>
  <c r="AA36" i="39" s="1"/>
  <c r="B64" i="34"/>
  <c r="I71" i="3" s="1"/>
  <c r="X63" i="3" s="1"/>
  <c r="AC6" i="39" s="1"/>
  <c r="V64" i="34"/>
  <c r="I71" i="26" s="1"/>
  <c r="X63" i="26" s="1"/>
  <c r="AC30" i="39" s="1"/>
  <c r="E62" i="34"/>
  <c r="I69" i="9" s="1"/>
  <c r="X66" i="9" s="1"/>
  <c r="AG8" i="39" s="1"/>
  <c r="L56" i="34"/>
  <c r="H57" i="34"/>
  <c r="I64" i="12" s="1"/>
  <c r="X60" i="12" s="1"/>
  <c r="Y33" i="39" s="1"/>
  <c r="U61" i="34"/>
  <c r="I68" i="25" s="1"/>
  <c r="X64" i="25" s="1"/>
  <c r="AE21" i="39" s="1"/>
  <c r="D60" i="34"/>
  <c r="I67" i="8" s="1"/>
  <c r="G62" i="34"/>
  <c r="I69" i="11" s="1"/>
  <c r="X66" i="11" s="1"/>
  <c r="AG16" i="39" s="1"/>
  <c r="F60" i="34"/>
  <c r="I67" i="10" s="1"/>
  <c r="U57" i="34"/>
  <c r="I64" i="25" s="1"/>
  <c r="X60" i="25" s="1"/>
  <c r="Y21" i="39" s="1"/>
  <c r="D63" i="34"/>
  <c r="I70" i="8" s="1"/>
  <c r="X67" i="8" s="1"/>
  <c r="AI7" i="39" s="1"/>
  <c r="I56" i="34"/>
  <c r="I63" i="13" s="1"/>
  <c r="H63" i="34"/>
  <c r="I70" i="12" s="1"/>
  <c r="X67" i="12" s="1"/>
  <c r="AI33" i="39" s="1"/>
  <c r="N62" i="34"/>
  <c r="I69" i="18" s="1"/>
  <c r="X66" i="18" s="1"/>
  <c r="AG25" i="39" s="1"/>
  <c r="K58" i="34"/>
  <c r="I65" i="15" s="1"/>
  <c r="X61" i="15" s="1"/>
  <c r="AA17" i="39" s="1"/>
  <c r="AA58" i="34"/>
  <c r="I65" i="31" s="1"/>
  <c r="X61" i="31" s="1"/>
  <c r="AA22" i="39" s="1"/>
  <c r="S58" i="34"/>
  <c r="I65" i="23" s="1"/>
  <c r="X61" i="23" s="1"/>
  <c r="AA20" i="39" s="1"/>
  <c r="T64" i="34"/>
  <c r="I71" i="24" s="1"/>
  <c r="X63" i="24" s="1"/>
  <c r="AC26" i="39" s="1"/>
  <c r="Q64" i="34"/>
  <c r="I71" i="21" s="1"/>
  <c r="X63" i="21" s="1"/>
  <c r="AC29" i="39" s="1"/>
  <c r="O58" i="34"/>
  <c r="I65" i="19" s="1"/>
  <c r="X61" i="19" s="1"/>
  <c r="AA9" i="39" s="1"/>
  <c r="AB64" i="34"/>
  <c r="I71" i="32" s="1"/>
  <c r="X63" i="32" s="1"/>
  <c r="AC12" i="39" s="1"/>
  <c r="Y58" i="34"/>
  <c r="I65" i="29" s="1"/>
  <c r="X61" i="29" s="1"/>
  <c r="AA31" i="39" s="1"/>
  <c r="AB56" i="34"/>
  <c r="I63" i="32" s="1"/>
  <c r="AA60" i="34"/>
  <c r="I67" i="31" s="1"/>
  <c r="AB59" i="34"/>
  <c r="I66" i="32" s="1"/>
  <c r="Z56" i="34"/>
  <c r="I63" i="30" s="1"/>
  <c r="Y60" i="34"/>
  <c r="I67" i="29" s="1"/>
  <c r="Z59" i="34"/>
  <c r="I66" i="30" s="1"/>
  <c r="Z64" i="34"/>
  <c r="I71" i="30" s="1"/>
  <c r="X63" i="30" s="1"/>
  <c r="AC27" i="39" s="1"/>
  <c r="U62" i="34"/>
  <c r="I69" i="25" s="1"/>
  <c r="X66" i="25" s="1"/>
  <c r="AG21" i="39" s="1"/>
  <c r="R58" i="34"/>
  <c r="I65" i="22" s="1"/>
  <c r="X61" i="22" s="1"/>
  <c r="AA19" i="39" s="1"/>
  <c r="O62" i="34"/>
  <c r="I69" i="19" s="1"/>
  <c r="X66" i="19" s="1"/>
  <c r="AG9" i="39" s="1"/>
  <c r="Y65" i="34"/>
  <c r="I72" i="29" s="1"/>
  <c r="V57" i="34"/>
  <c r="I64" i="26" s="1"/>
  <c r="X60" i="26" s="1"/>
  <c r="Y30" i="39" s="1"/>
  <c r="S61" i="34"/>
  <c r="I68" i="23" s="1"/>
  <c r="X64" i="23" s="1"/>
  <c r="AE20" i="39" s="1"/>
  <c r="P57" i="34"/>
  <c r="I64" i="20" s="1"/>
  <c r="X60" i="20" s="1"/>
  <c r="Y18" i="39" s="1"/>
  <c r="N64" i="34"/>
  <c r="I71" i="18" s="1"/>
  <c r="X63" i="18" s="1"/>
  <c r="AC25" i="39" s="1"/>
  <c r="J62" i="34"/>
  <c r="I69" i="14" s="1"/>
  <c r="X66" i="14" s="1"/>
  <c r="AG34" i="39" s="1"/>
  <c r="U59" i="34"/>
  <c r="I66" i="25" s="1"/>
  <c r="R59" i="34"/>
  <c r="I66" i="22" s="1"/>
  <c r="M59" i="34"/>
  <c r="I66" i="17" s="1"/>
  <c r="K65" i="34"/>
  <c r="I72" i="15" s="1"/>
  <c r="V58" i="34"/>
  <c r="I65" i="26" s="1"/>
  <c r="X61" i="26" s="1"/>
  <c r="AA30" i="39" s="1"/>
  <c r="S62" i="34"/>
  <c r="I69" i="23" s="1"/>
  <c r="X66" i="23" s="1"/>
  <c r="AG20" i="39" s="1"/>
  <c r="Q65" i="34"/>
  <c r="I72" i="21" s="1"/>
  <c r="N57" i="34"/>
  <c r="I64" i="18" s="1"/>
  <c r="X60" i="18" s="1"/>
  <c r="Y25" i="39" s="1"/>
  <c r="L64" i="34"/>
  <c r="I71" i="16" s="1"/>
  <c r="X63" i="16" s="1"/>
  <c r="AC35" i="39" s="1"/>
  <c r="W57" i="34"/>
  <c r="I64" i="27" s="1"/>
  <c r="X60" i="27" s="1"/>
  <c r="Y10" i="39" s="1"/>
  <c r="U64" i="34"/>
  <c r="I71" i="25" s="1"/>
  <c r="X63" i="25" s="1"/>
  <c r="AC21" i="39" s="1"/>
  <c r="R60" i="34"/>
  <c r="I67" i="22" s="1"/>
  <c r="M60" i="34"/>
  <c r="I67" i="17" s="1"/>
  <c r="K62" i="34"/>
  <c r="I69" i="15" s="1"/>
  <c r="X66" i="15" s="1"/>
  <c r="AG17" i="39" s="1"/>
  <c r="X64" i="34"/>
  <c r="I71" i="28" s="1"/>
  <c r="X63" i="28" s="1"/>
  <c r="AC11" i="39" s="1"/>
  <c r="S63" i="34"/>
  <c r="I70" i="23" s="1"/>
  <c r="X67" i="23" s="1"/>
  <c r="AI20" i="39" s="1"/>
  <c r="P59" i="34"/>
  <c r="I66" i="20" s="1"/>
  <c r="N56" i="34"/>
  <c r="I63" i="18" s="1"/>
  <c r="X65" i="34"/>
  <c r="I72" i="28" s="1"/>
  <c r="J64" i="34"/>
  <c r="I71" i="14" s="1"/>
  <c r="X63" i="14" s="1"/>
  <c r="AC34" i="39" s="1"/>
  <c r="P60" i="34"/>
  <c r="I67" i="20" s="1"/>
  <c r="I58" i="34"/>
  <c r="I65" i="13" s="1"/>
  <c r="X61" i="13" s="1"/>
  <c r="AA24" i="39" s="1"/>
  <c r="G61" i="34"/>
  <c r="I68" i="11" s="1"/>
  <c r="X64" i="11" s="1"/>
  <c r="AE16" i="39" s="1"/>
  <c r="E64" i="34"/>
  <c r="I71" i="9" s="1"/>
  <c r="X63" i="9" s="1"/>
  <c r="AC8" i="39" s="1"/>
  <c r="C61" i="34"/>
  <c r="I68" i="7" s="1"/>
  <c r="X64" i="7" s="1"/>
  <c r="AE14" i="39" s="1"/>
  <c r="B65" i="34"/>
  <c r="I72" i="3" s="1"/>
  <c r="O61" i="34"/>
  <c r="I68" i="19" s="1"/>
  <c r="X64" i="19" s="1"/>
  <c r="AE9" i="39" s="1"/>
  <c r="H60" i="34"/>
  <c r="I67" i="12" s="1"/>
  <c r="P64" i="34"/>
  <c r="I71" i="20" s="1"/>
  <c r="X63" i="20" s="1"/>
  <c r="AC18" i="39" s="1"/>
  <c r="I63" i="34"/>
  <c r="I70" i="13" s="1"/>
  <c r="X67" i="13" s="1"/>
  <c r="AI24" i="39" s="1"/>
  <c r="F57" i="34"/>
  <c r="I64" i="10" s="1"/>
  <c r="X60" i="10" s="1"/>
  <c r="Y15" i="39" s="1"/>
  <c r="E65" i="34"/>
  <c r="I72" i="9" s="1"/>
  <c r="C58" i="34"/>
  <c r="I65" i="7" s="1"/>
  <c r="X61" i="7" s="1"/>
  <c r="AA14" i="39" s="1"/>
  <c r="B56" i="34"/>
  <c r="R57" i="34"/>
  <c r="I64" i="22" s="1"/>
  <c r="X60" i="22" s="1"/>
  <c r="Y19" i="39" s="1"/>
  <c r="J60" i="34"/>
  <c r="I67" i="14" s="1"/>
  <c r="H65" i="34"/>
  <c r="I72" i="12" s="1"/>
  <c r="S60" i="34"/>
  <c r="I67" i="23" s="1"/>
  <c r="I64" i="34"/>
  <c r="I71" i="13" s="1"/>
  <c r="X63" i="13" s="1"/>
  <c r="AC24" i="39" s="1"/>
  <c r="F64" i="34"/>
  <c r="I71" i="10" s="1"/>
  <c r="X63" i="10" s="1"/>
  <c r="AC15" i="39" s="1"/>
  <c r="D61" i="34"/>
  <c r="I68" i="8" s="1"/>
  <c r="X64" i="8" s="1"/>
  <c r="AE7" i="39" s="1"/>
  <c r="B59" i="34"/>
  <c r="Q63" i="34"/>
  <c r="I70" i="21" s="1"/>
  <c r="X67" i="21" s="1"/>
  <c r="AI29" i="39" s="1"/>
  <c r="D56" i="34"/>
  <c r="I63" i="8" s="1"/>
  <c r="H62" i="34"/>
  <c r="I69" i="12" s="1"/>
  <c r="X66" i="12" s="1"/>
  <c r="AG33" i="39" s="1"/>
  <c r="W56" i="34"/>
  <c r="I63" i="27" s="1"/>
  <c r="H56" i="34"/>
  <c r="I63" i="12" s="1"/>
  <c r="I65" i="34"/>
  <c r="I72" i="13" s="1"/>
  <c r="X61" i="34"/>
  <c r="I68" i="28" s="1"/>
  <c r="X64" i="28" s="1"/>
  <c r="AE11" i="39" s="1"/>
  <c r="C56" i="34"/>
  <c r="AA59" i="34"/>
  <c r="I66" i="31" s="1"/>
  <c r="Z61" i="34"/>
  <c r="I68" i="30" s="1"/>
  <c r="X64" i="30" s="1"/>
  <c r="AE27" i="39" s="1"/>
  <c r="Z58" i="34"/>
  <c r="I65" i="30" s="1"/>
  <c r="X61" i="30" s="1"/>
  <c r="AA27" i="39" s="1"/>
  <c r="AB60" i="34"/>
  <c r="I67" i="32" s="1"/>
  <c r="W63" i="34"/>
  <c r="I70" i="27" s="1"/>
  <c r="X67" i="27" s="1"/>
  <c r="AI10" i="39" s="1"/>
  <c r="R56" i="34"/>
  <c r="I63" i="22" s="1"/>
  <c r="X62" i="34"/>
  <c r="I69" i="28" s="1"/>
  <c r="X66" i="28" s="1"/>
  <c r="AG11" i="39" s="1"/>
  <c r="Q60" i="34"/>
  <c r="I67" i="21" s="1"/>
  <c r="L63" i="34"/>
  <c r="I70" i="16" s="1"/>
  <c r="X67" i="16" s="1"/>
  <c r="AI35" i="39" s="1"/>
  <c r="T60" i="34"/>
  <c r="I67" i="24" s="1"/>
  <c r="K57" i="34"/>
  <c r="I64" i="15" s="1"/>
  <c r="X60" i="15" s="1"/>
  <c r="Y17" i="39" s="1"/>
  <c r="V56" i="34"/>
  <c r="I63" i="26" s="1"/>
  <c r="P62" i="34"/>
  <c r="I69" i="20" s="1"/>
  <c r="X66" i="20" s="1"/>
  <c r="AG18" i="39" s="1"/>
  <c r="J63" i="34"/>
  <c r="I70" i="14" s="1"/>
  <c r="X67" i="14" s="1"/>
  <c r="AI34" i="39" s="1"/>
  <c r="T61" i="34"/>
  <c r="I68" i="24" s="1"/>
  <c r="X64" i="24" s="1"/>
  <c r="AE26" i="39" s="1"/>
  <c r="M63" i="34"/>
  <c r="I70" i="17" s="1"/>
  <c r="X67" i="17" s="1"/>
  <c r="AI36" i="39" s="1"/>
  <c r="V63" i="34"/>
  <c r="I70" i="26" s="1"/>
  <c r="X67" i="26" s="1"/>
  <c r="AI30" i="39" s="1"/>
  <c r="N58" i="34"/>
  <c r="I65" i="18" s="1"/>
  <c r="X61" i="18" s="1"/>
  <c r="AA25" i="39" s="1"/>
  <c r="Y62" i="34"/>
  <c r="I69" i="29" s="1"/>
  <c r="X66" i="29" s="1"/>
  <c r="AG31" i="39" s="1"/>
  <c r="Z57" i="34"/>
  <c r="I64" i="30" s="1"/>
  <c r="X60" i="30" s="1"/>
  <c r="Y27" i="39" s="1"/>
  <c r="AA64" i="34"/>
  <c r="I71" i="31" s="1"/>
  <c r="X63" i="31" s="1"/>
  <c r="AC22" i="39" s="1"/>
  <c r="AB63" i="34"/>
  <c r="I70" i="32" s="1"/>
  <c r="X67" i="32" s="1"/>
  <c r="AI12" i="39" s="1"/>
  <c r="AA57" i="34"/>
  <c r="I64" i="31" s="1"/>
  <c r="X60" i="31" s="1"/>
  <c r="Y22" i="39" s="1"/>
  <c r="Y64" i="34"/>
  <c r="I71" i="29" s="1"/>
  <c r="X63" i="29" s="1"/>
  <c r="AC31" i="39" s="1"/>
  <c r="Z63" i="34"/>
  <c r="I70" i="30" s="1"/>
  <c r="X67" i="30" s="1"/>
  <c r="AI27" i="39" s="1"/>
  <c r="W59" i="34"/>
  <c r="I66" i="27" s="1"/>
  <c r="U56" i="34"/>
  <c r="I63" i="25" s="1"/>
  <c r="R62" i="34"/>
  <c r="I69" i="22" s="1"/>
  <c r="X66" i="22" s="1"/>
  <c r="AG19" i="39" s="1"/>
  <c r="O56" i="34"/>
  <c r="I63" i="19" s="1"/>
  <c r="X58" i="34"/>
  <c r="I65" i="28" s="1"/>
  <c r="X61" i="28" s="1"/>
  <c r="AA11" i="39" s="1"/>
  <c r="V61" i="34"/>
  <c r="I68" i="26" s="1"/>
  <c r="X64" i="26" s="1"/>
  <c r="AE30" i="39" s="1"/>
  <c r="S65" i="34"/>
  <c r="I72" i="23" s="1"/>
  <c r="P61" i="34"/>
  <c r="I68" i="20" s="1"/>
  <c r="X64" i="20" s="1"/>
  <c r="AE18" i="39" s="1"/>
  <c r="L59" i="34"/>
  <c r="I66" i="16" s="1"/>
  <c r="AB65" i="34"/>
  <c r="I72" i="32" s="1"/>
  <c r="U63" i="34"/>
  <c r="I70" i="25" s="1"/>
  <c r="X67" i="25" s="1"/>
  <c r="AI21" i="39" s="1"/>
  <c r="R63" i="34"/>
  <c r="I70" i="22" s="1"/>
  <c r="X67" i="22" s="1"/>
  <c r="AI19" i="39" s="1"/>
  <c r="M62" i="34"/>
  <c r="I69" i="17" s="1"/>
  <c r="X66" i="17" s="1"/>
  <c r="AG36" i="39" s="1"/>
  <c r="Y56" i="34"/>
  <c r="I63" i="29" s="1"/>
  <c r="V62" i="34"/>
  <c r="I69" i="26" s="1"/>
  <c r="X66" i="26" s="1"/>
  <c r="AG30" i="39" s="1"/>
  <c r="S56" i="34"/>
  <c r="I63" i="23" s="1"/>
  <c r="P58" i="34"/>
  <c r="I65" i="20" s="1"/>
  <c r="X61" i="20" s="1"/>
  <c r="AA18" i="39" s="1"/>
  <c r="N61" i="34"/>
  <c r="I68" i="18" s="1"/>
  <c r="X64" i="18" s="1"/>
  <c r="AE25" i="39" s="1"/>
  <c r="J59" i="34"/>
  <c r="I66" i="14" s="1"/>
  <c r="W61" i="34"/>
  <c r="I68" i="27" s="1"/>
  <c r="X64" i="27" s="1"/>
  <c r="AE10" i="39" s="1"/>
  <c r="T57" i="34"/>
  <c r="I64" i="24" s="1"/>
  <c r="X60" i="24" s="1"/>
  <c r="Y26" i="39" s="1"/>
  <c r="R64" i="34"/>
  <c r="I71" i="22" s="1"/>
  <c r="X63" i="22" s="1"/>
  <c r="AC19" i="39" s="1"/>
  <c r="M57" i="34"/>
  <c r="I64" i="17" s="1"/>
  <c r="X60" i="17" s="1"/>
  <c r="Y36" i="39" s="1"/>
  <c r="K56" i="34"/>
  <c r="I63" i="15" s="1"/>
  <c r="V59" i="34"/>
  <c r="I66" i="26" s="1"/>
  <c r="Q58" i="34"/>
  <c r="I65" i="21" s="1"/>
  <c r="X61" i="21" s="1"/>
  <c r="AA29" i="39" s="1"/>
  <c r="P63" i="34"/>
  <c r="I70" i="20" s="1"/>
  <c r="X67" i="20" s="1"/>
  <c r="AI18" i="39" s="1"/>
  <c r="L57" i="34"/>
  <c r="I64" i="16" s="1"/>
  <c r="X60" i="16" s="1"/>
  <c r="Y35" i="39" s="1"/>
  <c r="R65" i="34"/>
  <c r="I72" i="22" s="1"/>
  <c r="H59" i="34"/>
  <c r="I66" i="12" s="1"/>
  <c r="N59" i="34"/>
  <c r="I66" i="18" s="1"/>
  <c r="I62" i="34"/>
  <c r="I69" i="13" s="1"/>
  <c r="X66" i="13" s="1"/>
  <c r="AG24" i="39" s="1"/>
  <c r="G65" i="34"/>
  <c r="I72" i="11" s="1"/>
  <c r="D59" i="34"/>
  <c r="I66" i="8" s="1"/>
  <c r="C65" i="34"/>
  <c r="I72" i="7" s="1"/>
  <c r="AA62" i="34"/>
  <c r="I69" i="31" s="1"/>
  <c r="X66" i="31" s="1"/>
  <c r="AG22" i="39" s="1"/>
  <c r="K60" i="34"/>
  <c r="I67" i="15" s="1"/>
  <c r="H64" i="34"/>
  <c r="I71" i="12" s="1"/>
  <c r="X63" i="12" s="1"/>
  <c r="AC33" i="39" s="1"/>
  <c r="N63" i="34"/>
  <c r="I70" i="18" s="1"/>
  <c r="X67" i="18" s="1"/>
  <c r="AI25" i="39" s="1"/>
  <c r="G58" i="34"/>
  <c r="I65" i="11" s="1"/>
  <c r="X61" i="11" s="1"/>
  <c r="AA16" i="39" s="1"/>
  <c r="F63" i="34"/>
  <c r="I70" i="10" s="1"/>
  <c r="X67" i="10" s="1"/>
  <c r="AI15" i="39" s="1"/>
  <c r="E56" i="34"/>
  <c r="I63" i="9" s="1"/>
  <c r="C62" i="34"/>
  <c r="I69" i="7" s="1"/>
  <c r="X66" i="7" s="1"/>
  <c r="AG14" i="39" s="1"/>
  <c r="X57" i="34"/>
  <c r="I64" i="28" s="1"/>
  <c r="X60" i="28" s="1"/>
  <c r="Y11" i="39" s="1"/>
  <c r="O65" i="34"/>
  <c r="I72" i="19" s="1"/>
  <c r="J56" i="34"/>
  <c r="I63" i="14" s="1"/>
  <c r="F65" i="34"/>
  <c r="I72" i="10" s="1"/>
  <c r="Q59" i="34"/>
  <c r="I66" i="21" s="1"/>
  <c r="G59" i="34"/>
  <c r="I66" i="11" s="1"/>
  <c r="E58" i="34"/>
  <c r="I65" i="9" s="1"/>
  <c r="X61" i="9" s="1"/>
  <c r="AA8" i="39" s="1"/>
  <c r="D65" i="34"/>
  <c r="I72" i="8" s="1"/>
  <c r="B63" i="34"/>
  <c r="I70" i="3" s="1"/>
  <c r="X67" i="3" s="1"/>
  <c r="AI6" i="39" s="1"/>
  <c r="K64" i="34"/>
  <c r="I71" i="15" s="1"/>
  <c r="X63" i="15" s="1"/>
  <c r="AC17" i="39" s="1"/>
  <c r="C60" i="34"/>
  <c r="I67" i="7" s="1"/>
  <c r="I61" i="34"/>
  <c r="I68" i="13" s="1"/>
  <c r="X64" i="13" s="1"/>
  <c r="AE24" i="39" s="1"/>
  <c r="R61" i="34"/>
  <c r="I68" i="22" s="1"/>
  <c r="X64" i="22" s="1"/>
  <c r="AE19" i="39" s="1"/>
  <c r="E59" i="34"/>
  <c r="I66" i="9" s="1"/>
  <c r="G64" i="34"/>
  <c r="I71" i="11" s="1"/>
  <c r="X63" i="11" s="1"/>
  <c r="AC16" i="39" s="1"/>
  <c r="F56" i="34"/>
  <c r="I63" i="10" s="1"/>
  <c r="D62" i="34"/>
  <c r="I69" i="8" s="1"/>
  <c r="X66" i="8" s="1"/>
  <c r="AG7" i="39" s="1"/>
  <c r="AB58" i="34"/>
  <c r="I65" i="32" s="1"/>
  <c r="X61" i="32" s="1"/>
  <c r="AA12" i="39" s="1"/>
  <c r="Y59" i="34"/>
  <c r="I66" i="29" s="1"/>
  <c r="AA61" i="34"/>
  <c r="I68" i="31" s="1"/>
  <c r="X64" i="31" s="1"/>
  <c r="AE22" i="39" s="1"/>
  <c r="AB61" i="34"/>
  <c r="I68" i="32" s="1"/>
  <c r="X64" i="32" s="1"/>
  <c r="AE12" i="39" s="1"/>
  <c r="T59" i="34"/>
  <c r="I66" i="24" s="1"/>
  <c r="M56" i="34"/>
  <c r="I63" i="17" s="1"/>
  <c r="V65" i="34"/>
  <c r="I72" i="26" s="1"/>
  <c r="P65" i="34"/>
  <c r="I72" i="20" s="1"/>
  <c r="W60" i="34"/>
  <c r="I67" i="27" s="1"/>
  <c r="O59" i="34"/>
  <c r="I66" i="19" s="1"/>
  <c r="X59" i="34"/>
  <c r="I66" i="28" s="1"/>
  <c r="Q57" i="34"/>
  <c r="I64" i="21" s="1"/>
  <c r="X60" i="21" s="1"/>
  <c r="Y29" i="39" s="1"/>
  <c r="N65" i="34"/>
  <c r="I72" i="18" s="1"/>
  <c r="W65" i="34"/>
  <c r="I72" i="27" s="1"/>
  <c r="O60" i="34"/>
  <c r="I67" i="19" s="1"/>
  <c r="Y57" i="34"/>
  <c r="I64" i="29" s="1"/>
  <c r="X60" i="29" s="1"/>
  <c r="Y31" i="39" s="1"/>
  <c r="Q62" i="34"/>
  <c r="I69" i="21" s="1"/>
  <c r="X66" i="21" s="1"/>
  <c r="AG29" i="39" s="1"/>
  <c r="L61" i="34"/>
  <c r="I68" i="16" s="1"/>
  <c r="X64" i="16" s="1"/>
  <c r="AE35" i="39" s="1"/>
  <c r="AI13" i="43"/>
  <c r="AI32" i="43"/>
  <c r="X42" i="19"/>
  <c r="AI9" i="41" s="1"/>
  <c r="L7" i="26"/>
  <c r="L10" i="26" s="1"/>
  <c r="J17" i="26" s="1"/>
  <c r="U18" i="26" s="1"/>
  <c r="P30" i="43" s="1"/>
  <c r="AI28" i="43"/>
  <c r="AE28" i="43"/>
  <c r="Y5" i="43"/>
  <c r="AE32" i="43"/>
  <c r="AI23" i="43"/>
  <c r="AG5" i="43"/>
  <c r="AA32" i="43"/>
  <c r="AI5" i="43"/>
  <c r="AA28" i="43"/>
  <c r="AA23" i="43"/>
  <c r="L7" i="21"/>
  <c r="L7" i="7"/>
  <c r="L9" i="7" s="1"/>
  <c r="J14" i="7" s="1"/>
  <c r="U14" i="7" s="1"/>
  <c r="K14" i="43" s="1"/>
  <c r="J19" i="7"/>
  <c r="AE13" i="43"/>
  <c r="J16" i="7"/>
  <c r="AA13" i="43"/>
  <c r="J19" i="8"/>
  <c r="AE5" i="43"/>
  <c r="J16" i="8"/>
  <c r="AA5" i="43"/>
  <c r="J22" i="7"/>
  <c r="R11" i="7"/>
  <c r="R11" i="8"/>
  <c r="AC5" i="43"/>
  <c r="J22" i="8"/>
  <c r="J4" i="40"/>
  <c r="I5" i="40"/>
  <c r="I28" i="40"/>
  <c r="J4" i="41"/>
  <c r="I32" i="40"/>
  <c r="I13" i="40"/>
  <c r="J114" i="32"/>
  <c r="C62" i="35"/>
  <c r="I94" i="7" s="1"/>
  <c r="X91" i="7" s="1"/>
  <c r="AG14" i="40" s="1"/>
  <c r="C59" i="35"/>
  <c r="I91" i="7" s="1"/>
  <c r="C61" i="35"/>
  <c r="I93" i="7" s="1"/>
  <c r="X89" i="7" s="1"/>
  <c r="AE14" i="40" s="1"/>
  <c r="C64" i="35"/>
  <c r="I96" i="7" s="1"/>
  <c r="X88" i="7" s="1"/>
  <c r="AC14" i="40" s="1"/>
  <c r="C56" i="35"/>
  <c r="C63" i="35"/>
  <c r="I95" i="7" s="1"/>
  <c r="X92" i="7" s="1"/>
  <c r="AI14" i="40" s="1"/>
  <c r="C65" i="35"/>
  <c r="I97" i="7" s="1"/>
  <c r="X56" i="35"/>
  <c r="C57" i="35"/>
  <c r="I89" i="7" s="1"/>
  <c r="X85" i="7" s="1"/>
  <c r="Y14" i="40" s="1"/>
  <c r="C60" i="35"/>
  <c r="I92" i="7" s="1"/>
  <c r="F60" i="35"/>
  <c r="I92" i="10" s="1"/>
  <c r="F64" i="35"/>
  <c r="I96" i="10" s="1"/>
  <c r="X88" i="10" s="1"/>
  <c r="AC15" i="40" s="1"/>
  <c r="F57" i="35"/>
  <c r="I89" i="10" s="1"/>
  <c r="X85" i="10" s="1"/>
  <c r="Y15" i="40" s="1"/>
  <c r="F61" i="35"/>
  <c r="I93" i="10" s="1"/>
  <c r="X89" i="10" s="1"/>
  <c r="AE15" i="40" s="1"/>
  <c r="F65" i="35"/>
  <c r="I97" i="10" s="1"/>
  <c r="C58" i="35"/>
  <c r="I90" i="7" s="1"/>
  <c r="X86" i="7" s="1"/>
  <c r="AA14" i="40" s="1"/>
  <c r="F58" i="35"/>
  <c r="I90" i="10" s="1"/>
  <c r="X86" i="10" s="1"/>
  <c r="AA15" i="40" s="1"/>
  <c r="F62" i="35"/>
  <c r="I94" i="10" s="1"/>
  <c r="X91" i="10" s="1"/>
  <c r="AG15" i="40" s="1"/>
  <c r="F56" i="35"/>
  <c r="F63" i="35"/>
  <c r="I95" i="10" s="1"/>
  <c r="X92" i="10" s="1"/>
  <c r="AI15" i="40" s="1"/>
  <c r="AA58" i="35"/>
  <c r="I90" i="31" s="1"/>
  <c r="X86" i="31" s="1"/>
  <c r="AA22" i="40" s="1"/>
  <c r="AA62" i="35"/>
  <c r="I94" i="31" s="1"/>
  <c r="X91" i="31" s="1"/>
  <c r="AG22" i="40" s="1"/>
  <c r="AA56" i="35"/>
  <c r="Y57" i="35"/>
  <c r="I89" i="29" s="1"/>
  <c r="X85" i="29" s="1"/>
  <c r="Y31" i="40" s="1"/>
  <c r="Y61" i="35"/>
  <c r="I93" i="29" s="1"/>
  <c r="X89" i="29" s="1"/>
  <c r="AE31" i="40" s="1"/>
  <c r="Y65" i="35"/>
  <c r="I97" i="29" s="1"/>
  <c r="AB57" i="35"/>
  <c r="I89" i="32" s="1"/>
  <c r="X85" i="32" s="1"/>
  <c r="Y12" i="40" s="1"/>
  <c r="AB61" i="35"/>
  <c r="I93" i="32" s="1"/>
  <c r="X89" i="32" s="1"/>
  <c r="AE12" i="40" s="1"/>
  <c r="AB65" i="35"/>
  <c r="I97" i="32" s="1"/>
  <c r="Z60" i="35"/>
  <c r="I92" i="30" s="1"/>
  <c r="Z64" i="35"/>
  <c r="I96" i="30" s="1"/>
  <c r="X88" i="30" s="1"/>
  <c r="AC27" i="40" s="1"/>
  <c r="X59" i="35"/>
  <c r="I91" i="28" s="1"/>
  <c r="X63" i="35"/>
  <c r="I95" i="28" s="1"/>
  <c r="X92" i="28" s="1"/>
  <c r="AI11" i="40" s="1"/>
  <c r="AA59" i="35"/>
  <c r="I91" i="31" s="1"/>
  <c r="AA63" i="35"/>
  <c r="I95" i="31" s="1"/>
  <c r="X92" i="31" s="1"/>
  <c r="AI22" i="40" s="1"/>
  <c r="Y58" i="35"/>
  <c r="I90" i="29" s="1"/>
  <c r="X86" i="29" s="1"/>
  <c r="AA31" i="40" s="1"/>
  <c r="Y62" i="35"/>
  <c r="I94" i="29" s="1"/>
  <c r="X91" i="29" s="1"/>
  <c r="AG31" i="40" s="1"/>
  <c r="Y56" i="35"/>
  <c r="W58" i="35"/>
  <c r="I90" i="27" s="1"/>
  <c r="X86" i="27" s="1"/>
  <c r="AA10" i="40" s="1"/>
  <c r="W62" i="35"/>
  <c r="I94" i="27" s="1"/>
  <c r="X91" i="27" s="1"/>
  <c r="AG10" i="40" s="1"/>
  <c r="W56" i="35"/>
  <c r="AB58" i="35"/>
  <c r="I90" i="32" s="1"/>
  <c r="X86" i="32" s="1"/>
  <c r="AA12" i="40" s="1"/>
  <c r="AB62" i="35"/>
  <c r="I94" i="32" s="1"/>
  <c r="X91" i="32" s="1"/>
  <c r="AG12" i="40" s="1"/>
  <c r="AB56" i="35"/>
  <c r="Z57" i="35"/>
  <c r="I89" i="30" s="1"/>
  <c r="X85" i="30" s="1"/>
  <c r="Y27" i="40" s="1"/>
  <c r="Z61" i="35"/>
  <c r="I93" i="30" s="1"/>
  <c r="X89" i="30" s="1"/>
  <c r="AE27" i="40" s="1"/>
  <c r="Z65" i="35"/>
  <c r="I97" i="30" s="1"/>
  <c r="X60" i="35"/>
  <c r="I92" i="28" s="1"/>
  <c r="X64" i="35"/>
  <c r="I96" i="28" s="1"/>
  <c r="X88" i="28" s="1"/>
  <c r="AC11" i="40" s="1"/>
  <c r="AA60" i="35"/>
  <c r="I92" i="31" s="1"/>
  <c r="AA64" i="35"/>
  <c r="I96" i="31" s="1"/>
  <c r="X88" i="31" s="1"/>
  <c r="AC22" i="40" s="1"/>
  <c r="Y59" i="35"/>
  <c r="I91" i="29" s="1"/>
  <c r="Y63" i="35"/>
  <c r="I95" i="29" s="1"/>
  <c r="X92" i="29" s="1"/>
  <c r="AI31" i="40" s="1"/>
  <c r="W59" i="35"/>
  <c r="I91" i="27" s="1"/>
  <c r="W63" i="35"/>
  <c r="I95" i="27" s="1"/>
  <c r="X92" i="27" s="1"/>
  <c r="AI10" i="40" s="1"/>
  <c r="AB59" i="35"/>
  <c r="I91" i="32" s="1"/>
  <c r="AB63" i="35"/>
  <c r="I95" i="32" s="1"/>
  <c r="X92" i="32" s="1"/>
  <c r="AI12" i="40" s="1"/>
  <c r="Z58" i="35"/>
  <c r="I90" i="30" s="1"/>
  <c r="X86" i="30" s="1"/>
  <c r="AA27" i="40" s="1"/>
  <c r="Z62" i="35"/>
  <c r="I94" i="30" s="1"/>
  <c r="X91" i="30" s="1"/>
  <c r="AG27" i="40" s="1"/>
  <c r="Z56" i="35"/>
  <c r="X57" i="35"/>
  <c r="I89" i="28" s="1"/>
  <c r="X85" i="28" s="1"/>
  <c r="Y11" i="40" s="1"/>
  <c r="X61" i="35"/>
  <c r="I93" i="28" s="1"/>
  <c r="X89" i="28" s="1"/>
  <c r="AE11" i="40" s="1"/>
  <c r="X65" i="35"/>
  <c r="I97" i="28" s="1"/>
  <c r="AB64" i="35"/>
  <c r="I96" i="32" s="1"/>
  <c r="X88" i="32" s="1"/>
  <c r="AC12" i="40" s="1"/>
  <c r="W57" i="35"/>
  <c r="I89" i="27" s="1"/>
  <c r="X85" i="27" s="1"/>
  <c r="Y10" i="40" s="1"/>
  <c r="W65" i="35"/>
  <c r="I97" i="27" s="1"/>
  <c r="V60" i="35"/>
  <c r="I92" i="26" s="1"/>
  <c r="V64" i="35"/>
  <c r="I96" i="26" s="1"/>
  <c r="X88" i="26" s="1"/>
  <c r="AC30" i="40" s="1"/>
  <c r="S60" i="35"/>
  <c r="I92" i="23" s="1"/>
  <c r="S64" i="35"/>
  <c r="I96" i="23" s="1"/>
  <c r="X88" i="23" s="1"/>
  <c r="AC20" i="40" s="1"/>
  <c r="Q57" i="35"/>
  <c r="I89" i="21" s="1"/>
  <c r="X85" i="21" s="1"/>
  <c r="Y29" i="40" s="1"/>
  <c r="Q61" i="35"/>
  <c r="I93" i="21" s="1"/>
  <c r="X89" i="21" s="1"/>
  <c r="AE29" i="40" s="1"/>
  <c r="Q65" i="35"/>
  <c r="I97" i="21" s="1"/>
  <c r="P58" i="35"/>
  <c r="I90" i="20" s="1"/>
  <c r="X86" i="20" s="1"/>
  <c r="AA18" i="40" s="1"/>
  <c r="P62" i="35"/>
  <c r="I94" i="20" s="1"/>
  <c r="X91" i="20" s="1"/>
  <c r="AG18" i="40" s="1"/>
  <c r="P56" i="35"/>
  <c r="Y64" i="35"/>
  <c r="I96" i="29" s="1"/>
  <c r="X88" i="29" s="1"/>
  <c r="AC31" i="40" s="1"/>
  <c r="X62" i="35"/>
  <c r="I94" i="28" s="1"/>
  <c r="X91" i="28" s="1"/>
  <c r="AG11" i="40" s="1"/>
  <c r="U58" i="35"/>
  <c r="I90" i="25" s="1"/>
  <c r="X86" i="25" s="1"/>
  <c r="AA21" i="40" s="1"/>
  <c r="U62" i="35"/>
  <c r="I94" i="25" s="1"/>
  <c r="X91" i="25" s="1"/>
  <c r="AG21" i="40" s="1"/>
  <c r="U56" i="35"/>
  <c r="T59" i="35"/>
  <c r="I91" i="24" s="1"/>
  <c r="T63" i="35"/>
  <c r="I95" i="24" s="1"/>
  <c r="X92" i="24" s="1"/>
  <c r="AI26" i="40" s="1"/>
  <c r="O60" i="35"/>
  <c r="I92" i="19" s="1"/>
  <c r="O64" i="35"/>
  <c r="I96" i="19" s="1"/>
  <c r="X88" i="19" s="1"/>
  <c r="AC9" i="40" s="1"/>
  <c r="W60" i="35"/>
  <c r="I92" i="27" s="1"/>
  <c r="V57" i="35"/>
  <c r="I89" i="26" s="1"/>
  <c r="X85" i="26" s="1"/>
  <c r="Y30" i="40" s="1"/>
  <c r="V61" i="35"/>
  <c r="I93" i="26" s="1"/>
  <c r="X89" i="26" s="1"/>
  <c r="AE30" i="40" s="1"/>
  <c r="V65" i="35"/>
  <c r="I97" i="26" s="1"/>
  <c r="S57" i="35"/>
  <c r="I89" i="23" s="1"/>
  <c r="X85" i="23" s="1"/>
  <c r="Y20" i="40" s="1"/>
  <c r="S61" i="35"/>
  <c r="I93" i="23" s="1"/>
  <c r="X89" i="23" s="1"/>
  <c r="AE20" i="40" s="1"/>
  <c r="S65" i="35"/>
  <c r="I97" i="23" s="1"/>
  <c r="Q58" i="35"/>
  <c r="I90" i="21" s="1"/>
  <c r="X86" i="21" s="1"/>
  <c r="AA29" i="40" s="1"/>
  <c r="Q62" i="35"/>
  <c r="I94" i="21" s="1"/>
  <c r="X91" i="21" s="1"/>
  <c r="AG29" i="40" s="1"/>
  <c r="Q56" i="35"/>
  <c r="P59" i="35"/>
  <c r="I91" i="20" s="1"/>
  <c r="P63" i="35"/>
  <c r="I95" i="20" s="1"/>
  <c r="X92" i="20" s="1"/>
  <c r="AI18" i="40" s="1"/>
  <c r="AA57" i="35"/>
  <c r="I89" i="31" s="1"/>
  <c r="X85" i="31" s="1"/>
  <c r="Y22" i="40" s="1"/>
  <c r="U59" i="35"/>
  <c r="I91" i="25" s="1"/>
  <c r="U63" i="35"/>
  <c r="I95" i="25" s="1"/>
  <c r="X92" i="25" s="1"/>
  <c r="AI21" i="40" s="1"/>
  <c r="T60" i="35"/>
  <c r="I92" i="24" s="1"/>
  <c r="T64" i="35"/>
  <c r="I96" i="24" s="1"/>
  <c r="X88" i="24" s="1"/>
  <c r="AC26" i="40" s="1"/>
  <c r="O57" i="35"/>
  <c r="I89" i="19" s="1"/>
  <c r="X85" i="19" s="1"/>
  <c r="Y9" i="40" s="1"/>
  <c r="O61" i="35"/>
  <c r="I93" i="19" s="1"/>
  <c r="X89" i="19" s="1"/>
  <c r="AE9" i="40" s="1"/>
  <c r="O65" i="35"/>
  <c r="I97" i="19" s="1"/>
  <c r="F59" i="35"/>
  <c r="I91" i="10" s="1"/>
  <c r="Z59" i="35"/>
  <c r="I91" i="30" s="1"/>
  <c r="W61" i="35"/>
  <c r="I93" i="27" s="1"/>
  <c r="X89" i="27" s="1"/>
  <c r="AE10" i="40" s="1"/>
  <c r="V58" i="35"/>
  <c r="I90" i="26" s="1"/>
  <c r="X86" i="26" s="1"/>
  <c r="AA30" i="40" s="1"/>
  <c r="V62" i="35"/>
  <c r="I94" i="26" s="1"/>
  <c r="X91" i="26" s="1"/>
  <c r="AG30" i="40" s="1"/>
  <c r="V56" i="35"/>
  <c r="S58" i="35"/>
  <c r="I90" i="23" s="1"/>
  <c r="X86" i="23" s="1"/>
  <c r="AA20" i="40" s="1"/>
  <c r="S62" i="35"/>
  <c r="I94" i="23" s="1"/>
  <c r="X91" i="23" s="1"/>
  <c r="AG20" i="40" s="1"/>
  <c r="S56" i="35"/>
  <c r="Q59" i="35"/>
  <c r="I91" i="21" s="1"/>
  <c r="Q63" i="35"/>
  <c r="I95" i="21" s="1"/>
  <c r="X92" i="21" s="1"/>
  <c r="AI29" i="40" s="1"/>
  <c r="P60" i="35"/>
  <c r="I92" i="20" s="1"/>
  <c r="P64" i="35"/>
  <c r="I96" i="20" s="1"/>
  <c r="X88" i="20" s="1"/>
  <c r="AC18" i="40" s="1"/>
  <c r="AA61" i="35"/>
  <c r="I93" i="31" s="1"/>
  <c r="X89" i="31" s="1"/>
  <c r="AE22" i="40" s="1"/>
  <c r="U60" i="35"/>
  <c r="I92" i="25" s="1"/>
  <c r="U64" i="35"/>
  <c r="I96" i="25" s="1"/>
  <c r="X88" i="25" s="1"/>
  <c r="AC21" i="40" s="1"/>
  <c r="T57" i="35"/>
  <c r="I89" i="24" s="1"/>
  <c r="X85" i="24" s="1"/>
  <c r="Y26" i="40" s="1"/>
  <c r="T61" i="35"/>
  <c r="I93" i="24" s="1"/>
  <c r="X89" i="24" s="1"/>
  <c r="AE26" i="40" s="1"/>
  <c r="T65" i="35"/>
  <c r="I97" i="24" s="1"/>
  <c r="AB60" i="35"/>
  <c r="I92" i="32" s="1"/>
  <c r="M57" i="35"/>
  <c r="I89" i="17" s="1"/>
  <c r="X85" i="17" s="1"/>
  <c r="Y36" i="40" s="1"/>
  <c r="M61" i="35"/>
  <c r="I93" i="17" s="1"/>
  <c r="X89" i="17" s="1"/>
  <c r="AE36" i="40" s="1"/>
  <c r="M65" i="35"/>
  <c r="I97" i="17" s="1"/>
  <c r="L61" i="35"/>
  <c r="I93" i="16" s="1"/>
  <c r="X89" i="16" s="1"/>
  <c r="AE35" i="40" s="1"/>
  <c r="K60" i="35"/>
  <c r="I92" i="15" s="1"/>
  <c r="K64" i="35"/>
  <c r="I96" i="15" s="1"/>
  <c r="X88" i="15" s="1"/>
  <c r="AC17" i="40" s="1"/>
  <c r="I59" i="35"/>
  <c r="I91" i="13" s="1"/>
  <c r="I63" i="35"/>
  <c r="I95" i="13" s="1"/>
  <c r="X92" i="13" s="1"/>
  <c r="AI24" i="40" s="1"/>
  <c r="G58" i="35"/>
  <c r="I90" i="11" s="1"/>
  <c r="X86" i="11" s="1"/>
  <c r="AA16" i="40" s="1"/>
  <c r="G62" i="35"/>
  <c r="I94" i="11" s="1"/>
  <c r="X91" i="11" s="1"/>
  <c r="AG16" i="40" s="1"/>
  <c r="G56" i="35"/>
  <c r="R56" i="35"/>
  <c r="R60" i="35"/>
  <c r="R64" i="35"/>
  <c r="V63" i="35"/>
  <c r="I95" i="26" s="1"/>
  <c r="X92" i="26" s="1"/>
  <c r="AI30" i="40" s="1"/>
  <c r="U61" i="35"/>
  <c r="I93" i="25" s="1"/>
  <c r="X89" i="25" s="1"/>
  <c r="AE21" i="40" s="1"/>
  <c r="T62" i="35"/>
  <c r="I94" i="24" s="1"/>
  <c r="X91" i="24" s="1"/>
  <c r="AG26" i="40" s="1"/>
  <c r="S59" i="35"/>
  <c r="I91" i="23" s="1"/>
  <c r="O63" i="35"/>
  <c r="I95" i="19" s="1"/>
  <c r="X92" i="19" s="1"/>
  <c r="AI9" i="40" s="1"/>
  <c r="N60" i="35"/>
  <c r="I92" i="18" s="1"/>
  <c r="N64" i="35"/>
  <c r="I96" i="18" s="1"/>
  <c r="X88" i="18" s="1"/>
  <c r="AC25" i="40" s="1"/>
  <c r="L60" i="35"/>
  <c r="I92" i="16" s="1"/>
  <c r="J58" i="35"/>
  <c r="I90" i="14" s="1"/>
  <c r="X86" i="14" s="1"/>
  <c r="AA34" i="40" s="1"/>
  <c r="J62" i="35"/>
  <c r="I94" i="14" s="1"/>
  <c r="X91" i="14" s="1"/>
  <c r="AG34" i="40" s="1"/>
  <c r="J56" i="35"/>
  <c r="H57" i="35"/>
  <c r="I89" i="12" s="1"/>
  <c r="X85" i="12" s="1"/>
  <c r="Y33" i="40" s="1"/>
  <c r="H61" i="35"/>
  <c r="I93" i="12" s="1"/>
  <c r="X89" i="12" s="1"/>
  <c r="AE33" i="40" s="1"/>
  <c r="H65" i="35"/>
  <c r="I97" i="12" s="1"/>
  <c r="E60" i="35"/>
  <c r="I92" i="9" s="1"/>
  <c r="E64" i="35"/>
  <c r="I96" i="9" s="1"/>
  <c r="X88" i="9" s="1"/>
  <c r="AC8" i="40" s="1"/>
  <c r="D60" i="35"/>
  <c r="I92" i="8" s="1"/>
  <c r="D64" i="35"/>
  <c r="I96" i="8" s="1"/>
  <c r="X88" i="8" s="1"/>
  <c r="AC7" i="40" s="1"/>
  <c r="B59" i="35"/>
  <c r="B63" i="35"/>
  <c r="X58" i="35"/>
  <c r="I90" i="28" s="1"/>
  <c r="X86" i="28" s="1"/>
  <c r="AA11" i="40" s="1"/>
  <c r="W64" i="35"/>
  <c r="I96" i="27" s="1"/>
  <c r="X88" i="27" s="1"/>
  <c r="AC10" i="40" s="1"/>
  <c r="M58" i="35"/>
  <c r="I90" i="17" s="1"/>
  <c r="X86" i="17" s="1"/>
  <c r="AA36" i="40" s="1"/>
  <c r="M62" i="35"/>
  <c r="I94" i="17" s="1"/>
  <c r="X91" i="17" s="1"/>
  <c r="AG36" i="40" s="1"/>
  <c r="M56" i="35"/>
  <c r="L62" i="35"/>
  <c r="I94" i="16" s="1"/>
  <c r="X91" i="16" s="1"/>
  <c r="AG35" i="40" s="1"/>
  <c r="K57" i="35"/>
  <c r="I89" i="15" s="1"/>
  <c r="X85" i="15" s="1"/>
  <c r="Y17" i="40" s="1"/>
  <c r="K61" i="35"/>
  <c r="I93" i="15" s="1"/>
  <c r="X89" i="15" s="1"/>
  <c r="AE17" i="40" s="1"/>
  <c r="K65" i="35"/>
  <c r="I97" i="15" s="1"/>
  <c r="I60" i="35"/>
  <c r="I92" i="13" s="1"/>
  <c r="I64" i="35"/>
  <c r="I96" i="13" s="1"/>
  <c r="X88" i="13" s="1"/>
  <c r="AC24" i="40" s="1"/>
  <c r="G59" i="35"/>
  <c r="I91" i="11" s="1"/>
  <c r="G63" i="35"/>
  <c r="I95" i="11" s="1"/>
  <c r="X92" i="11" s="1"/>
  <c r="AI16" i="40" s="1"/>
  <c r="R57" i="35"/>
  <c r="R61" i="35"/>
  <c r="R65" i="35"/>
  <c r="U65" i="35"/>
  <c r="I97" i="25" s="1"/>
  <c r="T56" i="35"/>
  <c r="S63" i="35"/>
  <c r="I95" i="23" s="1"/>
  <c r="X92" i="23" s="1"/>
  <c r="AI20" i="40" s="1"/>
  <c r="P57" i="35"/>
  <c r="I89" i="20" s="1"/>
  <c r="X85" i="20" s="1"/>
  <c r="Y18" i="40" s="1"/>
  <c r="O58" i="35"/>
  <c r="I90" i="19" s="1"/>
  <c r="X86" i="19" s="1"/>
  <c r="AA9" i="40" s="1"/>
  <c r="O56" i="35"/>
  <c r="N57" i="35"/>
  <c r="I89" i="18" s="1"/>
  <c r="X85" i="18" s="1"/>
  <c r="Y25" i="40" s="1"/>
  <c r="N61" i="35"/>
  <c r="I93" i="18" s="1"/>
  <c r="X89" i="18" s="1"/>
  <c r="AE25" i="40" s="1"/>
  <c r="N65" i="35"/>
  <c r="I97" i="18" s="1"/>
  <c r="L65" i="35"/>
  <c r="I97" i="16" s="1"/>
  <c r="J59" i="35"/>
  <c r="I91" i="14" s="1"/>
  <c r="J63" i="35"/>
  <c r="I95" i="14" s="1"/>
  <c r="X92" i="14" s="1"/>
  <c r="AI34" i="40" s="1"/>
  <c r="H58" i="35"/>
  <c r="I90" i="12" s="1"/>
  <c r="X86" i="12" s="1"/>
  <c r="AA33" i="40" s="1"/>
  <c r="H62" i="35"/>
  <c r="I94" i="12" s="1"/>
  <c r="X91" i="12" s="1"/>
  <c r="AG33" i="40" s="1"/>
  <c r="H56" i="35"/>
  <c r="E57" i="35"/>
  <c r="I89" i="9" s="1"/>
  <c r="X85" i="9" s="1"/>
  <c r="Y8" i="40" s="1"/>
  <c r="E61" i="35"/>
  <c r="I93" i="9" s="1"/>
  <c r="X89" i="9" s="1"/>
  <c r="AE8" i="40" s="1"/>
  <c r="E65" i="35"/>
  <c r="I97" i="9" s="1"/>
  <c r="D57" i="35"/>
  <c r="I89" i="8" s="1"/>
  <c r="X85" i="8" s="1"/>
  <c r="Y7" i="40" s="1"/>
  <c r="D61" i="35"/>
  <c r="I93" i="8" s="1"/>
  <c r="X89" i="8" s="1"/>
  <c r="AE7" i="40" s="1"/>
  <c r="D65" i="35"/>
  <c r="I97" i="8" s="1"/>
  <c r="B60" i="35"/>
  <c r="B64" i="35"/>
  <c r="AA65" i="35"/>
  <c r="I97" i="31" s="1"/>
  <c r="Q60" i="35"/>
  <c r="I92" i="21" s="1"/>
  <c r="M59" i="35"/>
  <c r="I91" i="17" s="1"/>
  <c r="M63" i="35"/>
  <c r="I95" i="17" s="1"/>
  <c r="X92" i="17" s="1"/>
  <c r="AI36" i="40" s="1"/>
  <c r="L57" i="35"/>
  <c r="I89" i="16" s="1"/>
  <c r="X85" i="16" s="1"/>
  <c r="Y35" i="40" s="1"/>
  <c r="L63" i="35"/>
  <c r="I95" i="16" s="1"/>
  <c r="X92" i="16" s="1"/>
  <c r="AI35" i="40" s="1"/>
  <c r="K58" i="35"/>
  <c r="I90" i="15" s="1"/>
  <c r="X86" i="15" s="1"/>
  <c r="AA17" i="40" s="1"/>
  <c r="K62" i="35"/>
  <c r="I94" i="15" s="1"/>
  <c r="X91" i="15" s="1"/>
  <c r="AG17" i="40" s="1"/>
  <c r="K56" i="35"/>
  <c r="I57" i="35"/>
  <c r="I89" i="13" s="1"/>
  <c r="X85" i="13" s="1"/>
  <c r="Y24" i="40" s="1"/>
  <c r="I61" i="35"/>
  <c r="I93" i="13" s="1"/>
  <c r="X89" i="13" s="1"/>
  <c r="AE24" i="40" s="1"/>
  <c r="I65" i="35"/>
  <c r="I97" i="13" s="1"/>
  <c r="G60" i="35"/>
  <c r="I92" i="11" s="1"/>
  <c r="G64" i="35"/>
  <c r="I96" i="11" s="1"/>
  <c r="X88" i="11" s="1"/>
  <c r="AC16" i="40" s="1"/>
  <c r="R58" i="35"/>
  <c r="R62" i="35"/>
  <c r="P61" i="35"/>
  <c r="I93" i="20" s="1"/>
  <c r="X89" i="20" s="1"/>
  <c r="AE18" i="40" s="1"/>
  <c r="O59" i="35"/>
  <c r="I91" i="19" s="1"/>
  <c r="N58" i="35"/>
  <c r="I90" i="18" s="1"/>
  <c r="X86" i="18" s="1"/>
  <c r="AA25" i="40" s="1"/>
  <c r="N62" i="35"/>
  <c r="I94" i="18" s="1"/>
  <c r="X91" i="18" s="1"/>
  <c r="AG25" i="40" s="1"/>
  <c r="N56" i="35"/>
  <c r="L56" i="35"/>
  <c r="J60" i="35"/>
  <c r="I92" i="14" s="1"/>
  <c r="J64" i="35"/>
  <c r="I96" i="14" s="1"/>
  <c r="X88" i="14" s="1"/>
  <c r="AC34" i="40" s="1"/>
  <c r="H59" i="35"/>
  <c r="I91" i="12" s="1"/>
  <c r="H63" i="35"/>
  <c r="I95" i="12" s="1"/>
  <c r="X92" i="12" s="1"/>
  <c r="AI33" i="40" s="1"/>
  <c r="E58" i="35"/>
  <c r="I90" i="9" s="1"/>
  <c r="X86" i="9" s="1"/>
  <c r="AA8" i="40" s="1"/>
  <c r="E62" i="35"/>
  <c r="I94" i="9" s="1"/>
  <c r="X91" i="9" s="1"/>
  <c r="AG8" i="40" s="1"/>
  <c r="E56" i="35"/>
  <c r="D58" i="35"/>
  <c r="I90" i="8" s="1"/>
  <c r="X86" i="8" s="1"/>
  <c r="AA7" i="40" s="1"/>
  <c r="D62" i="35"/>
  <c r="I94" i="8" s="1"/>
  <c r="X91" i="8" s="1"/>
  <c r="AG7" i="40" s="1"/>
  <c r="D56" i="35"/>
  <c r="B57" i="35"/>
  <c r="B61" i="35"/>
  <c r="B65" i="35"/>
  <c r="M64" i="35"/>
  <c r="I96" i="17" s="1"/>
  <c r="X88" i="17" s="1"/>
  <c r="AC36" i="40" s="1"/>
  <c r="K59" i="35"/>
  <c r="I91" i="15" s="1"/>
  <c r="G61" i="35"/>
  <c r="I93" i="11" s="1"/>
  <c r="X89" i="11" s="1"/>
  <c r="AE16" i="40" s="1"/>
  <c r="D59" i="35"/>
  <c r="I91" i="8" s="1"/>
  <c r="B58" i="35"/>
  <c r="V59" i="35"/>
  <c r="I91" i="26" s="1"/>
  <c r="T58" i="35"/>
  <c r="I90" i="24" s="1"/>
  <c r="X86" i="24" s="1"/>
  <c r="AA26" i="40" s="1"/>
  <c r="Q64" i="35"/>
  <c r="I96" i="21" s="1"/>
  <c r="X88" i="21" s="1"/>
  <c r="AC29" i="40" s="1"/>
  <c r="L58" i="35"/>
  <c r="I90" i="16" s="1"/>
  <c r="X86" i="16" s="1"/>
  <c r="AA35" i="40" s="1"/>
  <c r="H64" i="35"/>
  <c r="I96" i="12" s="1"/>
  <c r="X88" i="12" s="1"/>
  <c r="AC33" i="40" s="1"/>
  <c r="E63" i="35"/>
  <c r="I95" i="9" s="1"/>
  <c r="X92" i="9" s="1"/>
  <c r="AI8" i="40" s="1"/>
  <c r="Y60" i="35"/>
  <c r="I92" i="29" s="1"/>
  <c r="O62" i="35"/>
  <c r="I94" i="19" s="1"/>
  <c r="X91" i="19" s="1"/>
  <c r="AG9" i="40" s="1"/>
  <c r="K63" i="35"/>
  <c r="I95" i="15" s="1"/>
  <c r="X92" i="15" s="1"/>
  <c r="AI17" i="40" s="1"/>
  <c r="I58" i="35"/>
  <c r="I90" i="13" s="1"/>
  <c r="X86" i="13" s="1"/>
  <c r="AA24" i="40" s="1"/>
  <c r="G65" i="35"/>
  <c r="I97" i="11" s="1"/>
  <c r="D63" i="35"/>
  <c r="I95" i="8" s="1"/>
  <c r="X92" i="8" s="1"/>
  <c r="AI7" i="40" s="1"/>
  <c r="B62" i="35"/>
  <c r="R59" i="35"/>
  <c r="Z63" i="35"/>
  <c r="I95" i="30" s="1"/>
  <c r="X92" i="30" s="1"/>
  <c r="AI27" i="40" s="1"/>
  <c r="L64" i="35"/>
  <c r="I96" i="16" s="1"/>
  <c r="X88" i="16" s="1"/>
  <c r="AC35" i="40" s="1"/>
  <c r="J57" i="35"/>
  <c r="I89" i="14" s="1"/>
  <c r="X85" i="14" s="1"/>
  <c r="Y34" i="40" s="1"/>
  <c r="I62" i="35"/>
  <c r="I94" i="13" s="1"/>
  <c r="X91" i="13" s="1"/>
  <c r="AG24" i="40" s="1"/>
  <c r="B56" i="35"/>
  <c r="R63" i="35"/>
  <c r="U57" i="35"/>
  <c r="I89" i="25" s="1"/>
  <c r="X85" i="25" s="1"/>
  <c r="Y21" i="40" s="1"/>
  <c r="N59" i="35"/>
  <c r="I91" i="18" s="1"/>
  <c r="J61" i="35"/>
  <c r="I93" i="14" s="1"/>
  <c r="X89" i="14" s="1"/>
  <c r="AE34" i="40" s="1"/>
  <c r="N63" i="35"/>
  <c r="I95" i="18" s="1"/>
  <c r="X92" i="18" s="1"/>
  <c r="AI25" i="40" s="1"/>
  <c r="H60" i="35"/>
  <c r="I92" i="12" s="1"/>
  <c r="E59" i="35"/>
  <c r="I91" i="9" s="1"/>
  <c r="P65" i="35"/>
  <c r="I97" i="20" s="1"/>
  <c r="M60" i="35"/>
  <c r="I92" i="17" s="1"/>
  <c r="J65" i="35"/>
  <c r="I97" i="14" s="1"/>
  <c r="G57" i="35"/>
  <c r="I89" i="11" s="1"/>
  <c r="X85" i="11" s="1"/>
  <c r="Y16" i="40" s="1"/>
  <c r="I56" i="35"/>
  <c r="L59" i="35"/>
  <c r="I91" i="16" s="1"/>
  <c r="J44" i="13"/>
  <c r="J45" i="19"/>
  <c r="I42" i="3"/>
  <c r="L11" i="13" l="1"/>
  <c r="J18" i="13" s="1"/>
  <c r="X8" i="13" s="1"/>
  <c r="U24" i="43" s="1"/>
  <c r="L11" i="3"/>
  <c r="L12" i="3"/>
  <c r="J23" i="3" s="1"/>
  <c r="L9" i="3"/>
  <c r="J14" i="3" s="1"/>
  <c r="X38" i="9"/>
  <c r="AC8" i="41" s="1"/>
  <c r="X38" i="26"/>
  <c r="AC30" i="41" s="1"/>
  <c r="J64" i="19"/>
  <c r="J69" i="29"/>
  <c r="I93" i="22"/>
  <c r="X89" i="22" s="1"/>
  <c r="AE19" i="40" s="1"/>
  <c r="I38" i="25"/>
  <c r="L31" i="25" s="1"/>
  <c r="L33" i="25" s="1"/>
  <c r="J38" i="25" s="1"/>
  <c r="U38" i="25" s="1"/>
  <c r="K21" i="41" s="1"/>
  <c r="U67" i="4"/>
  <c r="I38" i="7"/>
  <c r="L31" i="7" s="1"/>
  <c r="L33" i="7" s="1"/>
  <c r="J38" i="7" s="1"/>
  <c r="U38" i="7" s="1"/>
  <c r="K14" i="41" s="1"/>
  <c r="C67" i="4"/>
  <c r="I113" i="24"/>
  <c r="L106" i="24" s="1"/>
  <c r="T67" i="37"/>
  <c r="I113" i="26"/>
  <c r="L106" i="26" s="1"/>
  <c r="L108" i="26" s="1"/>
  <c r="J113" i="26" s="1"/>
  <c r="U113" i="26" s="1"/>
  <c r="K30" i="44" s="1"/>
  <c r="V67" i="37"/>
  <c r="I121" i="3"/>
  <c r="J121" i="3" s="1"/>
  <c r="AD64" i="37"/>
  <c r="I113" i="27"/>
  <c r="L106" i="27" s="1"/>
  <c r="W67" i="37"/>
  <c r="I113" i="17"/>
  <c r="L106" i="17" s="1"/>
  <c r="M67" i="37"/>
  <c r="I113" i="29"/>
  <c r="L106" i="29" s="1"/>
  <c r="L108" i="29" s="1"/>
  <c r="J113" i="29" s="1"/>
  <c r="U113" i="29" s="1"/>
  <c r="K31" i="44" s="1"/>
  <c r="Y67" i="37"/>
  <c r="I120" i="3"/>
  <c r="AD63" i="37"/>
  <c r="I113" i="22"/>
  <c r="R67" i="37"/>
  <c r="I38" i="20"/>
  <c r="P67" i="4"/>
  <c r="I38" i="17"/>
  <c r="L31" i="17" s="1"/>
  <c r="L33" i="17" s="1"/>
  <c r="J38" i="17" s="1"/>
  <c r="U38" i="17" s="1"/>
  <c r="K36" i="41" s="1"/>
  <c r="M67" i="4"/>
  <c r="I38" i="19"/>
  <c r="L31" i="19" s="1"/>
  <c r="L33" i="19" s="1"/>
  <c r="J38" i="19" s="1"/>
  <c r="U38" i="19" s="1"/>
  <c r="K9" i="41" s="1"/>
  <c r="O67" i="4"/>
  <c r="I38" i="18"/>
  <c r="L31" i="18" s="1"/>
  <c r="L33" i="18" s="1"/>
  <c r="J38" i="18" s="1"/>
  <c r="U38" i="18" s="1"/>
  <c r="K25" i="41" s="1"/>
  <c r="N67" i="4"/>
  <c r="I38" i="21"/>
  <c r="Q67" i="4"/>
  <c r="I113" i="30"/>
  <c r="L106" i="30" s="1"/>
  <c r="Z67" i="37"/>
  <c r="I113" i="18"/>
  <c r="L106" i="18" s="1"/>
  <c r="L108" i="18" s="1"/>
  <c r="J113" i="18" s="1"/>
  <c r="U113" i="18" s="1"/>
  <c r="K25" i="44" s="1"/>
  <c r="N67" i="37"/>
  <c r="I113" i="8"/>
  <c r="L106" i="8" s="1"/>
  <c r="D67" i="37"/>
  <c r="I118" i="3"/>
  <c r="X114" i="3" s="1"/>
  <c r="AE6" i="44" s="1"/>
  <c r="AE5" i="44" s="1"/>
  <c r="AD61" i="37"/>
  <c r="X38" i="7"/>
  <c r="AC14" i="41" s="1"/>
  <c r="R35" i="32"/>
  <c r="I38" i="15"/>
  <c r="L31" i="15" s="1"/>
  <c r="L33" i="15" s="1"/>
  <c r="J38" i="15" s="1"/>
  <c r="U38" i="15" s="1"/>
  <c r="K17" i="41" s="1"/>
  <c r="K67" i="4"/>
  <c r="I38" i="16"/>
  <c r="L31" i="16" s="1"/>
  <c r="L67" i="4"/>
  <c r="I38" i="26"/>
  <c r="V67" i="4"/>
  <c r="I38" i="28"/>
  <c r="L31" i="28" s="1"/>
  <c r="L33" i="28" s="1"/>
  <c r="J38" i="28" s="1"/>
  <c r="U38" i="28" s="1"/>
  <c r="K11" i="41" s="1"/>
  <c r="X67" i="4"/>
  <c r="I38" i="30"/>
  <c r="L31" i="30" s="1"/>
  <c r="L33" i="30" s="1"/>
  <c r="J38" i="30" s="1"/>
  <c r="U38" i="30" s="1"/>
  <c r="K27" i="41" s="1"/>
  <c r="Z67" i="4"/>
  <c r="I38" i="14"/>
  <c r="J67" i="4"/>
  <c r="I113" i="15"/>
  <c r="L106" i="15" s="1"/>
  <c r="L108" i="15" s="1"/>
  <c r="J113" i="15" s="1"/>
  <c r="U113" i="15" s="1"/>
  <c r="K17" i="44" s="1"/>
  <c r="K67" i="37"/>
  <c r="I113" i="9"/>
  <c r="L106" i="9" s="1"/>
  <c r="E67" i="37"/>
  <c r="I114" i="3"/>
  <c r="X110" i="3" s="1"/>
  <c r="Y6" i="44" s="1"/>
  <c r="Y5" i="44" s="1"/>
  <c r="AD57" i="37"/>
  <c r="I122" i="3"/>
  <c r="AD65" i="37"/>
  <c r="I38" i="23"/>
  <c r="S67" i="4"/>
  <c r="I38" i="29"/>
  <c r="L31" i="29" s="1"/>
  <c r="L33" i="29" s="1"/>
  <c r="J38" i="29" s="1"/>
  <c r="U38" i="29" s="1"/>
  <c r="K31" i="41" s="1"/>
  <c r="Y67" i="4"/>
  <c r="I38" i="22"/>
  <c r="L31" i="22" s="1"/>
  <c r="L33" i="22" s="1"/>
  <c r="J38" i="22" s="1"/>
  <c r="U38" i="22" s="1"/>
  <c r="K19" i="41" s="1"/>
  <c r="R67" i="4"/>
  <c r="I38" i="31"/>
  <c r="L31" i="31" s="1"/>
  <c r="L33" i="31" s="1"/>
  <c r="J38" i="31" s="1"/>
  <c r="U38" i="31" s="1"/>
  <c r="K22" i="41" s="1"/>
  <c r="AA67" i="4"/>
  <c r="I38" i="12"/>
  <c r="H67" i="4"/>
  <c r="I113" i="14"/>
  <c r="L106" i="14" s="1"/>
  <c r="L108" i="14" s="1"/>
  <c r="J113" i="14" s="1"/>
  <c r="U113" i="14" s="1"/>
  <c r="K34" i="44" s="1"/>
  <c r="J67" i="37"/>
  <c r="I113" i="7"/>
  <c r="L106" i="7" s="1"/>
  <c r="L108" i="7" s="1"/>
  <c r="J113" i="7" s="1"/>
  <c r="U113" i="7" s="1"/>
  <c r="K14" i="44" s="1"/>
  <c r="C67" i="37"/>
  <c r="I113" i="25"/>
  <c r="L106" i="25" s="1"/>
  <c r="L108" i="25" s="1"/>
  <c r="J113" i="25" s="1"/>
  <c r="U113" i="25" s="1"/>
  <c r="K21" i="44" s="1"/>
  <c r="U67" i="37"/>
  <c r="I38" i="24"/>
  <c r="T67" i="4"/>
  <c r="I113" i="21"/>
  <c r="L106" i="21" s="1"/>
  <c r="L108" i="21" s="1"/>
  <c r="J113" i="21" s="1"/>
  <c r="U113" i="21" s="1"/>
  <c r="K29" i="44" s="1"/>
  <c r="Q67" i="37"/>
  <c r="I117" i="3"/>
  <c r="AD60" i="37"/>
  <c r="I38" i="8"/>
  <c r="L31" i="8" s="1"/>
  <c r="L33" i="8" s="1"/>
  <c r="J38" i="8" s="1"/>
  <c r="U38" i="8" s="1"/>
  <c r="K7" i="41" s="1"/>
  <c r="D67" i="4"/>
  <c r="J118" i="8"/>
  <c r="I38" i="9"/>
  <c r="E67" i="4"/>
  <c r="I38" i="11"/>
  <c r="L31" i="11" s="1"/>
  <c r="L33" i="11" s="1"/>
  <c r="J38" i="11" s="1"/>
  <c r="U38" i="11" s="1"/>
  <c r="K16" i="41" s="1"/>
  <c r="G67" i="4"/>
  <c r="I38" i="3"/>
  <c r="L31" i="3" s="1"/>
  <c r="B67" i="4"/>
  <c r="AD56" i="4"/>
  <c r="I113" i="19"/>
  <c r="L106" i="19" s="1"/>
  <c r="L108" i="19" s="1"/>
  <c r="J113" i="19" s="1"/>
  <c r="U113" i="19" s="1"/>
  <c r="K9" i="44" s="1"/>
  <c r="O67" i="37"/>
  <c r="I113" i="10"/>
  <c r="L106" i="10" s="1"/>
  <c r="L108" i="10" s="1"/>
  <c r="J113" i="10" s="1"/>
  <c r="U113" i="10" s="1"/>
  <c r="K15" i="44" s="1"/>
  <c r="F67" i="37"/>
  <c r="I113" i="20"/>
  <c r="P67" i="37"/>
  <c r="I113" i="12"/>
  <c r="L106" i="12" s="1"/>
  <c r="L108" i="12" s="1"/>
  <c r="J113" i="12" s="1"/>
  <c r="U113" i="12" s="1"/>
  <c r="K33" i="44" s="1"/>
  <c r="H67" i="37"/>
  <c r="I113" i="3"/>
  <c r="B67" i="37"/>
  <c r="AD56" i="37"/>
  <c r="I113" i="32"/>
  <c r="L106" i="32" s="1"/>
  <c r="AB67" i="37"/>
  <c r="I119" i="3"/>
  <c r="J119" i="3" s="1"/>
  <c r="AD62" i="37"/>
  <c r="I113" i="16"/>
  <c r="L106" i="16" s="1"/>
  <c r="L67" i="37"/>
  <c r="I38" i="13"/>
  <c r="I67" i="4"/>
  <c r="I113" i="28"/>
  <c r="L106" i="28" s="1"/>
  <c r="L108" i="28" s="1"/>
  <c r="J113" i="28" s="1"/>
  <c r="U113" i="28" s="1"/>
  <c r="K11" i="44" s="1"/>
  <c r="X67" i="37"/>
  <c r="J39" i="17"/>
  <c r="I38" i="27"/>
  <c r="L31" i="27" s="1"/>
  <c r="L33" i="27" s="1"/>
  <c r="J38" i="27" s="1"/>
  <c r="U38" i="27" s="1"/>
  <c r="K10" i="41" s="1"/>
  <c r="W67" i="4"/>
  <c r="I38" i="32"/>
  <c r="AB67" i="4"/>
  <c r="I38" i="10"/>
  <c r="L31" i="10" s="1"/>
  <c r="L33" i="10" s="1"/>
  <c r="J38" i="10" s="1"/>
  <c r="U38" i="10" s="1"/>
  <c r="K15" i="41" s="1"/>
  <c r="F67" i="4"/>
  <c r="I113" i="31"/>
  <c r="L106" i="31" s="1"/>
  <c r="L108" i="31" s="1"/>
  <c r="J113" i="31" s="1"/>
  <c r="U113" i="31" s="1"/>
  <c r="K22" i="44" s="1"/>
  <c r="AA67" i="37"/>
  <c r="I113" i="13"/>
  <c r="L106" i="13" s="1"/>
  <c r="L108" i="13" s="1"/>
  <c r="J113" i="13" s="1"/>
  <c r="U113" i="13" s="1"/>
  <c r="K24" i="44" s="1"/>
  <c r="I67" i="37"/>
  <c r="I113" i="11"/>
  <c r="L106" i="11" s="1"/>
  <c r="L108" i="11" s="1"/>
  <c r="J113" i="11" s="1"/>
  <c r="U113" i="11" s="1"/>
  <c r="K16" i="44" s="1"/>
  <c r="G67" i="37"/>
  <c r="I115" i="3"/>
  <c r="J115" i="3" s="1"/>
  <c r="AD58" i="37"/>
  <c r="I116" i="3"/>
  <c r="AD59" i="37"/>
  <c r="I113" i="23"/>
  <c r="L106" i="23" s="1"/>
  <c r="L108" i="23" s="1"/>
  <c r="J113" i="23" s="1"/>
  <c r="U113" i="23" s="1"/>
  <c r="K20" i="44" s="1"/>
  <c r="S67" i="37"/>
  <c r="AD67" i="42"/>
  <c r="J40" i="27"/>
  <c r="B67" i="35"/>
  <c r="AG32" i="40"/>
  <c r="J115" i="13"/>
  <c r="J114" i="10"/>
  <c r="J121" i="14"/>
  <c r="J119" i="12"/>
  <c r="I91" i="22"/>
  <c r="J119" i="13"/>
  <c r="J119" i="9"/>
  <c r="J121" i="17"/>
  <c r="J114" i="11"/>
  <c r="J115" i="8"/>
  <c r="J119" i="27"/>
  <c r="J121" i="11"/>
  <c r="J121" i="16"/>
  <c r="J118" i="12"/>
  <c r="J115" i="25"/>
  <c r="J115" i="32"/>
  <c r="J114" i="28"/>
  <c r="J114" i="30"/>
  <c r="J115" i="15"/>
  <c r="J114" i="15"/>
  <c r="J118" i="9"/>
  <c r="J119" i="17"/>
  <c r="Y23" i="44"/>
  <c r="J115" i="19"/>
  <c r="J115" i="31"/>
  <c r="J120" i="7"/>
  <c r="J119" i="8"/>
  <c r="J120" i="8"/>
  <c r="J119" i="11"/>
  <c r="J120" i="15"/>
  <c r="J118" i="7"/>
  <c r="J120" i="30"/>
  <c r="J118" i="26"/>
  <c r="J119" i="10"/>
  <c r="J119" i="23"/>
  <c r="J114" i="18"/>
  <c r="J121" i="9"/>
  <c r="J118" i="32"/>
  <c r="J114" i="29"/>
  <c r="J118" i="29"/>
  <c r="J119" i="28"/>
  <c r="J119" i="26"/>
  <c r="J114" i="8"/>
  <c r="J114" i="21"/>
  <c r="J115" i="21"/>
  <c r="J121" i="31"/>
  <c r="J121" i="32"/>
  <c r="J121" i="20"/>
  <c r="J121" i="26"/>
  <c r="J114" i="27"/>
  <c r="J118" i="16"/>
  <c r="R110" i="16"/>
  <c r="J119" i="7"/>
  <c r="J115" i="17"/>
  <c r="J118" i="19"/>
  <c r="J119" i="20"/>
  <c r="J121" i="29"/>
  <c r="J121" i="7"/>
  <c r="J120" i="26"/>
  <c r="J120" i="23"/>
  <c r="J119" i="30"/>
  <c r="J118" i="20"/>
  <c r="J115" i="23"/>
  <c r="J120" i="25"/>
  <c r="J119" i="14"/>
  <c r="J114" i="19"/>
  <c r="I88" i="22"/>
  <c r="J114" i="16"/>
  <c r="I90" i="22"/>
  <c r="X86" i="22" s="1"/>
  <c r="AA19" i="40" s="1"/>
  <c r="AG28" i="44"/>
  <c r="AE28" i="44"/>
  <c r="AA28" i="44"/>
  <c r="J119" i="19"/>
  <c r="J118" i="13"/>
  <c r="AC32" i="44"/>
  <c r="J119" i="25"/>
  <c r="J118" i="27"/>
  <c r="J114" i="14"/>
  <c r="J115" i="26"/>
  <c r="J121" i="12"/>
  <c r="J118" i="30"/>
  <c r="I94" i="22"/>
  <c r="X91" i="22" s="1"/>
  <c r="AG19" i="40" s="1"/>
  <c r="AG13" i="40" s="1"/>
  <c r="J115" i="11"/>
  <c r="J119" i="18"/>
  <c r="J115" i="29"/>
  <c r="J121" i="24"/>
  <c r="J118" i="24"/>
  <c r="J118" i="31"/>
  <c r="J115" i="18"/>
  <c r="I117" i="22"/>
  <c r="AC23" i="44"/>
  <c r="J121" i="15"/>
  <c r="J114" i="20"/>
  <c r="J119" i="29"/>
  <c r="J118" i="17"/>
  <c r="R110" i="9"/>
  <c r="R110" i="29"/>
  <c r="J115" i="12"/>
  <c r="J120" i="20"/>
  <c r="J115" i="9"/>
  <c r="J120" i="19"/>
  <c r="J115" i="10"/>
  <c r="J118" i="25"/>
  <c r="J114" i="13"/>
  <c r="R110" i="19"/>
  <c r="R110" i="32"/>
  <c r="I120" i="22"/>
  <c r="X117" i="22" s="1"/>
  <c r="AI19" i="44" s="1"/>
  <c r="AI13" i="44" s="1"/>
  <c r="AE32" i="44"/>
  <c r="AI23" i="44"/>
  <c r="J120" i="17"/>
  <c r="J114" i="12"/>
  <c r="J119" i="31"/>
  <c r="J114" i="24"/>
  <c r="J115" i="28"/>
  <c r="J121" i="13"/>
  <c r="R110" i="26"/>
  <c r="I96" i="22"/>
  <c r="X88" i="22" s="1"/>
  <c r="AC19" i="40" s="1"/>
  <c r="J115" i="30"/>
  <c r="J118" i="15"/>
  <c r="J121" i="27"/>
  <c r="J115" i="24"/>
  <c r="J121" i="18"/>
  <c r="J118" i="10"/>
  <c r="J120" i="11"/>
  <c r="J119" i="32"/>
  <c r="J114" i="26"/>
  <c r="R110" i="17"/>
  <c r="I122" i="22"/>
  <c r="J121" i="21"/>
  <c r="J118" i="14"/>
  <c r="J118" i="23"/>
  <c r="J119" i="16"/>
  <c r="J120" i="9"/>
  <c r="J120" i="13"/>
  <c r="AA23" i="44"/>
  <c r="J120" i="14"/>
  <c r="J120" i="10"/>
  <c r="J120" i="24"/>
  <c r="J121" i="25"/>
  <c r="J120" i="12"/>
  <c r="J114" i="17"/>
  <c r="J118" i="11"/>
  <c r="R110" i="24"/>
  <c r="AI32" i="44"/>
  <c r="AA32" i="44"/>
  <c r="AC28" i="44"/>
  <c r="AG32" i="44"/>
  <c r="J119" i="21"/>
  <c r="J120" i="31"/>
  <c r="J119" i="15"/>
  <c r="J118" i="21"/>
  <c r="R110" i="25"/>
  <c r="J121" i="23"/>
  <c r="J115" i="14"/>
  <c r="J120" i="27"/>
  <c r="J118" i="18"/>
  <c r="R110" i="11"/>
  <c r="R110" i="21"/>
  <c r="R110" i="30"/>
  <c r="I89" i="22"/>
  <c r="X85" i="22" s="1"/>
  <c r="Y19" i="40" s="1"/>
  <c r="Y13" i="40" s="1"/>
  <c r="AG13" i="44"/>
  <c r="AE23" i="44"/>
  <c r="AA13" i="44"/>
  <c r="AG23" i="44"/>
  <c r="J114" i="25"/>
  <c r="J114" i="9"/>
  <c r="J120" i="28"/>
  <c r="R110" i="13"/>
  <c r="R110" i="20"/>
  <c r="AI28" i="44"/>
  <c r="J121" i="8"/>
  <c r="J120" i="29"/>
  <c r="J121" i="19"/>
  <c r="J120" i="18"/>
  <c r="J120" i="32"/>
  <c r="J120" i="16"/>
  <c r="R110" i="8"/>
  <c r="R110" i="12"/>
  <c r="R110" i="14"/>
  <c r="R110" i="18"/>
  <c r="R110" i="28"/>
  <c r="R110" i="31"/>
  <c r="J121" i="28"/>
  <c r="J118" i="28"/>
  <c r="J115" i="20"/>
  <c r="J121" i="10"/>
  <c r="J114" i="23"/>
  <c r="J115" i="16"/>
  <c r="J114" i="31"/>
  <c r="R110" i="7"/>
  <c r="R110" i="23"/>
  <c r="R110" i="27"/>
  <c r="J114" i="7"/>
  <c r="J119" i="24"/>
  <c r="J120" i="21"/>
  <c r="J115" i="7"/>
  <c r="J115" i="27"/>
  <c r="R110" i="10"/>
  <c r="R110" i="15"/>
  <c r="J121" i="30"/>
  <c r="J95" i="22"/>
  <c r="J93" i="22"/>
  <c r="J64" i="13"/>
  <c r="J70" i="24"/>
  <c r="J71" i="19"/>
  <c r="J70" i="14"/>
  <c r="J64" i="8"/>
  <c r="J70" i="31"/>
  <c r="J68" i="10"/>
  <c r="J68" i="7"/>
  <c r="J65" i="27"/>
  <c r="J69" i="16"/>
  <c r="J65" i="22"/>
  <c r="J69" i="10"/>
  <c r="J68" i="15"/>
  <c r="J65" i="12"/>
  <c r="J70" i="9"/>
  <c r="J64" i="15"/>
  <c r="J65" i="15"/>
  <c r="J70" i="28"/>
  <c r="J68" i="16"/>
  <c r="J68" i="29"/>
  <c r="J70" i="11"/>
  <c r="J65" i="14"/>
  <c r="J64" i="11"/>
  <c r="J70" i="29"/>
  <c r="J64" i="14"/>
  <c r="J65" i="25"/>
  <c r="J64" i="31"/>
  <c r="J65" i="8"/>
  <c r="J69" i="32"/>
  <c r="J71" i="20"/>
  <c r="J68" i="14"/>
  <c r="J69" i="24"/>
  <c r="J69" i="11"/>
  <c r="J71" i="23"/>
  <c r="J71" i="27"/>
  <c r="J65" i="19"/>
  <c r="J65" i="31"/>
  <c r="J70" i="15"/>
  <c r="J68" i="26"/>
  <c r="J65" i="24"/>
  <c r="J68" i="17"/>
  <c r="J68" i="13"/>
  <c r="R60" i="8"/>
  <c r="J64" i="26"/>
  <c r="E67" i="34"/>
  <c r="J64" i="25"/>
  <c r="AI28" i="39"/>
  <c r="J65" i="10"/>
  <c r="J71" i="14"/>
  <c r="J65" i="32"/>
  <c r="J71" i="13"/>
  <c r="R60" i="18"/>
  <c r="J68" i="9"/>
  <c r="J64" i="29"/>
  <c r="J68" i="12"/>
  <c r="J71" i="28"/>
  <c r="J65" i="20"/>
  <c r="J65" i="18"/>
  <c r="J65" i="29"/>
  <c r="J64" i="9"/>
  <c r="J69" i="18"/>
  <c r="J69" i="21"/>
  <c r="J65" i="28"/>
  <c r="J70" i="10"/>
  <c r="R60" i="9"/>
  <c r="R60" i="14"/>
  <c r="AA32" i="39"/>
  <c r="J68" i="30"/>
  <c r="J71" i="24"/>
  <c r="J70" i="7"/>
  <c r="J69" i="14"/>
  <c r="J71" i="9"/>
  <c r="J64" i="32"/>
  <c r="J65" i="16"/>
  <c r="J70" i="32"/>
  <c r="J64" i="24"/>
  <c r="AG23" i="39"/>
  <c r="AC23" i="39"/>
  <c r="J71" i="8"/>
  <c r="J64" i="18"/>
  <c r="J71" i="10"/>
  <c r="J68" i="25"/>
  <c r="J71" i="7"/>
  <c r="J69" i="25"/>
  <c r="J70" i="23"/>
  <c r="J68" i="21"/>
  <c r="J64" i="23"/>
  <c r="J71" i="26"/>
  <c r="J69" i="17"/>
  <c r="J71" i="15"/>
  <c r="R60" i="26"/>
  <c r="AE32" i="39"/>
  <c r="AA28" i="39"/>
  <c r="AE28" i="39"/>
  <c r="J70" i="26"/>
  <c r="J69" i="31"/>
  <c r="J71" i="18"/>
  <c r="R60" i="25"/>
  <c r="R60" i="28"/>
  <c r="J69" i="28"/>
  <c r="J69" i="30"/>
  <c r="J64" i="7"/>
  <c r="J68" i="27"/>
  <c r="J65" i="11"/>
  <c r="J71" i="11"/>
  <c r="J70" i="8"/>
  <c r="J69" i="9"/>
  <c r="J71" i="16"/>
  <c r="J65" i="7"/>
  <c r="R60" i="11"/>
  <c r="R60" i="15"/>
  <c r="J70" i="27"/>
  <c r="T67" i="34"/>
  <c r="J70" i="22"/>
  <c r="J64" i="16"/>
  <c r="J70" i="21"/>
  <c r="J65" i="30"/>
  <c r="J70" i="16"/>
  <c r="J68" i="24"/>
  <c r="J71" i="17"/>
  <c r="J71" i="21"/>
  <c r="J65" i="23"/>
  <c r="J70" i="30"/>
  <c r="J68" i="20"/>
  <c r="J68" i="18"/>
  <c r="J65" i="21"/>
  <c r="J71" i="12"/>
  <c r="J64" i="28"/>
  <c r="J68" i="22"/>
  <c r="J64" i="21"/>
  <c r="J70" i="12"/>
  <c r="J71" i="30"/>
  <c r="J65" i="26"/>
  <c r="J68" i="11"/>
  <c r="J64" i="10"/>
  <c r="J68" i="8"/>
  <c r="J68" i="28"/>
  <c r="R60" i="10"/>
  <c r="R60" i="20"/>
  <c r="R60" i="21"/>
  <c r="R60" i="24"/>
  <c r="AI13" i="39"/>
  <c r="L67" i="34"/>
  <c r="AC32" i="39"/>
  <c r="J69" i="20"/>
  <c r="J69" i="27"/>
  <c r="J71" i="31"/>
  <c r="J71" i="22"/>
  <c r="J69" i="13"/>
  <c r="J65" i="9"/>
  <c r="J69" i="8"/>
  <c r="J68" i="32"/>
  <c r="J70" i="19"/>
  <c r="J68" i="23"/>
  <c r="J71" i="25"/>
  <c r="J68" i="19"/>
  <c r="J64" i="22"/>
  <c r="J69" i="12"/>
  <c r="R60" i="7"/>
  <c r="R60" i="16"/>
  <c r="R60" i="22"/>
  <c r="R60" i="32"/>
  <c r="J45" i="13"/>
  <c r="J43" i="28"/>
  <c r="J43" i="22"/>
  <c r="J40" i="24"/>
  <c r="J44" i="31"/>
  <c r="J39" i="27"/>
  <c r="X39" i="10"/>
  <c r="AE15" i="41" s="1"/>
  <c r="J43" i="32"/>
  <c r="X39" i="13"/>
  <c r="AE24" i="41" s="1"/>
  <c r="J39" i="18"/>
  <c r="X36" i="12"/>
  <c r="AA33" i="41" s="1"/>
  <c r="X41" i="18"/>
  <c r="AG25" i="41" s="1"/>
  <c r="J45" i="22"/>
  <c r="J45" i="31"/>
  <c r="J39" i="29"/>
  <c r="J46" i="22"/>
  <c r="X38" i="21"/>
  <c r="AC29" i="41" s="1"/>
  <c r="X42" i="21"/>
  <c r="AI29" i="41" s="1"/>
  <c r="J46" i="17"/>
  <c r="J45" i="30"/>
  <c r="J40" i="9"/>
  <c r="J39" i="30"/>
  <c r="J39" i="8"/>
  <c r="X36" i="10"/>
  <c r="AA15" i="41" s="1"/>
  <c r="X41" i="28"/>
  <c r="AG11" i="41" s="1"/>
  <c r="X39" i="26"/>
  <c r="AE30" i="41" s="1"/>
  <c r="X36" i="20"/>
  <c r="AA18" i="41" s="1"/>
  <c r="X39" i="31"/>
  <c r="AE22" i="41" s="1"/>
  <c r="X42" i="26"/>
  <c r="AI30" i="41" s="1"/>
  <c r="X38" i="8"/>
  <c r="AC7" i="41" s="1"/>
  <c r="X39" i="27"/>
  <c r="AE10" i="41" s="1"/>
  <c r="X41" i="9"/>
  <c r="AG8" i="41" s="1"/>
  <c r="X39" i="8"/>
  <c r="AE7" i="41" s="1"/>
  <c r="J44" i="19"/>
  <c r="X42" i="28"/>
  <c r="AI11" i="41" s="1"/>
  <c r="X39" i="11"/>
  <c r="AE16" i="41" s="1"/>
  <c r="X36" i="32"/>
  <c r="AA12" i="41" s="1"/>
  <c r="X38" i="30"/>
  <c r="AC27" i="41" s="1"/>
  <c r="AC23" i="41" s="1"/>
  <c r="J46" i="28"/>
  <c r="J44" i="8"/>
  <c r="X38" i="12"/>
  <c r="AC33" i="41" s="1"/>
  <c r="X38" i="15"/>
  <c r="AC17" i="41" s="1"/>
  <c r="J39" i="25"/>
  <c r="J43" i="30"/>
  <c r="J43" i="29"/>
  <c r="J45" i="11"/>
  <c r="X38" i="10"/>
  <c r="AC15" i="41" s="1"/>
  <c r="X39" i="7"/>
  <c r="AE14" i="41" s="1"/>
  <c r="X41" i="21"/>
  <c r="AG29" i="41" s="1"/>
  <c r="J46" i="27"/>
  <c r="J46" i="24"/>
  <c r="Y28" i="41"/>
  <c r="J40" i="23"/>
  <c r="X39" i="19"/>
  <c r="AE9" i="41" s="1"/>
  <c r="J39" i="15"/>
  <c r="J39" i="32"/>
  <c r="J40" i="30"/>
  <c r="L31" i="24"/>
  <c r="L34" i="24" s="1"/>
  <c r="J41" i="24" s="1"/>
  <c r="U42" i="24" s="1"/>
  <c r="P26" i="41" s="1"/>
  <c r="J46" i="32"/>
  <c r="J39" i="9"/>
  <c r="J43" i="15"/>
  <c r="J44" i="12"/>
  <c r="R35" i="27"/>
  <c r="X36" i="13"/>
  <c r="AA24" i="41" s="1"/>
  <c r="L31" i="23"/>
  <c r="L34" i="23" s="1"/>
  <c r="J41" i="23" s="1"/>
  <c r="U42" i="23" s="1"/>
  <c r="P20" i="41" s="1"/>
  <c r="R35" i="15"/>
  <c r="J44" i="27"/>
  <c r="J39" i="26"/>
  <c r="R35" i="26"/>
  <c r="X36" i="26"/>
  <c r="AA30" i="41" s="1"/>
  <c r="AA28" i="41" s="1"/>
  <c r="X41" i="32"/>
  <c r="AG12" i="41" s="1"/>
  <c r="X38" i="14"/>
  <c r="AC34" i="41" s="1"/>
  <c r="J40" i="28"/>
  <c r="J46" i="13"/>
  <c r="J39" i="12"/>
  <c r="J44" i="14"/>
  <c r="J45" i="7"/>
  <c r="J45" i="14"/>
  <c r="J43" i="18"/>
  <c r="J44" i="16"/>
  <c r="J40" i="15"/>
  <c r="J39" i="22"/>
  <c r="J45" i="8"/>
  <c r="J43" i="16"/>
  <c r="X36" i="31"/>
  <c r="AA22" i="41" s="1"/>
  <c r="Y32" i="41"/>
  <c r="J44" i="15"/>
  <c r="J39" i="7"/>
  <c r="J46" i="23"/>
  <c r="X42" i="32"/>
  <c r="AI12" i="41" s="1"/>
  <c r="Y23" i="41"/>
  <c r="J39" i="11"/>
  <c r="J44" i="23"/>
  <c r="X41" i="26"/>
  <c r="AG30" i="41" s="1"/>
  <c r="J40" i="17"/>
  <c r="J45" i="20"/>
  <c r="R35" i="30"/>
  <c r="R35" i="11"/>
  <c r="X41" i="30"/>
  <c r="AG27" i="41" s="1"/>
  <c r="X41" i="20"/>
  <c r="AG18" i="41" s="1"/>
  <c r="J44" i="11"/>
  <c r="R35" i="18"/>
  <c r="J44" i="17"/>
  <c r="J40" i="18"/>
  <c r="J43" i="14"/>
  <c r="J40" i="25"/>
  <c r="J39" i="31"/>
  <c r="J40" i="22"/>
  <c r="J43" i="25"/>
  <c r="J40" i="21"/>
  <c r="J45" i="17"/>
  <c r="J40" i="19"/>
  <c r="J46" i="19"/>
  <c r="R35" i="7"/>
  <c r="J43" i="24"/>
  <c r="J45" i="23"/>
  <c r="J45" i="16"/>
  <c r="X38" i="25"/>
  <c r="AC21" i="41" s="1"/>
  <c r="J45" i="12"/>
  <c r="X39" i="21"/>
  <c r="AE29" i="41" s="1"/>
  <c r="X36" i="7"/>
  <c r="AA14" i="41" s="1"/>
  <c r="J45" i="27"/>
  <c r="J39" i="28"/>
  <c r="J43" i="12"/>
  <c r="R35" i="22"/>
  <c r="R35" i="25"/>
  <c r="J40" i="29"/>
  <c r="J46" i="18"/>
  <c r="R35" i="29"/>
  <c r="R35" i="12"/>
  <c r="J39" i="16"/>
  <c r="R35" i="31"/>
  <c r="R35" i="28"/>
  <c r="X38" i="11"/>
  <c r="AC16" i="41" s="1"/>
  <c r="X42" i="9"/>
  <c r="AI8" i="41" s="1"/>
  <c r="J39" i="20"/>
  <c r="J46" i="16"/>
  <c r="X38" i="29"/>
  <c r="AC31" i="41" s="1"/>
  <c r="R35" i="17"/>
  <c r="J43" i="17"/>
  <c r="X38" i="32"/>
  <c r="AC12" i="41" s="1"/>
  <c r="X38" i="31"/>
  <c r="AC22" i="41" s="1"/>
  <c r="J45" i="10"/>
  <c r="AD59" i="4"/>
  <c r="J43" i="23"/>
  <c r="R35" i="9"/>
  <c r="J40" i="11"/>
  <c r="J43" i="9"/>
  <c r="J45" i="15"/>
  <c r="J40" i="8"/>
  <c r="J45" i="25"/>
  <c r="AD61" i="4"/>
  <c r="J46" i="20"/>
  <c r="J39" i="21"/>
  <c r="R35" i="14"/>
  <c r="R35" i="8"/>
  <c r="J44" i="24"/>
  <c r="J45" i="24"/>
  <c r="R35" i="16"/>
  <c r="X41" i="22"/>
  <c r="AG19" i="41" s="1"/>
  <c r="X36" i="14"/>
  <c r="AA34" i="41" s="1"/>
  <c r="AD65" i="4"/>
  <c r="R35" i="20"/>
  <c r="Y13" i="41"/>
  <c r="J44" i="7"/>
  <c r="J40" i="16"/>
  <c r="X36" i="15"/>
  <c r="AA17" i="41" s="1"/>
  <c r="J39" i="19"/>
  <c r="AD57" i="4"/>
  <c r="J39" i="14"/>
  <c r="J45" i="29"/>
  <c r="J39" i="13"/>
  <c r="R35" i="21"/>
  <c r="R35" i="19"/>
  <c r="R35" i="23"/>
  <c r="R35" i="13"/>
  <c r="AD64" i="4"/>
  <c r="J46" i="31"/>
  <c r="J44" i="29"/>
  <c r="J44" i="10"/>
  <c r="J43" i="20"/>
  <c r="AD58" i="4"/>
  <c r="J44" i="25"/>
  <c r="J45" i="18"/>
  <c r="R35" i="24"/>
  <c r="R35" i="10"/>
  <c r="X39" i="20"/>
  <c r="AE18" i="41" s="1"/>
  <c r="AD60" i="4"/>
  <c r="AD62" i="4"/>
  <c r="J39" i="10"/>
  <c r="AD63" i="4"/>
  <c r="J39" i="24"/>
  <c r="J39" i="23"/>
  <c r="L9" i="24"/>
  <c r="J14" i="24" s="1"/>
  <c r="U14" i="24" s="1"/>
  <c r="K26" i="43" s="1"/>
  <c r="L10" i="24"/>
  <c r="J17" i="24" s="1"/>
  <c r="U18" i="24" s="1"/>
  <c r="P26" i="43" s="1"/>
  <c r="L12" i="24"/>
  <c r="J23" i="24" s="1"/>
  <c r="U8" i="24" s="1"/>
  <c r="D26" i="43" s="1"/>
  <c r="L12" i="29"/>
  <c r="J23" i="29" s="1"/>
  <c r="U8" i="29" s="1"/>
  <c r="D31" i="43" s="1"/>
  <c r="L9" i="29"/>
  <c r="J14" i="29" s="1"/>
  <c r="U14" i="29" s="1"/>
  <c r="K31" i="43" s="1"/>
  <c r="L10" i="29"/>
  <c r="J17" i="29" s="1"/>
  <c r="U18" i="29" s="1"/>
  <c r="P31" i="43" s="1"/>
  <c r="L10" i="12"/>
  <c r="J17" i="12" s="1"/>
  <c r="U18" i="12" s="1"/>
  <c r="P33" i="43" s="1"/>
  <c r="L11" i="12"/>
  <c r="J18" i="12" s="1"/>
  <c r="X8" i="12" s="1"/>
  <c r="U33" i="43" s="1"/>
  <c r="L9" i="31"/>
  <c r="J14" i="31" s="1"/>
  <c r="U14" i="31" s="1"/>
  <c r="K22" i="43" s="1"/>
  <c r="L12" i="12"/>
  <c r="J23" i="12" s="1"/>
  <c r="U8" i="12" s="1"/>
  <c r="D33" i="43" s="1"/>
  <c r="L12" i="8"/>
  <c r="J23" i="8" s="1"/>
  <c r="U8" i="8" s="1"/>
  <c r="D7" i="43" s="1"/>
  <c r="L11" i="20"/>
  <c r="J18" i="20" s="1"/>
  <c r="X8" i="20" s="1"/>
  <c r="U18" i="43" s="1"/>
  <c r="L10" i="8"/>
  <c r="J17" i="8" s="1"/>
  <c r="U18" i="8" s="1"/>
  <c r="P7" i="43" s="1"/>
  <c r="L10" i="20"/>
  <c r="J17" i="20" s="1"/>
  <c r="U18" i="20" s="1"/>
  <c r="P18" i="43" s="1"/>
  <c r="L12" i="27"/>
  <c r="J23" i="27" s="1"/>
  <c r="U8" i="27" s="1"/>
  <c r="D10" i="43" s="1"/>
  <c r="L11" i="8"/>
  <c r="J18" i="8" s="1"/>
  <c r="X8" i="8" s="1"/>
  <c r="U7" i="43" s="1"/>
  <c r="L12" i="31"/>
  <c r="J23" i="31" s="1"/>
  <c r="U8" i="31" s="1"/>
  <c r="D22" i="43" s="1"/>
  <c r="L10" i="31"/>
  <c r="J17" i="31" s="1"/>
  <c r="U18" i="31" s="1"/>
  <c r="P22" i="43" s="1"/>
  <c r="L9" i="18"/>
  <c r="J14" i="18" s="1"/>
  <c r="U14" i="18" s="1"/>
  <c r="K25" i="43" s="1"/>
  <c r="L10" i="18"/>
  <c r="J17" i="18" s="1"/>
  <c r="U18" i="18" s="1"/>
  <c r="P25" i="43" s="1"/>
  <c r="L12" i="13"/>
  <c r="J23" i="13" s="1"/>
  <c r="U8" i="13" s="1"/>
  <c r="D24" i="43" s="1"/>
  <c r="L12" i="18"/>
  <c r="J23" i="18" s="1"/>
  <c r="U8" i="18" s="1"/>
  <c r="D25" i="43" s="1"/>
  <c r="L12" i="20"/>
  <c r="J23" i="20" s="1"/>
  <c r="U8" i="20" s="1"/>
  <c r="D18" i="43" s="1"/>
  <c r="L10" i="13"/>
  <c r="J17" i="13" s="1"/>
  <c r="U18" i="13" s="1"/>
  <c r="P24" i="43" s="1"/>
  <c r="L12" i="25"/>
  <c r="J23" i="25" s="1"/>
  <c r="U8" i="25" s="1"/>
  <c r="D21" i="43" s="1"/>
  <c r="L11" i="25"/>
  <c r="J18" i="25" s="1"/>
  <c r="X8" i="25" s="1"/>
  <c r="U21" i="43" s="1"/>
  <c r="L9" i="27"/>
  <c r="J14" i="27" s="1"/>
  <c r="U14" i="27" s="1"/>
  <c r="K10" i="43" s="1"/>
  <c r="L9" i="25"/>
  <c r="J14" i="25" s="1"/>
  <c r="U14" i="25" s="1"/>
  <c r="K21" i="43" s="1"/>
  <c r="L10" i="27"/>
  <c r="J17" i="27" s="1"/>
  <c r="U18" i="27" s="1"/>
  <c r="P10" i="43" s="1"/>
  <c r="L12" i="28"/>
  <c r="J23" i="28" s="1"/>
  <c r="U8" i="28" s="1"/>
  <c r="D11" i="43" s="1"/>
  <c r="L11" i="28"/>
  <c r="J18" i="28" s="1"/>
  <c r="X8" i="28" s="1"/>
  <c r="U11" i="43" s="1"/>
  <c r="L9" i="28"/>
  <c r="J14" i="28" s="1"/>
  <c r="U14" i="28" s="1"/>
  <c r="K11" i="43" s="1"/>
  <c r="L11" i="22"/>
  <c r="J18" i="22" s="1"/>
  <c r="X8" i="22" s="1"/>
  <c r="U19" i="43" s="1"/>
  <c r="L12" i="22"/>
  <c r="J23" i="22" s="1"/>
  <c r="U8" i="22" s="1"/>
  <c r="D19" i="43" s="1"/>
  <c r="L9" i="22"/>
  <c r="J14" i="22" s="1"/>
  <c r="U14" i="22" s="1"/>
  <c r="K19" i="43" s="1"/>
  <c r="L10" i="14"/>
  <c r="J17" i="14" s="1"/>
  <c r="U18" i="14" s="1"/>
  <c r="P34" i="43" s="1"/>
  <c r="J18" i="3"/>
  <c r="X8" i="3" s="1"/>
  <c r="U6" i="43" s="1"/>
  <c r="J17" i="3"/>
  <c r="U18" i="3" s="1"/>
  <c r="P6" i="43" s="1"/>
  <c r="L9" i="23"/>
  <c r="J14" i="23" s="1"/>
  <c r="U14" i="23" s="1"/>
  <c r="K20" i="43" s="1"/>
  <c r="L10" i="19"/>
  <c r="J17" i="19" s="1"/>
  <c r="U18" i="19" s="1"/>
  <c r="P9" i="43" s="1"/>
  <c r="L9" i="19"/>
  <c r="J14" i="19" s="1"/>
  <c r="U14" i="19" s="1"/>
  <c r="K9" i="43" s="1"/>
  <c r="L12" i="19"/>
  <c r="J23" i="19" s="1"/>
  <c r="U8" i="19" s="1"/>
  <c r="D9" i="43" s="1"/>
  <c r="L12" i="23"/>
  <c r="J23" i="23" s="1"/>
  <c r="U8" i="23" s="1"/>
  <c r="D20" i="43" s="1"/>
  <c r="L10" i="23"/>
  <c r="J17" i="23" s="1"/>
  <c r="R7" i="23" s="1"/>
  <c r="R9" i="23" s="1"/>
  <c r="R13" i="23" s="1"/>
  <c r="X7" i="23" s="1"/>
  <c r="T20" i="43" s="1"/>
  <c r="L9" i="9"/>
  <c r="J14" i="9" s="1"/>
  <c r="U14" i="9" s="1"/>
  <c r="K8" i="43" s="1"/>
  <c r="L12" i="14"/>
  <c r="J23" i="14" s="1"/>
  <c r="U8" i="14" s="1"/>
  <c r="D34" i="43" s="1"/>
  <c r="L9" i="16"/>
  <c r="J14" i="16" s="1"/>
  <c r="U14" i="16" s="1"/>
  <c r="K35" i="43" s="1"/>
  <c r="L11" i="26"/>
  <c r="J18" i="26" s="1"/>
  <c r="X8" i="26" s="1"/>
  <c r="U30" i="43" s="1"/>
  <c r="L9" i="14"/>
  <c r="J14" i="14" s="1"/>
  <c r="U14" i="14" s="1"/>
  <c r="K34" i="43" s="1"/>
  <c r="L12" i="16"/>
  <c r="J23" i="16" s="1"/>
  <c r="U8" i="16" s="1"/>
  <c r="D35" i="43" s="1"/>
  <c r="L11" i="16"/>
  <c r="J18" i="16" s="1"/>
  <c r="X8" i="16" s="1"/>
  <c r="U35" i="43" s="1"/>
  <c r="L10" i="17"/>
  <c r="J17" i="17" s="1"/>
  <c r="U18" i="17" s="1"/>
  <c r="P36" i="43" s="1"/>
  <c r="L11" i="9"/>
  <c r="J18" i="9" s="1"/>
  <c r="X8" i="9" s="1"/>
  <c r="U8" i="43" s="1"/>
  <c r="L10" i="11"/>
  <c r="J17" i="11" s="1"/>
  <c r="U18" i="11" s="1"/>
  <c r="P16" i="43" s="1"/>
  <c r="L9" i="17"/>
  <c r="J14" i="17" s="1"/>
  <c r="U14" i="17" s="1"/>
  <c r="K36" i="43" s="1"/>
  <c r="L12" i="17"/>
  <c r="J23" i="17" s="1"/>
  <c r="U8" i="17" s="1"/>
  <c r="D36" i="43" s="1"/>
  <c r="L10" i="9"/>
  <c r="J17" i="9" s="1"/>
  <c r="U18" i="9" s="1"/>
  <c r="P8" i="43" s="1"/>
  <c r="L11" i="32"/>
  <c r="J18" i="32" s="1"/>
  <c r="X8" i="32" s="1"/>
  <c r="U12" i="43" s="1"/>
  <c r="L12" i="30"/>
  <c r="J23" i="30" s="1"/>
  <c r="U8" i="30" s="1"/>
  <c r="D27" i="43" s="1"/>
  <c r="L11" i="30"/>
  <c r="J18" i="30" s="1"/>
  <c r="X8" i="30" s="1"/>
  <c r="U27" i="43" s="1"/>
  <c r="U23" i="43" s="1"/>
  <c r="L11" i="11"/>
  <c r="J18" i="11" s="1"/>
  <c r="X8" i="11" s="1"/>
  <c r="U16" i="43" s="1"/>
  <c r="L9" i="30"/>
  <c r="J14" i="30" s="1"/>
  <c r="U14" i="30" s="1"/>
  <c r="K27" i="43" s="1"/>
  <c r="L12" i="11"/>
  <c r="J23" i="11" s="1"/>
  <c r="U8" i="11" s="1"/>
  <c r="D16" i="43" s="1"/>
  <c r="L10" i="10"/>
  <c r="J17" i="10" s="1"/>
  <c r="U18" i="10" s="1"/>
  <c r="P15" i="43" s="1"/>
  <c r="L12" i="10"/>
  <c r="J23" i="10" s="1"/>
  <c r="U8" i="10" s="1"/>
  <c r="D15" i="43" s="1"/>
  <c r="L11" i="10"/>
  <c r="J18" i="10" s="1"/>
  <c r="X8" i="10" s="1"/>
  <c r="U15" i="43" s="1"/>
  <c r="L12" i="32"/>
  <c r="J23" i="32" s="1"/>
  <c r="U8" i="32" s="1"/>
  <c r="D12" i="43" s="1"/>
  <c r="L9" i="32"/>
  <c r="J14" i="32" s="1"/>
  <c r="U14" i="32" s="1"/>
  <c r="K12" i="43" s="1"/>
  <c r="AC4" i="43"/>
  <c r="L10" i="15"/>
  <c r="J17" i="15" s="1"/>
  <c r="U18" i="15" s="1"/>
  <c r="P17" i="43" s="1"/>
  <c r="L11" i="15"/>
  <c r="J18" i="15" s="1"/>
  <c r="X8" i="15" s="1"/>
  <c r="U17" i="43" s="1"/>
  <c r="L12" i="15"/>
  <c r="J23" i="15" s="1"/>
  <c r="U8" i="15" s="1"/>
  <c r="D17" i="43" s="1"/>
  <c r="AG4" i="43"/>
  <c r="AA4" i="43"/>
  <c r="AE4" i="43"/>
  <c r="AI4" i="43"/>
  <c r="AG13" i="39"/>
  <c r="Y13" i="39"/>
  <c r="Y28" i="39"/>
  <c r="AE13" i="39"/>
  <c r="AC13" i="39"/>
  <c r="AC28" i="39"/>
  <c r="AG23" i="40"/>
  <c r="Y23" i="40"/>
  <c r="AE23" i="39"/>
  <c r="AI23" i="39"/>
  <c r="AA23" i="39"/>
  <c r="B67" i="34"/>
  <c r="V67" i="34"/>
  <c r="J69" i="19"/>
  <c r="J69" i="23"/>
  <c r="J65" i="13"/>
  <c r="O67" i="34"/>
  <c r="J68" i="31"/>
  <c r="J70" i="18"/>
  <c r="AI32" i="39"/>
  <c r="C67" i="34"/>
  <c r="Y5" i="39"/>
  <c r="AD58" i="34"/>
  <c r="I63" i="7"/>
  <c r="L56" i="7" s="1"/>
  <c r="L58" i="7" s="1"/>
  <c r="J63" i="7" s="1"/>
  <c r="U63" i="7" s="1"/>
  <c r="K14" i="39" s="1"/>
  <c r="J67" i="34"/>
  <c r="G67" i="34"/>
  <c r="I63" i="16"/>
  <c r="L56" i="16" s="1"/>
  <c r="L58" i="16" s="1"/>
  <c r="J63" i="16" s="1"/>
  <c r="U63" i="16" s="1"/>
  <c r="K35" i="39" s="1"/>
  <c r="AD64" i="34"/>
  <c r="R60" i="13"/>
  <c r="Y23" i="39"/>
  <c r="AD59" i="34"/>
  <c r="J64" i="20"/>
  <c r="J70" i="13"/>
  <c r="J65" i="17"/>
  <c r="J64" i="30"/>
  <c r="R60" i="19"/>
  <c r="AA13" i="39"/>
  <c r="AC5" i="39"/>
  <c r="L12" i="7"/>
  <c r="J23" i="7" s="1"/>
  <c r="U8" i="7" s="1"/>
  <c r="D14" i="43" s="1"/>
  <c r="L11" i="7"/>
  <c r="J18" i="7" s="1"/>
  <c r="X8" i="7" s="1"/>
  <c r="U14" i="43" s="1"/>
  <c r="L9" i="26"/>
  <c r="J14" i="26" s="1"/>
  <c r="U14" i="26" s="1"/>
  <c r="K30" i="43" s="1"/>
  <c r="L12" i="26"/>
  <c r="J23" i="26" s="1"/>
  <c r="U8" i="26" s="1"/>
  <c r="D30" i="43" s="1"/>
  <c r="J70" i="17"/>
  <c r="P67" i="34"/>
  <c r="Z67" i="34"/>
  <c r="N67" i="34"/>
  <c r="AD56" i="34"/>
  <c r="I66" i="3"/>
  <c r="W67" i="34"/>
  <c r="Y67" i="34"/>
  <c r="K67" i="34"/>
  <c r="I67" i="34"/>
  <c r="H67" i="34"/>
  <c r="J70" i="25"/>
  <c r="F67" i="34"/>
  <c r="R60" i="17"/>
  <c r="R60" i="27"/>
  <c r="R60" i="30"/>
  <c r="AG32" i="39"/>
  <c r="J64" i="27"/>
  <c r="AD65" i="34"/>
  <c r="I63" i="3"/>
  <c r="U67" i="34"/>
  <c r="M67" i="34"/>
  <c r="J71" i="29"/>
  <c r="J64" i="17"/>
  <c r="J69" i="7"/>
  <c r="AG28" i="39"/>
  <c r="Y32" i="39"/>
  <c r="Q67" i="34"/>
  <c r="X67" i="34"/>
  <c r="AD62" i="34"/>
  <c r="R67" i="34"/>
  <c r="AD57" i="34"/>
  <c r="AD60" i="34"/>
  <c r="J71" i="32"/>
  <c r="AD61" i="34"/>
  <c r="AG5" i="39"/>
  <c r="AA67" i="34"/>
  <c r="J69" i="15"/>
  <c r="D67" i="34"/>
  <c r="S67" i="34"/>
  <c r="AD63" i="34"/>
  <c r="J64" i="12"/>
  <c r="AB67" i="34"/>
  <c r="J69" i="22"/>
  <c r="J69" i="26"/>
  <c r="J70" i="20"/>
  <c r="R60" i="12"/>
  <c r="R60" i="23"/>
  <c r="R60" i="29"/>
  <c r="R60" i="31"/>
  <c r="AE32" i="41"/>
  <c r="AG32" i="41"/>
  <c r="X41" i="3"/>
  <c r="AG6" i="41" s="1"/>
  <c r="X38" i="3"/>
  <c r="AC6" i="41" s="1"/>
  <c r="X113" i="3"/>
  <c r="AC6" i="44" s="1"/>
  <c r="AC5" i="44" s="1"/>
  <c r="X36" i="3"/>
  <c r="AA6" i="41" s="1"/>
  <c r="X117" i="3"/>
  <c r="AI6" i="44" s="1"/>
  <c r="AI5" i="44" s="1"/>
  <c r="X39" i="3"/>
  <c r="AE6" i="41" s="1"/>
  <c r="X111" i="3"/>
  <c r="AA6" i="44" s="1"/>
  <c r="AA5" i="44" s="1"/>
  <c r="Y32" i="40"/>
  <c r="AG28" i="40"/>
  <c r="Y28" i="40"/>
  <c r="X116" i="3"/>
  <c r="AG6" i="44" s="1"/>
  <c r="AG5" i="44" s="1"/>
  <c r="X42" i="3"/>
  <c r="AI6" i="41" s="1"/>
  <c r="R35" i="3"/>
  <c r="Y4" i="43"/>
  <c r="L11" i="21"/>
  <c r="J18" i="21" s="1"/>
  <c r="X8" i="21" s="1"/>
  <c r="U29" i="43" s="1"/>
  <c r="L10" i="21"/>
  <c r="J17" i="21" s="1"/>
  <c r="U18" i="21" s="1"/>
  <c r="P29" i="43" s="1"/>
  <c r="L12" i="21"/>
  <c r="J23" i="21" s="1"/>
  <c r="U8" i="21" s="1"/>
  <c r="D29" i="43" s="1"/>
  <c r="J118" i="22"/>
  <c r="AE13" i="44"/>
  <c r="J115" i="22"/>
  <c r="J114" i="22"/>
  <c r="R110" i="22"/>
  <c r="J121" i="22"/>
  <c r="AC13" i="44"/>
  <c r="J119" i="22"/>
  <c r="L10" i="7"/>
  <c r="J17" i="7" s="1"/>
  <c r="U18" i="7" s="1"/>
  <c r="P14" i="43" s="1"/>
  <c r="L9" i="21"/>
  <c r="J14" i="21" s="1"/>
  <c r="U14" i="21" s="1"/>
  <c r="K29" i="43" s="1"/>
  <c r="Y28" i="44"/>
  <c r="Y13" i="44"/>
  <c r="Y32" i="44"/>
  <c r="R60" i="3"/>
  <c r="R85" i="32"/>
  <c r="R85" i="31"/>
  <c r="R85" i="30"/>
  <c r="R85" i="29"/>
  <c r="R85" i="28"/>
  <c r="R85" i="27"/>
  <c r="R85" i="26"/>
  <c r="R85" i="25"/>
  <c r="R85" i="24"/>
  <c r="R85" i="23"/>
  <c r="R85" i="21"/>
  <c r="R85" i="20"/>
  <c r="R85" i="19"/>
  <c r="R85" i="18"/>
  <c r="R85" i="17"/>
  <c r="I4" i="40"/>
  <c r="R85" i="16"/>
  <c r="R85" i="15"/>
  <c r="R85" i="14"/>
  <c r="R85" i="13"/>
  <c r="R85" i="12"/>
  <c r="R85" i="11"/>
  <c r="R85" i="10"/>
  <c r="R85" i="9"/>
  <c r="R85" i="8"/>
  <c r="R85" i="7"/>
  <c r="AI5" i="39"/>
  <c r="AA5" i="39"/>
  <c r="AE5" i="39"/>
  <c r="Y6" i="41"/>
  <c r="J65" i="3"/>
  <c r="J44" i="3"/>
  <c r="L56" i="8"/>
  <c r="L56" i="17"/>
  <c r="L58" i="17" s="1"/>
  <c r="J63" i="17" s="1"/>
  <c r="U63" i="17" s="1"/>
  <c r="K36" i="39" s="1"/>
  <c r="J95" i="8"/>
  <c r="J96" i="17"/>
  <c r="J94" i="18"/>
  <c r="J89" i="8"/>
  <c r="J95" i="23"/>
  <c r="J96" i="13"/>
  <c r="J89" i="24"/>
  <c r="J89" i="23"/>
  <c r="J90" i="32"/>
  <c r="L56" i="10"/>
  <c r="L58" i="10" s="1"/>
  <c r="J63" i="10" s="1"/>
  <c r="U63" i="10" s="1"/>
  <c r="K15" i="39" s="1"/>
  <c r="L56" i="26"/>
  <c r="L58" i="26" s="1"/>
  <c r="J63" i="26" s="1"/>
  <c r="U63" i="26" s="1"/>
  <c r="K30" i="39" s="1"/>
  <c r="L56" i="28"/>
  <c r="L58" i="28" s="1"/>
  <c r="J63" i="28" s="1"/>
  <c r="U63" i="28" s="1"/>
  <c r="K11" i="39" s="1"/>
  <c r="J68" i="3"/>
  <c r="J69" i="3"/>
  <c r="L56" i="27"/>
  <c r="L56" i="15"/>
  <c r="L58" i="15" s="1"/>
  <c r="J63" i="15" s="1"/>
  <c r="U63" i="15" s="1"/>
  <c r="K17" i="39" s="1"/>
  <c r="J70" i="3"/>
  <c r="J43" i="3"/>
  <c r="L56" i="32"/>
  <c r="L58" i="32" s="1"/>
  <c r="J63" i="32" s="1"/>
  <c r="U63" i="32" s="1"/>
  <c r="K12" i="39" s="1"/>
  <c r="J94" i="13"/>
  <c r="J90" i="13"/>
  <c r="J90" i="24"/>
  <c r="AD61" i="35"/>
  <c r="I93" i="3"/>
  <c r="X89" i="3" s="1"/>
  <c r="AE6" i="40" s="1"/>
  <c r="J95" i="12"/>
  <c r="J89" i="13"/>
  <c r="J93" i="9"/>
  <c r="J90" i="28"/>
  <c r="J93" i="12"/>
  <c r="J95" i="19"/>
  <c r="I88" i="11"/>
  <c r="G67" i="35"/>
  <c r="J90" i="23"/>
  <c r="J93" i="19"/>
  <c r="J93" i="26"/>
  <c r="J94" i="25"/>
  <c r="J93" i="21"/>
  <c r="J96" i="32"/>
  <c r="J94" i="27"/>
  <c r="J89" i="29"/>
  <c r="J90" i="7"/>
  <c r="I88" i="28"/>
  <c r="X67" i="35"/>
  <c r="L56" i="23"/>
  <c r="L58" i="23" s="1"/>
  <c r="J63" i="23" s="1"/>
  <c r="U63" i="23" s="1"/>
  <c r="K20" i="39" s="1"/>
  <c r="J89" i="9"/>
  <c r="I95" i="3"/>
  <c r="X92" i="3" s="1"/>
  <c r="AI6" i="40" s="1"/>
  <c r="AD63" i="35"/>
  <c r="J93" i="17"/>
  <c r="I88" i="21"/>
  <c r="Q67" i="35"/>
  <c r="L31" i="21"/>
  <c r="L33" i="21" s="1"/>
  <c r="J38" i="21" s="1"/>
  <c r="U38" i="21" s="1"/>
  <c r="K29" i="41" s="1"/>
  <c r="L56" i="21"/>
  <c r="L58" i="21" s="1"/>
  <c r="J63" i="21" s="1"/>
  <c r="U63" i="21" s="1"/>
  <c r="K29" i="39" s="1"/>
  <c r="L56" i="14"/>
  <c r="L58" i="14" s="1"/>
  <c r="J63" i="14" s="1"/>
  <c r="U63" i="14" s="1"/>
  <c r="K34" i="39" s="1"/>
  <c r="J120" i="3"/>
  <c r="J95" i="18"/>
  <c r="J96" i="16"/>
  <c r="J94" i="19"/>
  <c r="I90" i="3"/>
  <c r="X86" i="3" s="1"/>
  <c r="AA6" i="40" s="1"/>
  <c r="AD58" i="35"/>
  <c r="D67" i="35"/>
  <c r="I88" i="8"/>
  <c r="J96" i="14"/>
  <c r="J94" i="15"/>
  <c r="AD64" i="35"/>
  <c r="I96" i="3"/>
  <c r="X88" i="3" s="1"/>
  <c r="AC6" i="40" s="1"/>
  <c r="H67" i="35"/>
  <c r="I88" i="12"/>
  <c r="J89" i="18"/>
  <c r="J89" i="15"/>
  <c r="I91" i="3"/>
  <c r="AD59" i="35"/>
  <c r="I88" i="14"/>
  <c r="J67" i="35"/>
  <c r="J94" i="24"/>
  <c r="J90" i="11"/>
  <c r="J89" i="17"/>
  <c r="J96" i="20"/>
  <c r="J94" i="26"/>
  <c r="J96" i="24"/>
  <c r="J94" i="21"/>
  <c r="J94" i="28"/>
  <c r="J96" i="23"/>
  <c r="J93" i="28"/>
  <c r="J93" i="30"/>
  <c r="I88" i="29"/>
  <c r="Y67" i="35"/>
  <c r="J94" i="31"/>
  <c r="J93" i="10"/>
  <c r="J95" i="7"/>
  <c r="L56" i="31"/>
  <c r="L58" i="31" s="1"/>
  <c r="J63" i="31" s="1"/>
  <c r="U63" i="31" s="1"/>
  <c r="K22" i="39" s="1"/>
  <c r="L56" i="12"/>
  <c r="J89" i="14"/>
  <c r="AD57" i="35"/>
  <c r="I89" i="3"/>
  <c r="X85" i="3" s="1"/>
  <c r="Y6" i="40" s="1"/>
  <c r="Y5" i="40" s="1"/>
  <c r="J93" i="15"/>
  <c r="J94" i="11"/>
  <c r="J89" i="19"/>
  <c r="J89" i="21"/>
  <c r="J90" i="27"/>
  <c r="I88" i="31"/>
  <c r="AA67" i="35"/>
  <c r="L56" i="22"/>
  <c r="L58" i="22" s="1"/>
  <c r="J63" i="22" s="1"/>
  <c r="U63" i="22" s="1"/>
  <c r="K19" i="39" s="1"/>
  <c r="J40" i="3"/>
  <c r="L56" i="18"/>
  <c r="L58" i="18" s="1"/>
  <c r="J63" i="18" s="1"/>
  <c r="U63" i="18" s="1"/>
  <c r="K25" i="39" s="1"/>
  <c r="L56" i="25"/>
  <c r="L58" i="25" s="1"/>
  <c r="J63" i="25" s="1"/>
  <c r="U63" i="25" s="1"/>
  <c r="K21" i="39" s="1"/>
  <c r="L106" i="20"/>
  <c r="L108" i="20" s="1"/>
  <c r="J113" i="20" s="1"/>
  <c r="U113" i="20" s="1"/>
  <c r="K18" i="44" s="1"/>
  <c r="I67" i="35"/>
  <c r="I88" i="13"/>
  <c r="J93" i="14"/>
  <c r="J95" i="30"/>
  <c r="J94" i="8"/>
  <c r="J90" i="15"/>
  <c r="AD60" i="35"/>
  <c r="I92" i="3"/>
  <c r="J94" i="12"/>
  <c r="O67" i="35"/>
  <c r="I88" i="19"/>
  <c r="J94" i="16"/>
  <c r="J96" i="8"/>
  <c r="J94" i="14"/>
  <c r="J93" i="25"/>
  <c r="J95" i="13"/>
  <c r="J90" i="26"/>
  <c r="J90" i="21"/>
  <c r="J96" i="19"/>
  <c r="J96" i="29"/>
  <c r="J89" i="28"/>
  <c r="J95" i="29"/>
  <c r="J89" i="30"/>
  <c r="J94" i="29"/>
  <c r="J90" i="31"/>
  <c r="J89" i="10"/>
  <c r="I88" i="7"/>
  <c r="C67" i="35"/>
  <c r="J95" i="15"/>
  <c r="J93" i="20"/>
  <c r="J93" i="18"/>
  <c r="J89" i="12"/>
  <c r="J93" i="31"/>
  <c r="J89" i="26"/>
  <c r="J95" i="27"/>
  <c r="J96" i="30"/>
  <c r="J46" i="3"/>
  <c r="L31" i="14"/>
  <c r="L33" i="14" s="1"/>
  <c r="J38" i="14" s="1"/>
  <c r="U38" i="14" s="1"/>
  <c r="K34" i="41" s="1"/>
  <c r="L56" i="20"/>
  <c r="L58" i="20" s="1"/>
  <c r="J63" i="20" s="1"/>
  <c r="U63" i="20" s="1"/>
  <c r="K18" i="39" s="1"/>
  <c r="L31" i="20"/>
  <c r="L56" i="30"/>
  <c r="L58" i="30" s="1"/>
  <c r="J63" i="30" s="1"/>
  <c r="U63" i="30" s="1"/>
  <c r="K27" i="39" s="1"/>
  <c r="L56" i="24"/>
  <c r="L56" i="9"/>
  <c r="L58" i="9" s="1"/>
  <c r="J63" i="9" s="1"/>
  <c r="U63" i="9" s="1"/>
  <c r="K8" i="39" s="1"/>
  <c r="J114" i="3"/>
  <c r="L31" i="32"/>
  <c r="L33" i="32" s="1"/>
  <c r="J38" i="32" s="1"/>
  <c r="U38" i="32" s="1"/>
  <c r="K12" i="41" s="1"/>
  <c r="L31" i="26"/>
  <c r="L33" i="26" s="1"/>
  <c r="J38" i="26" s="1"/>
  <c r="U38" i="26" s="1"/>
  <c r="K30" i="41" s="1"/>
  <c r="J89" i="11"/>
  <c r="J95" i="9"/>
  <c r="J93" i="11"/>
  <c r="J90" i="8"/>
  <c r="L67" i="35"/>
  <c r="I88" i="16"/>
  <c r="J96" i="11"/>
  <c r="J95" i="16"/>
  <c r="J90" i="12"/>
  <c r="J90" i="19"/>
  <c r="J95" i="11"/>
  <c r="I88" i="17"/>
  <c r="M67" i="35"/>
  <c r="J90" i="14"/>
  <c r="J95" i="26"/>
  <c r="J95" i="21"/>
  <c r="J93" i="27"/>
  <c r="J95" i="25"/>
  <c r="I88" i="20"/>
  <c r="P67" i="35"/>
  <c r="J96" i="26"/>
  <c r="I88" i="30"/>
  <c r="Z67" i="35"/>
  <c r="I88" i="32"/>
  <c r="AB67" i="35"/>
  <c r="J90" i="29"/>
  <c r="J93" i="32"/>
  <c r="J95" i="10"/>
  <c r="J96" i="10"/>
  <c r="J96" i="7"/>
  <c r="J45" i="3"/>
  <c r="I88" i="15"/>
  <c r="K67" i="35"/>
  <c r="I88" i="26"/>
  <c r="V67" i="35"/>
  <c r="J90" i="25"/>
  <c r="J64" i="3"/>
  <c r="L31" i="13"/>
  <c r="L33" i="13" s="1"/>
  <c r="J38" i="13" s="1"/>
  <c r="U38" i="13" s="1"/>
  <c r="K24" i="41" s="1"/>
  <c r="L31" i="12"/>
  <c r="L33" i="12" s="1"/>
  <c r="J38" i="12" s="1"/>
  <c r="U38" i="12" s="1"/>
  <c r="K33" i="41" s="1"/>
  <c r="L56" i="19"/>
  <c r="L58" i="19" s="1"/>
  <c r="J63" i="19" s="1"/>
  <c r="U63" i="19" s="1"/>
  <c r="K9" i="39" s="1"/>
  <c r="L56" i="13"/>
  <c r="L58" i="13" s="1"/>
  <c r="J63" i="13" s="1"/>
  <c r="U63" i="13" s="1"/>
  <c r="K24" i="39" s="1"/>
  <c r="J89" i="25"/>
  <c r="I94" i="3"/>
  <c r="X91" i="3" s="1"/>
  <c r="AG6" i="40" s="1"/>
  <c r="AG5" i="40" s="1"/>
  <c r="AD62" i="35"/>
  <c r="J96" i="12"/>
  <c r="E67" i="35"/>
  <c r="I88" i="9"/>
  <c r="N67" i="35"/>
  <c r="I88" i="18"/>
  <c r="J89" i="16"/>
  <c r="J93" i="8"/>
  <c r="J95" i="14"/>
  <c r="J89" i="20"/>
  <c r="J94" i="17"/>
  <c r="J96" i="9"/>
  <c r="J96" i="15"/>
  <c r="J93" i="24"/>
  <c r="J93" i="23"/>
  <c r="J95" i="24"/>
  <c r="J94" i="20"/>
  <c r="J94" i="30"/>
  <c r="J96" i="31"/>
  <c r="J94" i="32"/>
  <c r="J95" i="31"/>
  <c r="J89" i="32"/>
  <c r="I88" i="10"/>
  <c r="F67" i="35"/>
  <c r="J93" i="7"/>
  <c r="J90" i="16"/>
  <c r="J94" i="9"/>
  <c r="J95" i="17"/>
  <c r="J90" i="17"/>
  <c r="J96" i="18"/>
  <c r="I88" i="23"/>
  <c r="S67" i="35"/>
  <c r="J89" i="31"/>
  <c r="J90" i="20"/>
  <c r="J90" i="30"/>
  <c r="J94" i="10"/>
  <c r="J39" i="3"/>
  <c r="L56" i="29"/>
  <c r="L58" i="29" s="1"/>
  <c r="J63" i="29" s="1"/>
  <c r="U63" i="29" s="1"/>
  <c r="K31" i="39" s="1"/>
  <c r="L56" i="11"/>
  <c r="L58" i="11" s="1"/>
  <c r="J63" i="11" s="1"/>
  <c r="U63" i="11" s="1"/>
  <c r="K16" i="39" s="1"/>
  <c r="J71" i="3"/>
  <c r="L31" i="9"/>
  <c r="L33" i="9" s="1"/>
  <c r="J38" i="9" s="1"/>
  <c r="U38" i="9" s="1"/>
  <c r="K8" i="41" s="1"/>
  <c r="I88" i="3"/>
  <c r="AD56" i="35"/>
  <c r="J96" i="21"/>
  <c r="AD65" i="35"/>
  <c r="I97" i="3"/>
  <c r="J90" i="9"/>
  <c r="J90" i="18"/>
  <c r="J93" i="13"/>
  <c r="I88" i="24"/>
  <c r="T67" i="35"/>
  <c r="J96" i="27"/>
  <c r="R67" i="35"/>
  <c r="J93" i="16"/>
  <c r="J96" i="25"/>
  <c r="J94" i="23"/>
  <c r="J95" i="20"/>
  <c r="I88" i="25"/>
  <c r="U67" i="35"/>
  <c r="J89" i="27"/>
  <c r="J95" i="32"/>
  <c r="J96" i="28"/>
  <c r="I88" i="27"/>
  <c r="W67" i="35"/>
  <c r="J95" i="28"/>
  <c r="J93" i="29"/>
  <c r="J90" i="10"/>
  <c r="J89" i="7"/>
  <c r="J94" i="7"/>
  <c r="AD67" i="37" l="1"/>
  <c r="O7" i="3"/>
  <c r="U8" i="3"/>
  <c r="D6" i="43" s="1"/>
  <c r="O9" i="3"/>
  <c r="O11" i="3" s="1"/>
  <c r="O13" i="3" s="1"/>
  <c r="O8" i="3"/>
  <c r="O19" i="3" s="1"/>
  <c r="L35" i="3"/>
  <c r="J42" i="3" s="1"/>
  <c r="X32" i="3" s="1"/>
  <c r="U6" i="41" s="1"/>
  <c r="L36" i="3"/>
  <c r="J47" i="3" s="1"/>
  <c r="U32" i="3" s="1"/>
  <c r="D6" i="41" s="1"/>
  <c r="AG13" i="41"/>
  <c r="L106" i="3"/>
  <c r="L111" i="3" s="1"/>
  <c r="J122" i="3" s="1"/>
  <c r="J118" i="3"/>
  <c r="R110" i="3"/>
  <c r="O7" i="31"/>
  <c r="O8" i="31" s="1"/>
  <c r="O19" i="31" s="1"/>
  <c r="U11" i="31" s="1"/>
  <c r="H22" i="43" s="1"/>
  <c r="AD67" i="35"/>
  <c r="R7" i="24"/>
  <c r="R9" i="24" s="1"/>
  <c r="R13" i="24" s="1"/>
  <c r="X7" i="24" s="1"/>
  <c r="AD67" i="4"/>
  <c r="AD67" i="34"/>
  <c r="U107" i="3"/>
  <c r="D6" i="44" s="1"/>
  <c r="U14" i="3"/>
  <c r="K6" i="43" s="1"/>
  <c r="K5" i="43" s="1"/>
  <c r="U32" i="43"/>
  <c r="J90" i="22"/>
  <c r="L81" i="22"/>
  <c r="L83" i="22" s="1"/>
  <c r="J88" i="22" s="1"/>
  <c r="U88" i="22" s="1"/>
  <c r="K19" i="40" s="1"/>
  <c r="J120" i="22"/>
  <c r="J96" i="22"/>
  <c r="L106" i="22"/>
  <c r="L111" i="22" s="1"/>
  <c r="J122" i="22" s="1"/>
  <c r="U107" i="22" s="1"/>
  <c r="J94" i="22"/>
  <c r="R85" i="22"/>
  <c r="J89" i="22"/>
  <c r="AA4" i="44"/>
  <c r="AG4" i="44"/>
  <c r="AC4" i="44"/>
  <c r="L56" i="3"/>
  <c r="L60" i="3" s="1"/>
  <c r="J67" i="3" s="1"/>
  <c r="AI28" i="41"/>
  <c r="AC28" i="41"/>
  <c r="AE28" i="41"/>
  <c r="L35" i="24"/>
  <c r="J42" i="24" s="1"/>
  <c r="R31" i="24" s="1"/>
  <c r="R33" i="24" s="1"/>
  <c r="R37" i="24" s="1"/>
  <c r="AG23" i="41"/>
  <c r="L33" i="23"/>
  <c r="J38" i="23" s="1"/>
  <c r="U38" i="23" s="1"/>
  <c r="K20" i="41" s="1"/>
  <c r="AC32" i="41"/>
  <c r="L36" i="23"/>
  <c r="J47" i="23" s="1"/>
  <c r="U32" i="23" s="1"/>
  <c r="D20" i="41" s="1"/>
  <c r="AE13" i="41"/>
  <c r="L36" i="24"/>
  <c r="J47" i="24" s="1"/>
  <c r="U32" i="24" s="1"/>
  <c r="D26" i="41" s="1"/>
  <c r="L33" i="24"/>
  <c r="J38" i="24" s="1"/>
  <c r="U38" i="24" s="1"/>
  <c r="K26" i="41" s="1"/>
  <c r="K23" i="41" s="1"/>
  <c r="L35" i="23"/>
  <c r="J42" i="23" s="1"/>
  <c r="X32" i="23" s="1"/>
  <c r="U20" i="41" s="1"/>
  <c r="AG28" i="41"/>
  <c r="AA13" i="41"/>
  <c r="AC13" i="41"/>
  <c r="O7" i="13"/>
  <c r="O8" i="13" s="1"/>
  <c r="O19" i="13" s="1"/>
  <c r="U11" i="13" s="1"/>
  <c r="H24" i="43" s="1"/>
  <c r="P23" i="43"/>
  <c r="O7" i="20"/>
  <c r="O8" i="20" s="1"/>
  <c r="O19" i="20" s="1"/>
  <c r="U11" i="20" s="1"/>
  <c r="H18" i="43" s="1"/>
  <c r="R7" i="29"/>
  <c r="R9" i="29" s="1"/>
  <c r="R13" i="29" s="1"/>
  <c r="R16" i="29" s="1"/>
  <c r="X9" i="29" s="1"/>
  <c r="V31" i="43" s="1"/>
  <c r="O7" i="29"/>
  <c r="O8" i="29" s="1"/>
  <c r="O19" i="29" s="1"/>
  <c r="U11" i="29" s="1"/>
  <c r="H31" i="43" s="1"/>
  <c r="R7" i="12"/>
  <c r="R8" i="12" s="1"/>
  <c r="R12" i="12" s="1"/>
  <c r="U17" i="12" s="1"/>
  <c r="O33" i="43" s="1"/>
  <c r="R7" i="13"/>
  <c r="R8" i="13" s="1"/>
  <c r="R12" i="13" s="1"/>
  <c r="R15" i="13" s="1"/>
  <c r="U19" i="13" s="1"/>
  <c r="Q24" i="43" s="1"/>
  <c r="O7" i="24"/>
  <c r="O9" i="24" s="1"/>
  <c r="O11" i="24" s="1"/>
  <c r="U7" i="24" s="1"/>
  <c r="P28" i="43"/>
  <c r="O7" i="8"/>
  <c r="O8" i="8" s="1"/>
  <c r="O19" i="8" s="1"/>
  <c r="O20" i="8" s="1"/>
  <c r="R7" i="28"/>
  <c r="R9" i="28" s="1"/>
  <c r="R13" i="28" s="1"/>
  <c r="R16" i="28" s="1"/>
  <c r="X9" i="28" s="1"/>
  <c r="V11" i="43" s="1"/>
  <c r="R7" i="18"/>
  <c r="R8" i="18" s="1"/>
  <c r="R12" i="18" s="1"/>
  <c r="U17" i="18" s="1"/>
  <c r="O25" i="43" s="1"/>
  <c r="O7" i="12"/>
  <c r="O8" i="12" s="1"/>
  <c r="O19" i="12" s="1"/>
  <c r="U11" i="12" s="1"/>
  <c r="H33" i="43" s="1"/>
  <c r="R7" i="27"/>
  <c r="R8" i="27" s="1"/>
  <c r="R12" i="27" s="1"/>
  <c r="U17" i="27" s="1"/>
  <c r="O10" i="43" s="1"/>
  <c r="R7" i="8"/>
  <c r="R9" i="8" s="1"/>
  <c r="R13" i="8" s="1"/>
  <c r="X7" i="8" s="1"/>
  <c r="T7" i="43" s="1"/>
  <c r="R7" i="20"/>
  <c r="R8" i="20" s="1"/>
  <c r="R12" i="20" s="1"/>
  <c r="U17" i="20" s="1"/>
  <c r="O18" i="43" s="1"/>
  <c r="R7" i="25"/>
  <c r="R9" i="25" s="1"/>
  <c r="R13" i="25" s="1"/>
  <c r="R16" i="25" s="1"/>
  <c r="X9" i="25" s="1"/>
  <c r="V21" i="43" s="1"/>
  <c r="D23" i="43"/>
  <c r="R7" i="31"/>
  <c r="R8" i="31" s="1"/>
  <c r="R12" i="31" s="1"/>
  <c r="U17" i="31" s="1"/>
  <c r="O22" i="43" s="1"/>
  <c r="O7" i="18"/>
  <c r="O8" i="18" s="1"/>
  <c r="O19" i="18" s="1"/>
  <c r="O20" i="18" s="1"/>
  <c r="U15" i="18" s="1"/>
  <c r="L25" i="43" s="1"/>
  <c r="O7" i="25"/>
  <c r="O8" i="25" s="1"/>
  <c r="O19" i="25" s="1"/>
  <c r="O20" i="25" s="1"/>
  <c r="O7" i="27"/>
  <c r="O8" i="27" s="1"/>
  <c r="O19" i="27" s="1"/>
  <c r="U11" i="27" s="1"/>
  <c r="H10" i="43" s="1"/>
  <c r="O7" i="28"/>
  <c r="O8" i="28" s="1"/>
  <c r="O19" i="28" s="1"/>
  <c r="U11" i="28" s="1"/>
  <c r="H11" i="43" s="1"/>
  <c r="U18" i="23"/>
  <c r="P20" i="43" s="1"/>
  <c r="P13" i="43" s="1"/>
  <c r="R7" i="3"/>
  <c r="R9" i="3" s="1"/>
  <c r="R13" i="3" s="1"/>
  <c r="R16" i="3" s="1"/>
  <c r="O7" i="22"/>
  <c r="O8" i="22" s="1"/>
  <c r="O19" i="22" s="1"/>
  <c r="U11" i="22" s="1"/>
  <c r="H19" i="43" s="1"/>
  <c r="R7" i="22"/>
  <c r="R8" i="22" s="1"/>
  <c r="R12" i="22" s="1"/>
  <c r="U17" i="22" s="1"/>
  <c r="O19" i="43" s="1"/>
  <c r="R7" i="14"/>
  <c r="R8" i="14" s="1"/>
  <c r="R12" i="14" s="1"/>
  <c r="U17" i="14" s="1"/>
  <c r="O34" i="43" s="1"/>
  <c r="P32" i="43"/>
  <c r="K13" i="43"/>
  <c r="R7" i="19"/>
  <c r="R9" i="19" s="1"/>
  <c r="R13" i="19" s="1"/>
  <c r="X7" i="19" s="1"/>
  <c r="T9" i="43" s="1"/>
  <c r="O7" i="9"/>
  <c r="O8" i="9" s="1"/>
  <c r="O19" i="9" s="1"/>
  <c r="U11" i="9" s="1"/>
  <c r="H8" i="43" s="1"/>
  <c r="P5" i="43"/>
  <c r="O7" i="19"/>
  <c r="O9" i="19" s="1"/>
  <c r="O11" i="19" s="1"/>
  <c r="U7" i="19" s="1"/>
  <c r="C9" i="43" s="1"/>
  <c r="O7" i="23"/>
  <c r="O8" i="23" s="1"/>
  <c r="O19" i="23" s="1"/>
  <c r="U11" i="23" s="1"/>
  <c r="H20" i="43" s="1"/>
  <c r="R7" i="17"/>
  <c r="R9" i="17" s="1"/>
  <c r="R13" i="17" s="1"/>
  <c r="X7" i="17" s="1"/>
  <c r="T36" i="43" s="1"/>
  <c r="U28" i="43"/>
  <c r="R7" i="26"/>
  <c r="R9" i="26" s="1"/>
  <c r="R13" i="26" s="1"/>
  <c r="X7" i="26" s="1"/>
  <c r="T30" i="43" s="1"/>
  <c r="D32" i="43"/>
  <c r="O7" i="16"/>
  <c r="O8" i="16" s="1"/>
  <c r="O19" i="16" s="1"/>
  <c r="U11" i="16" s="1"/>
  <c r="H35" i="43" s="1"/>
  <c r="O7" i="14"/>
  <c r="O8" i="14" s="1"/>
  <c r="O19" i="14" s="1"/>
  <c r="U11" i="14" s="1"/>
  <c r="H34" i="43" s="1"/>
  <c r="K32" i="43"/>
  <c r="R7" i="16"/>
  <c r="R8" i="16" s="1"/>
  <c r="R12" i="16" s="1"/>
  <c r="U17" i="16" s="1"/>
  <c r="O35" i="43" s="1"/>
  <c r="U5" i="43"/>
  <c r="O7" i="11"/>
  <c r="O8" i="11" s="1"/>
  <c r="O19" i="11" s="1"/>
  <c r="U11" i="11" s="1"/>
  <c r="H16" i="43" s="1"/>
  <c r="R7" i="9"/>
  <c r="R8" i="9" s="1"/>
  <c r="R12" i="9" s="1"/>
  <c r="R15" i="9" s="1"/>
  <c r="O7" i="17"/>
  <c r="O8" i="17" s="1"/>
  <c r="O19" i="17" s="1"/>
  <c r="U11" i="17" s="1"/>
  <c r="H36" i="43" s="1"/>
  <c r="O7" i="30"/>
  <c r="O8" i="30" s="1"/>
  <c r="O19" i="30" s="1"/>
  <c r="U11" i="30" s="1"/>
  <c r="H27" i="43" s="1"/>
  <c r="R7" i="11"/>
  <c r="R9" i="11" s="1"/>
  <c r="R13" i="11" s="1"/>
  <c r="X7" i="11" s="1"/>
  <c r="T16" i="43" s="1"/>
  <c r="R7" i="32"/>
  <c r="R8" i="32" s="1"/>
  <c r="R12" i="32" s="1"/>
  <c r="U17" i="32" s="1"/>
  <c r="O12" i="43" s="1"/>
  <c r="O7" i="10"/>
  <c r="O8" i="10" s="1"/>
  <c r="O19" i="10" s="1"/>
  <c r="U11" i="10" s="1"/>
  <c r="H15" i="43" s="1"/>
  <c r="R7" i="30"/>
  <c r="R8" i="30" s="1"/>
  <c r="R12" i="30" s="1"/>
  <c r="U17" i="30" s="1"/>
  <c r="O27" i="43" s="1"/>
  <c r="D28" i="43"/>
  <c r="K23" i="43"/>
  <c r="R7" i="10"/>
  <c r="R8" i="10" s="1"/>
  <c r="R12" i="10" s="1"/>
  <c r="U17" i="10" s="1"/>
  <c r="O15" i="43" s="1"/>
  <c r="K28" i="43"/>
  <c r="U13" i="43"/>
  <c r="R7" i="15"/>
  <c r="R8" i="15" s="1"/>
  <c r="R12" i="15" s="1"/>
  <c r="R15" i="15" s="1"/>
  <c r="U19" i="15" s="1"/>
  <c r="Q17" i="43" s="1"/>
  <c r="O7" i="32"/>
  <c r="O8" i="32" s="1"/>
  <c r="O19" i="32" s="1"/>
  <c r="U11" i="32" s="1"/>
  <c r="H12" i="43" s="1"/>
  <c r="O7" i="15"/>
  <c r="O8" i="15" s="1"/>
  <c r="O19" i="15" s="1"/>
  <c r="U11" i="15" s="1"/>
  <c r="H17" i="43" s="1"/>
  <c r="D5" i="43"/>
  <c r="D13" i="43"/>
  <c r="AG4" i="40"/>
  <c r="AC4" i="39"/>
  <c r="AI4" i="39"/>
  <c r="AA4" i="39"/>
  <c r="AE4" i="44"/>
  <c r="AI4" i="44"/>
  <c r="Y4" i="39"/>
  <c r="Y4" i="40"/>
  <c r="AG4" i="39"/>
  <c r="O7" i="7"/>
  <c r="O8" i="7" s="1"/>
  <c r="O7" i="26"/>
  <c r="O8" i="26" s="1"/>
  <c r="O19" i="26" s="1"/>
  <c r="U11" i="26" s="1"/>
  <c r="H30" i="43" s="1"/>
  <c r="R8" i="23"/>
  <c r="R12" i="23" s="1"/>
  <c r="R15" i="23" s="1"/>
  <c r="R16" i="23"/>
  <c r="X9" i="23" s="1"/>
  <c r="V20" i="43" s="1"/>
  <c r="W20" i="43" s="1"/>
  <c r="K28" i="41"/>
  <c r="K13" i="39"/>
  <c r="K28" i="39"/>
  <c r="T26" i="43"/>
  <c r="R16" i="24"/>
  <c r="O7" i="21"/>
  <c r="O8" i="21" s="1"/>
  <c r="O19" i="21" s="1"/>
  <c r="AI32" i="40"/>
  <c r="AI28" i="40"/>
  <c r="R7" i="21"/>
  <c r="R9" i="21" s="1"/>
  <c r="R13" i="21" s="1"/>
  <c r="R7" i="7"/>
  <c r="R8" i="24"/>
  <c r="R12" i="24" s="1"/>
  <c r="U17" i="24" s="1"/>
  <c r="O26" i="43" s="1"/>
  <c r="AA23" i="40"/>
  <c r="AC28" i="40"/>
  <c r="AI23" i="40"/>
  <c r="Y4" i="44"/>
  <c r="AC32" i="40"/>
  <c r="AC13" i="40"/>
  <c r="AE32" i="40"/>
  <c r="AC23" i="40"/>
  <c r="AE28" i="40"/>
  <c r="AA28" i="40"/>
  <c r="AE23" i="40"/>
  <c r="AE23" i="41"/>
  <c r="AI23" i="41"/>
  <c r="AA23" i="41"/>
  <c r="AI32" i="41"/>
  <c r="AA32" i="41"/>
  <c r="AA32" i="40"/>
  <c r="AA13" i="40"/>
  <c r="AI13" i="40"/>
  <c r="AE13" i="40"/>
  <c r="AI13" i="41"/>
  <c r="L34" i="3"/>
  <c r="J41" i="3" s="1"/>
  <c r="U42" i="3" s="1"/>
  <c r="P6" i="41" s="1"/>
  <c r="L109" i="3"/>
  <c r="J116" i="3" s="1"/>
  <c r="U117" i="3" s="1"/>
  <c r="P6" i="44" s="1"/>
  <c r="AE4" i="39"/>
  <c r="R85" i="3"/>
  <c r="L108" i="3"/>
  <c r="J113" i="3" s="1"/>
  <c r="L110" i="3"/>
  <c r="J117" i="3" s="1"/>
  <c r="X107" i="3" s="1"/>
  <c r="U6" i="44" s="1"/>
  <c r="L33" i="3"/>
  <c r="J38" i="3" s="1"/>
  <c r="L81" i="25"/>
  <c r="L83" i="25" s="1"/>
  <c r="J88" i="25" s="1"/>
  <c r="U88" i="25" s="1"/>
  <c r="K21" i="40" s="1"/>
  <c r="L81" i="24"/>
  <c r="L36" i="9"/>
  <c r="J47" i="9" s="1"/>
  <c r="U32" i="9" s="1"/>
  <c r="D8" i="41" s="1"/>
  <c r="L34" i="9"/>
  <c r="J41" i="9" s="1"/>
  <c r="U42" i="9" s="1"/>
  <c r="P8" i="41" s="1"/>
  <c r="L35" i="9"/>
  <c r="J42" i="9" s="1"/>
  <c r="X32" i="9" s="1"/>
  <c r="U8" i="41" s="1"/>
  <c r="L81" i="23"/>
  <c r="L83" i="23" s="1"/>
  <c r="J88" i="23" s="1"/>
  <c r="U88" i="23" s="1"/>
  <c r="K20" i="40" s="1"/>
  <c r="L109" i="29"/>
  <c r="J116" i="29" s="1"/>
  <c r="U117" i="29" s="1"/>
  <c r="P31" i="44" s="1"/>
  <c r="L111" i="29"/>
  <c r="J122" i="29" s="1"/>
  <c r="U107" i="29" s="1"/>
  <c r="L110" i="29"/>
  <c r="J117" i="29" s="1"/>
  <c r="X107" i="29" s="1"/>
  <c r="L81" i="10"/>
  <c r="L81" i="9"/>
  <c r="L83" i="9" s="1"/>
  <c r="J88" i="9" s="1"/>
  <c r="U88" i="9" s="1"/>
  <c r="K8" i="40" s="1"/>
  <c r="L35" i="28"/>
  <c r="J42" i="28" s="1"/>
  <c r="X32" i="28" s="1"/>
  <c r="U11" i="41" s="1"/>
  <c r="L34" i="28"/>
  <c r="J41" i="28" s="1"/>
  <c r="U42" i="28" s="1"/>
  <c r="P11" i="41" s="1"/>
  <c r="L36" i="28"/>
  <c r="J47" i="28" s="1"/>
  <c r="L59" i="13"/>
  <c r="J66" i="13" s="1"/>
  <c r="U67" i="13" s="1"/>
  <c r="P24" i="39" s="1"/>
  <c r="L61" i="13"/>
  <c r="J72" i="13" s="1"/>
  <c r="U57" i="13" s="1"/>
  <c r="L60" i="13"/>
  <c r="J67" i="13" s="1"/>
  <c r="X57" i="13" s="1"/>
  <c r="L36" i="12"/>
  <c r="J47" i="12" s="1"/>
  <c r="L35" i="12"/>
  <c r="J42" i="12" s="1"/>
  <c r="X32" i="12" s="1"/>
  <c r="U33" i="41" s="1"/>
  <c r="L34" i="12"/>
  <c r="J41" i="12" s="1"/>
  <c r="U42" i="12" s="1"/>
  <c r="P33" i="41" s="1"/>
  <c r="L36" i="26"/>
  <c r="J47" i="26" s="1"/>
  <c r="U32" i="26" s="1"/>
  <c r="D30" i="41" s="1"/>
  <c r="L35" i="26"/>
  <c r="J42" i="26" s="1"/>
  <c r="X32" i="26" s="1"/>
  <c r="U30" i="41" s="1"/>
  <c r="L34" i="26"/>
  <c r="J41" i="26" s="1"/>
  <c r="U42" i="26" s="1"/>
  <c r="P30" i="41" s="1"/>
  <c r="L81" i="13"/>
  <c r="L83" i="13" s="1"/>
  <c r="J88" i="13" s="1"/>
  <c r="U88" i="13" s="1"/>
  <c r="K24" i="40" s="1"/>
  <c r="J90" i="3"/>
  <c r="L110" i="17"/>
  <c r="J117" i="17" s="1"/>
  <c r="X107" i="17" s="1"/>
  <c r="L109" i="17"/>
  <c r="J116" i="17" s="1"/>
  <c r="U117" i="17" s="1"/>
  <c r="P36" i="44" s="1"/>
  <c r="L111" i="17"/>
  <c r="J122" i="17" s="1"/>
  <c r="U107" i="17" s="1"/>
  <c r="L111" i="16"/>
  <c r="J122" i="16" s="1"/>
  <c r="U107" i="16" s="1"/>
  <c r="L109" i="16"/>
  <c r="J116" i="16" s="1"/>
  <c r="U117" i="16" s="1"/>
  <c r="P35" i="44" s="1"/>
  <c r="L110" i="16"/>
  <c r="J117" i="16" s="1"/>
  <c r="X107" i="16" s="1"/>
  <c r="L34" i="16"/>
  <c r="J41" i="16" s="1"/>
  <c r="U42" i="16" s="1"/>
  <c r="P35" i="41" s="1"/>
  <c r="L35" i="16"/>
  <c r="J42" i="16" s="1"/>
  <c r="X32" i="16" s="1"/>
  <c r="U35" i="41" s="1"/>
  <c r="L33" i="16"/>
  <c r="J38" i="16" s="1"/>
  <c r="U38" i="16" s="1"/>
  <c r="K35" i="41" s="1"/>
  <c r="K32" i="41" s="1"/>
  <c r="L109" i="8"/>
  <c r="J116" i="8" s="1"/>
  <c r="U117" i="8" s="1"/>
  <c r="P7" i="44" s="1"/>
  <c r="L110" i="8"/>
  <c r="J117" i="8" s="1"/>
  <c r="X107" i="8" s="1"/>
  <c r="L111" i="8"/>
  <c r="J122" i="8" s="1"/>
  <c r="U107" i="8" s="1"/>
  <c r="L81" i="16"/>
  <c r="L83" i="16" s="1"/>
  <c r="J88" i="16" s="1"/>
  <c r="U88" i="16" s="1"/>
  <c r="K35" i="40" s="1"/>
  <c r="L111" i="30"/>
  <c r="J122" i="30" s="1"/>
  <c r="U107" i="30" s="1"/>
  <c r="L109" i="30"/>
  <c r="J116" i="30" s="1"/>
  <c r="U117" i="30" s="1"/>
  <c r="P27" i="44" s="1"/>
  <c r="L110" i="30"/>
  <c r="J117" i="30" s="1"/>
  <c r="X107" i="30" s="1"/>
  <c r="L36" i="20"/>
  <c r="J47" i="20" s="1"/>
  <c r="U32" i="20" s="1"/>
  <c r="D18" i="41" s="1"/>
  <c r="L35" i="20"/>
  <c r="J42" i="20" s="1"/>
  <c r="X32" i="20" s="1"/>
  <c r="U18" i="41" s="1"/>
  <c r="L34" i="20"/>
  <c r="J41" i="20" s="1"/>
  <c r="U42" i="20" s="1"/>
  <c r="P18" i="41" s="1"/>
  <c r="L59" i="22"/>
  <c r="J66" i="22" s="1"/>
  <c r="U67" i="22" s="1"/>
  <c r="P19" i="39" s="1"/>
  <c r="L60" i="22"/>
  <c r="J67" i="22" s="1"/>
  <c r="X57" i="22" s="1"/>
  <c r="L61" i="22"/>
  <c r="J72" i="22" s="1"/>
  <c r="U57" i="22" s="1"/>
  <c r="L60" i="12"/>
  <c r="J67" i="12" s="1"/>
  <c r="X57" i="12" s="1"/>
  <c r="L59" i="12"/>
  <c r="J66" i="12" s="1"/>
  <c r="U67" i="12" s="1"/>
  <c r="P33" i="39" s="1"/>
  <c r="L61" i="12"/>
  <c r="J72" i="12" s="1"/>
  <c r="U57" i="12" s="1"/>
  <c r="L61" i="27"/>
  <c r="J72" i="27" s="1"/>
  <c r="U57" i="27" s="1"/>
  <c r="L60" i="27"/>
  <c r="J67" i="27" s="1"/>
  <c r="X57" i="27" s="1"/>
  <c r="L59" i="27"/>
  <c r="J66" i="27" s="1"/>
  <c r="U67" i="27" s="1"/>
  <c r="P10" i="39" s="1"/>
  <c r="L36" i="16"/>
  <c r="J47" i="16" s="1"/>
  <c r="U32" i="16" s="1"/>
  <c r="D35" i="41" s="1"/>
  <c r="L108" i="8"/>
  <c r="J113" i="8" s="1"/>
  <c r="U113" i="8" s="1"/>
  <c r="K7" i="44" s="1"/>
  <c r="L81" i="30"/>
  <c r="L61" i="24"/>
  <c r="J72" i="24" s="1"/>
  <c r="U57" i="24" s="1"/>
  <c r="L59" i="24"/>
  <c r="J66" i="24" s="1"/>
  <c r="U67" i="24" s="1"/>
  <c r="P26" i="39" s="1"/>
  <c r="L60" i="24"/>
  <c r="J67" i="24" s="1"/>
  <c r="X57" i="24" s="1"/>
  <c r="L108" i="30"/>
  <c r="J113" i="30" s="1"/>
  <c r="U113" i="30" s="1"/>
  <c r="K27" i="44" s="1"/>
  <c r="L109" i="27"/>
  <c r="J116" i="27" s="1"/>
  <c r="U117" i="27" s="1"/>
  <c r="P10" i="44" s="1"/>
  <c r="L111" i="27"/>
  <c r="J122" i="27" s="1"/>
  <c r="U107" i="27" s="1"/>
  <c r="L110" i="27"/>
  <c r="J117" i="27" s="1"/>
  <c r="X107" i="27" s="1"/>
  <c r="L110" i="19"/>
  <c r="J117" i="19" s="1"/>
  <c r="X107" i="19" s="1"/>
  <c r="L109" i="19"/>
  <c r="J116" i="19" s="1"/>
  <c r="U117" i="19" s="1"/>
  <c r="P9" i="44" s="1"/>
  <c r="L111" i="19"/>
  <c r="J122" i="19" s="1"/>
  <c r="U107" i="19" s="1"/>
  <c r="L110" i="24"/>
  <c r="J117" i="24" s="1"/>
  <c r="X107" i="24" s="1"/>
  <c r="L111" i="24"/>
  <c r="J122" i="24" s="1"/>
  <c r="U107" i="24" s="1"/>
  <c r="L109" i="24"/>
  <c r="J116" i="24" s="1"/>
  <c r="U117" i="24" s="1"/>
  <c r="P26" i="44" s="1"/>
  <c r="L81" i="21"/>
  <c r="L83" i="21" s="1"/>
  <c r="J88" i="21" s="1"/>
  <c r="U88" i="21" s="1"/>
  <c r="K29" i="40" s="1"/>
  <c r="L60" i="28"/>
  <c r="J67" i="28" s="1"/>
  <c r="X57" i="28" s="1"/>
  <c r="L61" i="28"/>
  <c r="J72" i="28" s="1"/>
  <c r="L59" i="28"/>
  <c r="J66" i="28" s="1"/>
  <c r="U67" i="28" s="1"/>
  <c r="P11" i="39" s="1"/>
  <c r="L108" i="17"/>
  <c r="J113" i="17" s="1"/>
  <c r="U113" i="17" s="1"/>
  <c r="K36" i="44" s="1"/>
  <c r="L59" i="10"/>
  <c r="J66" i="10" s="1"/>
  <c r="U67" i="10" s="1"/>
  <c r="P15" i="39" s="1"/>
  <c r="L60" i="10"/>
  <c r="J67" i="10" s="1"/>
  <c r="X57" i="10" s="1"/>
  <c r="L61" i="10"/>
  <c r="J72" i="10" s="1"/>
  <c r="U57" i="10" s="1"/>
  <c r="L35" i="7"/>
  <c r="J42" i="7" s="1"/>
  <c r="X32" i="7" s="1"/>
  <c r="U14" i="41" s="1"/>
  <c r="L34" i="7"/>
  <c r="J41" i="7" s="1"/>
  <c r="U42" i="7" s="1"/>
  <c r="P14" i="41" s="1"/>
  <c r="L36" i="7"/>
  <c r="J47" i="7" s="1"/>
  <c r="U32" i="7" s="1"/>
  <c r="D14" i="41" s="1"/>
  <c r="L36" i="15"/>
  <c r="J47" i="15" s="1"/>
  <c r="U32" i="15" s="1"/>
  <c r="D17" i="41" s="1"/>
  <c r="L110" i="9"/>
  <c r="J117" i="9" s="1"/>
  <c r="X107" i="9" s="1"/>
  <c r="L109" i="9"/>
  <c r="J116" i="9" s="1"/>
  <c r="U117" i="9" s="1"/>
  <c r="P8" i="44" s="1"/>
  <c r="L111" i="9"/>
  <c r="J122" i="9" s="1"/>
  <c r="U107" i="9" s="1"/>
  <c r="L34" i="17"/>
  <c r="J41" i="17" s="1"/>
  <c r="U42" i="17" s="1"/>
  <c r="P36" i="41" s="1"/>
  <c r="L35" i="17"/>
  <c r="J42" i="17" s="1"/>
  <c r="X32" i="17" s="1"/>
  <c r="U36" i="41" s="1"/>
  <c r="L36" i="17"/>
  <c r="J47" i="17" s="1"/>
  <c r="L34" i="10"/>
  <c r="J41" i="10" s="1"/>
  <c r="U42" i="10" s="1"/>
  <c r="P15" i="41" s="1"/>
  <c r="L35" i="10"/>
  <c r="J42" i="10" s="1"/>
  <c r="X32" i="10" s="1"/>
  <c r="U15" i="41" s="1"/>
  <c r="L36" i="10"/>
  <c r="J47" i="10" s="1"/>
  <c r="U32" i="10" s="1"/>
  <c r="D15" i="41" s="1"/>
  <c r="L81" i="26"/>
  <c r="L83" i="26" s="1"/>
  <c r="J88" i="26" s="1"/>
  <c r="U88" i="26" s="1"/>
  <c r="K30" i="40" s="1"/>
  <c r="L36" i="32"/>
  <c r="J47" i="32" s="1"/>
  <c r="L35" i="32"/>
  <c r="J42" i="32" s="1"/>
  <c r="X32" i="32" s="1"/>
  <c r="U12" i="41" s="1"/>
  <c r="L34" i="32"/>
  <c r="J41" i="32" s="1"/>
  <c r="U42" i="32" s="1"/>
  <c r="P12" i="41" s="1"/>
  <c r="L33" i="20"/>
  <c r="J38" i="20" s="1"/>
  <c r="U38" i="20" s="1"/>
  <c r="K18" i="41" s="1"/>
  <c r="L35" i="14"/>
  <c r="J42" i="14" s="1"/>
  <c r="X32" i="14" s="1"/>
  <c r="U34" i="41" s="1"/>
  <c r="L34" i="14"/>
  <c r="J41" i="14" s="1"/>
  <c r="U42" i="14" s="1"/>
  <c r="P34" i="41" s="1"/>
  <c r="L36" i="14"/>
  <c r="J47" i="14" s="1"/>
  <c r="U32" i="14" s="1"/>
  <c r="D34" i="41" s="1"/>
  <c r="L81" i="7"/>
  <c r="L81" i="19"/>
  <c r="L83" i="19" s="1"/>
  <c r="J88" i="19" s="1"/>
  <c r="U88" i="19" s="1"/>
  <c r="K9" i="40" s="1"/>
  <c r="L109" i="23"/>
  <c r="J116" i="23" s="1"/>
  <c r="U117" i="23" s="1"/>
  <c r="P20" i="44" s="1"/>
  <c r="L110" i="23"/>
  <c r="J117" i="23" s="1"/>
  <c r="X107" i="23" s="1"/>
  <c r="L111" i="23"/>
  <c r="J122" i="23" s="1"/>
  <c r="U107" i="23" s="1"/>
  <c r="L60" i="25"/>
  <c r="J67" i="25" s="1"/>
  <c r="X57" i="25" s="1"/>
  <c r="L61" i="25"/>
  <c r="J72" i="25" s="1"/>
  <c r="U57" i="25" s="1"/>
  <c r="L59" i="25"/>
  <c r="J66" i="25" s="1"/>
  <c r="U67" i="25" s="1"/>
  <c r="P21" i="39" s="1"/>
  <c r="L81" i="31"/>
  <c r="L83" i="31" s="1"/>
  <c r="J88" i="31" s="1"/>
  <c r="U88" i="31" s="1"/>
  <c r="K22" i="40" s="1"/>
  <c r="L58" i="12"/>
  <c r="J63" i="12" s="1"/>
  <c r="U63" i="12" s="1"/>
  <c r="K33" i="39" s="1"/>
  <c r="K32" i="39" s="1"/>
  <c r="L81" i="14"/>
  <c r="L83" i="14" s="1"/>
  <c r="J88" i="14" s="1"/>
  <c r="U88" i="14" s="1"/>
  <c r="K34" i="40" s="1"/>
  <c r="L60" i="21"/>
  <c r="J67" i="21" s="1"/>
  <c r="X57" i="21" s="1"/>
  <c r="L61" i="21"/>
  <c r="J72" i="21" s="1"/>
  <c r="U57" i="21" s="1"/>
  <c r="L59" i="21"/>
  <c r="J66" i="21" s="1"/>
  <c r="U67" i="21" s="1"/>
  <c r="P29" i="39" s="1"/>
  <c r="L35" i="11"/>
  <c r="J42" i="11" s="1"/>
  <c r="X32" i="11" s="1"/>
  <c r="U16" i="41" s="1"/>
  <c r="L36" i="11"/>
  <c r="J47" i="11" s="1"/>
  <c r="U32" i="11" s="1"/>
  <c r="D16" i="41" s="1"/>
  <c r="L34" i="11"/>
  <c r="J41" i="11" s="1"/>
  <c r="U42" i="11" s="1"/>
  <c r="P16" i="41" s="1"/>
  <c r="L59" i="23"/>
  <c r="J66" i="23" s="1"/>
  <c r="U67" i="23" s="1"/>
  <c r="P20" i="39" s="1"/>
  <c r="L60" i="23"/>
  <c r="J67" i="23" s="1"/>
  <c r="X57" i="23" s="1"/>
  <c r="L61" i="23"/>
  <c r="J72" i="23" s="1"/>
  <c r="U57" i="23" s="1"/>
  <c r="L60" i="32"/>
  <c r="J67" i="32" s="1"/>
  <c r="X57" i="32" s="1"/>
  <c r="L61" i="32"/>
  <c r="J72" i="32" s="1"/>
  <c r="U57" i="32" s="1"/>
  <c r="L59" i="32"/>
  <c r="J66" i="32" s="1"/>
  <c r="U67" i="32" s="1"/>
  <c r="P12" i="39" s="1"/>
  <c r="L58" i="27"/>
  <c r="J63" i="27" s="1"/>
  <c r="U63" i="27" s="1"/>
  <c r="K10" i="39" s="1"/>
  <c r="L61" i="8"/>
  <c r="J72" i="8" s="1"/>
  <c r="U57" i="8" s="1"/>
  <c r="D7" i="39" s="1"/>
  <c r="L59" i="8"/>
  <c r="J66" i="8" s="1"/>
  <c r="U67" i="8" s="1"/>
  <c r="P7" i="39" s="1"/>
  <c r="L60" i="8"/>
  <c r="J67" i="8" s="1"/>
  <c r="X57" i="8" s="1"/>
  <c r="L60" i="11"/>
  <c r="J67" i="11" s="1"/>
  <c r="X57" i="11" s="1"/>
  <c r="L59" i="11"/>
  <c r="J66" i="11" s="1"/>
  <c r="U67" i="11" s="1"/>
  <c r="P16" i="39" s="1"/>
  <c r="L61" i="11"/>
  <c r="J72" i="11" s="1"/>
  <c r="L111" i="31"/>
  <c r="J122" i="31" s="1"/>
  <c r="U107" i="31" s="1"/>
  <c r="L110" i="31"/>
  <c r="J117" i="31" s="1"/>
  <c r="X107" i="31" s="1"/>
  <c r="L109" i="31"/>
  <c r="J116" i="31" s="1"/>
  <c r="U117" i="31" s="1"/>
  <c r="P22" i="44" s="1"/>
  <c r="L81" i="17"/>
  <c r="L83" i="17" s="1"/>
  <c r="J88" i="17" s="1"/>
  <c r="U88" i="17" s="1"/>
  <c r="K36" i="40" s="1"/>
  <c r="L58" i="24"/>
  <c r="J63" i="24" s="1"/>
  <c r="U63" i="24" s="1"/>
  <c r="K26" i="39" s="1"/>
  <c r="K23" i="39" s="1"/>
  <c r="L35" i="25"/>
  <c r="J42" i="25" s="1"/>
  <c r="X32" i="25" s="1"/>
  <c r="U21" i="41" s="1"/>
  <c r="L34" i="25"/>
  <c r="J41" i="25" s="1"/>
  <c r="U42" i="25" s="1"/>
  <c r="P21" i="41" s="1"/>
  <c r="L36" i="25"/>
  <c r="J47" i="25" s="1"/>
  <c r="U32" i="25" s="1"/>
  <c r="D21" i="41" s="1"/>
  <c r="L108" i="27"/>
  <c r="J113" i="27" s="1"/>
  <c r="U113" i="27" s="1"/>
  <c r="K10" i="44" s="1"/>
  <c r="L108" i="24"/>
  <c r="J113" i="24" s="1"/>
  <c r="U113" i="24" s="1"/>
  <c r="K26" i="44" s="1"/>
  <c r="L61" i="18"/>
  <c r="J72" i="18" s="1"/>
  <c r="U57" i="18" s="1"/>
  <c r="L60" i="18"/>
  <c r="J67" i="18" s="1"/>
  <c r="X57" i="18" s="1"/>
  <c r="L59" i="18"/>
  <c r="J66" i="18" s="1"/>
  <c r="U67" i="18" s="1"/>
  <c r="P25" i="39" s="1"/>
  <c r="J89" i="3"/>
  <c r="L61" i="31"/>
  <c r="J72" i="31" s="1"/>
  <c r="L60" i="31"/>
  <c r="J67" i="31" s="1"/>
  <c r="X57" i="31" s="1"/>
  <c r="L59" i="31"/>
  <c r="J66" i="31" s="1"/>
  <c r="U67" i="31" s="1"/>
  <c r="P22" i="39" s="1"/>
  <c r="L81" i="29"/>
  <c r="L83" i="29" s="1"/>
  <c r="J88" i="29" s="1"/>
  <c r="U88" i="29" s="1"/>
  <c r="K31" i="40" s="1"/>
  <c r="L81" i="12"/>
  <c r="L83" i="12" s="1"/>
  <c r="J88" i="12" s="1"/>
  <c r="U88" i="12" s="1"/>
  <c r="K33" i="40" s="1"/>
  <c r="L34" i="22"/>
  <c r="J41" i="22" s="1"/>
  <c r="U42" i="22" s="1"/>
  <c r="P19" i="41" s="1"/>
  <c r="L36" i="22"/>
  <c r="J47" i="22" s="1"/>
  <c r="L35" i="22"/>
  <c r="J42" i="22" s="1"/>
  <c r="X32" i="22" s="1"/>
  <c r="U19" i="41" s="1"/>
  <c r="L34" i="31"/>
  <c r="J41" i="31" s="1"/>
  <c r="U42" i="31" s="1"/>
  <c r="P22" i="41" s="1"/>
  <c r="L36" i="31"/>
  <c r="J47" i="31" s="1"/>
  <c r="U32" i="31" s="1"/>
  <c r="D22" i="41" s="1"/>
  <c r="L35" i="31"/>
  <c r="J42" i="31" s="1"/>
  <c r="X32" i="31" s="1"/>
  <c r="U22" i="41" s="1"/>
  <c r="L81" i="28"/>
  <c r="L83" i="28" s="1"/>
  <c r="J88" i="28" s="1"/>
  <c r="U88" i="28" s="1"/>
  <c r="K11" i="40" s="1"/>
  <c r="L36" i="30"/>
  <c r="J47" i="30" s="1"/>
  <c r="U32" i="30" s="1"/>
  <c r="D27" i="41" s="1"/>
  <c r="L34" i="30"/>
  <c r="J41" i="30" s="1"/>
  <c r="U42" i="30" s="1"/>
  <c r="P27" i="41" s="1"/>
  <c r="L35" i="30"/>
  <c r="J42" i="30" s="1"/>
  <c r="X32" i="30" s="1"/>
  <c r="U27" i="41" s="1"/>
  <c r="L59" i="26"/>
  <c r="J66" i="26" s="1"/>
  <c r="U67" i="26" s="1"/>
  <c r="P30" i="39" s="1"/>
  <c r="L60" i="26"/>
  <c r="J67" i="26" s="1"/>
  <c r="X57" i="26" s="1"/>
  <c r="L61" i="26"/>
  <c r="J72" i="26" s="1"/>
  <c r="U57" i="26" s="1"/>
  <c r="L109" i="10"/>
  <c r="J116" i="10" s="1"/>
  <c r="U117" i="10" s="1"/>
  <c r="P15" i="44" s="1"/>
  <c r="L111" i="10"/>
  <c r="J122" i="10" s="1"/>
  <c r="L110" i="10"/>
  <c r="J117" i="10" s="1"/>
  <c r="X107" i="10" s="1"/>
  <c r="L109" i="32"/>
  <c r="J116" i="32" s="1"/>
  <c r="U117" i="32" s="1"/>
  <c r="P12" i="44" s="1"/>
  <c r="L110" i="32"/>
  <c r="J117" i="32" s="1"/>
  <c r="X107" i="32" s="1"/>
  <c r="L111" i="32"/>
  <c r="J122" i="32" s="1"/>
  <c r="U107" i="32" s="1"/>
  <c r="L81" i="27"/>
  <c r="L83" i="27" s="1"/>
  <c r="J88" i="27" s="1"/>
  <c r="U88" i="27" s="1"/>
  <c r="K10" i="40" s="1"/>
  <c r="L81" i="3"/>
  <c r="L85" i="3" s="1"/>
  <c r="J92" i="3" s="1"/>
  <c r="X82" i="3" s="1"/>
  <c r="U6" i="40" s="1"/>
  <c r="L108" i="9"/>
  <c r="J113" i="9" s="1"/>
  <c r="U113" i="9" s="1"/>
  <c r="K8" i="44" s="1"/>
  <c r="L111" i="11"/>
  <c r="J122" i="11" s="1"/>
  <c r="U107" i="11" s="1"/>
  <c r="L109" i="11"/>
  <c r="J116" i="11" s="1"/>
  <c r="U117" i="11" s="1"/>
  <c r="P16" i="44" s="1"/>
  <c r="L110" i="11"/>
  <c r="J117" i="11" s="1"/>
  <c r="X107" i="11" s="1"/>
  <c r="L110" i="14"/>
  <c r="J117" i="14" s="1"/>
  <c r="X107" i="14" s="1"/>
  <c r="L109" i="14"/>
  <c r="J116" i="14" s="1"/>
  <c r="U117" i="14" s="1"/>
  <c r="P34" i="44" s="1"/>
  <c r="L111" i="14"/>
  <c r="J122" i="14" s="1"/>
  <c r="U107" i="14" s="1"/>
  <c r="L61" i="7"/>
  <c r="J72" i="7" s="1"/>
  <c r="U57" i="7" s="1"/>
  <c r="L60" i="7"/>
  <c r="J67" i="7" s="1"/>
  <c r="X57" i="7" s="1"/>
  <c r="L59" i="7"/>
  <c r="J66" i="7" s="1"/>
  <c r="U67" i="7" s="1"/>
  <c r="P14" i="39" s="1"/>
  <c r="L60" i="20"/>
  <c r="J67" i="20" s="1"/>
  <c r="X57" i="20" s="1"/>
  <c r="L61" i="20"/>
  <c r="J72" i="20" s="1"/>
  <c r="U57" i="20" s="1"/>
  <c r="L59" i="20"/>
  <c r="J66" i="20" s="1"/>
  <c r="U67" i="20" s="1"/>
  <c r="P18" i="39" s="1"/>
  <c r="L110" i="26"/>
  <c r="J117" i="26" s="1"/>
  <c r="X107" i="26" s="1"/>
  <c r="L111" i="26"/>
  <c r="J122" i="26" s="1"/>
  <c r="U107" i="26" s="1"/>
  <c r="L109" i="26"/>
  <c r="J116" i="26" s="1"/>
  <c r="U117" i="26" s="1"/>
  <c r="P30" i="44" s="1"/>
  <c r="L111" i="7"/>
  <c r="J122" i="7" s="1"/>
  <c r="U107" i="7" s="1"/>
  <c r="L110" i="7"/>
  <c r="J117" i="7" s="1"/>
  <c r="X107" i="7" s="1"/>
  <c r="L109" i="7"/>
  <c r="J116" i="7" s="1"/>
  <c r="U117" i="7" s="1"/>
  <c r="P14" i="44" s="1"/>
  <c r="L81" i="8"/>
  <c r="L60" i="17"/>
  <c r="J67" i="17" s="1"/>
  <c r="X57" i="17" s="1"/>
  <c r="L59" i="17"/>
  <c r="J66" i="17" s="1"/>
  <c r="U67" i="17" s="1"/>
  <c r="P36" i="39" s="1"/>
  <c r="L61" i="17"/>
  <c r="J72" i="17" s="1"/>
  <c r="U57" i="17" s="1"/>
  <c r="L58" i="8"/>
  <c r="J63" i="8" s="1"/>
  <c r="U63" i="8" s="1"/>
  <c r="K7" i="39" s="1"/>
  <c r="L108" i="32"/>
  <c r="J113" i="32" s="1"/>
  <c r="U113" i="32" s="1"/>
  <c r="K12" i="44" s="1"/>
  <c r="L59" i="29"/>
  <c r="J66" i="29" s="1"/>
  <c r="U67" i="29" s="1"/>
  <c r="P31" i="39" s="1"/>
  <c r="L60" i="29"/>
  <c r="J67" i="29" s="1"/>
  <c r="X57" i="29" s="1"/>
  <c r="L61" i="29"/>
  <c r="J72" i="29" s="1"/>
  <c r="U57" i="29" s="1"/>
  <c r="L109" i="18"/>
  <c r="J116" i="18" s="1"/>
  <c r="U117" i="18" s="1"/>
  <c r="P25" i="44" s="1"/>
  <c r="L111" i="18"/>
  <c r="J122" i="18" s="1"/>
  <c r="U107" i="18" s="1"/>
  <c r="L110" i="18"/>
  <c r="J117" i="18" s="1"/>
  <c r="X107" i="18" s="1"/>
  <c r="L35" i="18"/>
  <c r="J42" i="18" s="1"/>
  <c r="X32" i="18" s="1"/>
  <c r="U25" i="41" s="1"/>
  <c r="L34" i="18"/>
  <c r="J41" i="18" s="1"/>
  <c r="U42" i="18" s="1"/>
  <c r="P25" i="41" s="1"/>
  <c r="L36" i="18"/>
  <c r="J47" i="18" s="1"/>
  <c r="U32" i="18" s="1"/>
  <c r="D25" i="41" s="1"/>
  <c r="L109" i="13"/>
  <c r="J116" i="13" s="1"/>
  <c r="U117" i="13" s="1"/>
  <c r="P24" i="44" s="1"/>
  <c r="L110" i="13"/>
  <c r="J117" i="13" s="1"/>
  <c r="X107" i="13" s="1"/>
  <c r="L111" i="13"/>
  <c r="J122" i="13" s="1"/>
  <c r="U107" i="13" s="1"/>
  <c r="L81" i="18"/>
  <c r="L83" i="18" s="1"/>
  <c r="J88" i="18" s="1"/>
  <c r="U88" i="18" s="1"/>
  <c r="K25" i="40" s="1"/>
  <c r="L59" i="19"/>
  <c r="J66" i="19" s="1"/>
  <c r="U67" i="19" s="1"/>
  <c r="P9" i="39" s="1"/>
  <c r="L60" i="19"/>
  <c r="J67" i="19" s="1"/>
  <c r="X57" i="19" s="1"/>
  <c r="L61" i="19"/>
  <c r="J72" i="19" s="1"/>
  <c r="U57" i="19" s="1"/>
  <c r="L81" i="32"/>
  <c r="L83" i="32" s="1"/>
  <c r="J88" i="32" s="1"/>
  <c r="U88" i="32" s="1"/>
  <c r="K12" i="40" s="1"/>
  <c r="L81" i="20"/>
  <c r="L83" i="20" s="1"/>
  <c r="J88" i="20" s="1"/>
  <c r="U88" i="20" s="1"/>
  <c r="K18" i="40" s="1"/>
  <c r="L109" i="20"/>
  <c r="J116" i="20" s="1"/>
  <c r="U117" i="20" s="1"/>
  <c r="P18" i="44" s="1"/>
  <c r="L111" i="20"/>
  <c r="J122" i="20" s="1"/>
  <c r="U107" i="20" s="1"/>
  <c r="L110" i="20"/>
  <c r="J117" i="20" s="1"/>
  <c r="X107" i="20" s="1"/>
  <c r="L109" i="25"/>
  <c r="J116" i="25" s="1"/>
  <c r="U117" i="25" s="1"/>
  <c r="P21" i="44" s="1"/>
  <c r="L111" i="25"/>
  <c r="J122" i="25" s="1"/>
  <c r="U107" i="25" s="1"/>
  <c r="L110" i="25"/>
  <c r="J117" i="25" s="1"/>
  <c r="X107" i="25" s="1"/>
  <c r="J96" i="3"/>
  <c r="J95" i="3"/>
  <c r="L110" i="15"/>
  <c r="J117" i="15" s="1"/>
  <c r="X107" i="15" s="1"/>
  <c r="L109" i="15"/>
  <c r="J116" i="15" s="1"/>
  <c r="U117" i="15" s="1"/>
  <c r="P17" i="44" s="1"/>
  <c r="L111" i="15"/>
  <c r="J122" i="15" s="1"/>
  <c r="U107" i="15" s="1"/>
  <c r="L81" i="11"/>
  <c r="L83" i="11" s="1"/>
  <c r="J88" i="11" s="1"/>
  <c r="U88" i="11" s="1"/>
  <c r="K16" i="40" s="1"/>
  <c r="J93" i="3"/>
  <c r="L111" i="12"/>
  <c r="J122" i="12" s="1"/>
  <c r="U107" i="12" s="1"/>
  <c r="L110" i="12"/>
  <c r="J117" i="12" s="1"/>
  <c r="X107" i="12" s="1"/>
  <c r="L109" i="12"/>
  <c r="J116" i="12" s="1"/>
  <c r="U117" i="12" s="1"/>
  <c r="P33" i="44" s="1"/>
  <c r="J94" i="3"/>
  <c r="L36" i="13"/>
  <c r="J47" i="13" s="1"/>
  <c r="L35" i="13"/>
  <c r="J42" i="13" s="1"/>
  <c r="X32" i="13" s="1"/>
  <c r="U24" i="41" s="1"/>
  <c r="L34" i="13"/>
  <c r="J41" i="13" s="1"/>
  <c r="U42" i="13" s="1"/>
  <c r="P24" i="41" s="1"/>
  <c r="L81" i="15"/>
  <c r="L83" i="15" s="1"/>
  <c r="J88" i="15" s="1"/>
  <c r="U88" i="15" s="1"/>
  <c r="K17" i="40" s="1"/>
  <c r="L59" i="9"/>
  <c r="J66" i="9" s="1"/>
  <c r="U67" i="9" s="1"/>
  <c r="P8" i="39" s="1"/>
  <c r="L61" i="9"/>
  <c r="J72" i="9" s="1"/>
  <c r="L60" i="9"/>
  <c r="J67" i="9" s="1"/>
  <c r="X57" i="9" s="1"/>
  <c r="L60" i="30"/>
  <c r="J67" i="30" s="1"/>
  <c r="X57" i="30" s="1"/>
  <c r="L61" i="30"/>
  <c r="J72" i="30" s="1"/>
  <c r="U57" i="30" s="1"/>
  <c r="L59" i="30"/>
  <c r="J66" i="30" s="1"/>
  <c r="U67" i="30" s="1"/>
  <c r="P27" i="39" s="1"/>
  <c r="L110" i="21"/>
  <c r="J117" i="21" s="1"/>
  <c r="X107" i="21" s="1"/>
  <c r="L109" i="21"/>
  <c r="J116" i="21" s="1"/>
  <c r="U117" i="21" s="1"/>
  <c r="P29" i="44" s="1"/>
  <c r="L111" i="21"/>
  <c r="J122" i="21" s="1"/>
  <c r="U107" i="21" s="1"/>
  <c r="L35" i="15"/>
  <c r="J42" i="15" s="1"/>
  <c r="X32" i="15" s="1"/>
  <c r="U17" i="41" s="1"/>
  <c r="L34" i="15"/>
  <c r="J41" i="15" s="1"/>
  <c r="U42" i="15" s="1"/>
  <c r="P17" i="41" s="1"/>
  <c r="L35" i="27"/>
  <c r="J42" i="27" s="1"/>
  <c r="X32" i="27" s="1"/>
  <c r="U10" i="41" s="1"/>
  <c r="L34" i="27"/>
  <c r="J41" i="27" s="1"/>
  <c r="U42" i="27" s="1"/>
  <c r="P10" i="41" s="1"/>
  <c r="L36" i="27"/>
  <c r="J47" i="27" s="1"/>
  <c r="L59" i="14"/>
  <c r="J66" i="14" s="1"/>
  <c r="U67" i="14" s="1"/>
  <c r="P34" i="39" s="1"/>
  <c r="L61" i="14"/>
  <c r="J72" i="14" s="1"/>
  <c r="U57" i="14" s="1"/>
  <c r="L60" i="14"/>
  <c r="J67" i="14" s="1"/>
  <c r="X57" i="14" s="1"/>
  <c r="L34" i="21"/>
  <c r="J41" i="21" s="1"/>
  <c r="U42" i="21" s="1"/>
  <c r="P29" i="41" s="1"/>
  <c r="L36" i="21"/>
  <c r="J47" i="21" s="1"/>
  <c r="L35" i="21"/>
  <c r="J42" i="21" s="1"/>
  <c r="X32" i="21" s="1"/>
  <c r="U29" i="41" s="1"/>
  <c r="L109" i="28"/>
  <c r="J116" i="28" s="1"/>
  <c r="U117" i="28" s="1"/>
  <c r="P11" i="44" s="1"/>
  <c r="L110" i="28"/>
  <c r="J117" i="28" s="1"/>
  <c r="X107" i="28" s="1"/>
  <c r="L111" i="28"/>
  <c r="J122" i="28" s="1"/>
  <c r="L59" i="16"/>
  <c r="J66" i="16" s="1"/>
  <c r="U67" i="16" s="1"/>
  <c r="P35" i="39" s="1"/>
  <c r="L61" i="16"/>
  <c r="J72" i="16" s="1"/>
  <c r="U57" i="16" s="1"/>
  <c r="L60" i="16"/>
  <c r="J67" i="16" s="1"/>
  <c r="X57" i="16" s="1"/>
  <c r="L61" i="15"/>
  <c r="J72" i="15" s="1"/>
  <c r="L59" i="15"/>
  <c r="J66" i="15" s="1"/>
  <c r="U67" i="15" s="1"/>
  <c r="P17" i="39" s="1"/>
  <c r="L60" i="15"/>
  <c r="J67" i="15" s="1"/>
  <c r="X57" i="15" s="1"/>
  <c r="L108" i="16"/>
  <c r="J113" i="16" s="1"/>
  <c r="U113" i="16" s="1"/>
  <c r="K35" i="44" s="1"/>
  <c r="L35" i="29"/>
  <c r="J42" i="29" s="1"/>
  <c r="X32" i="29" s="1"/>
  <c r="U31" i="41" s="1"/>
  <c r="L36" i="29"/>
  <c r="J47" i="29" s="1"/>
  <c r="U32" i="29" s="1"/>
  <c r="D31" i="41" s="1"/>
  <c r="L34" i="29"/>
  <c r="J41" i="29" s="1"/>
  <c r="U42" i="29" s="1"/>
  <c r="P31" i="41" s="1"/>
  <c r="L35" i="8"/>
  <c r="J42" i="8" s="1"/>
  <c r="X32" i="8" s="1"/>
  <c r="U7" i="41" s="1"/>
  <c r="L36" i="8"/>
  <c r="J47" i="8" s="1"/>
  <c r="U32" i="8" s="1"/>
  <c r="D7" i="41" s="1"/>
  <c r="L34" i="8"/>
  <c r="J41" i="8" s="1"/>
  <c r="U42" i="8" s="1"/>
  <c r="P7" i="41" s="1"/>
  <c r="L34" i="19"/>
  <c r="J41" i="19" s="1"/>
  <c r="U42" i="19" s="1"/>
  <c r="P9" i="41" s="1"/>
  <c r="L36" i="19"/>
  <c r="J47" i="19" s="1"/>
  <c r="U32" i="19" s="1"/>
  <c r="D9" i="41" s="1"/>
  <c r="L35" i="19"/>
  <c r="J42" i="19" s="1"/>
  <c r="X32" i="19" s="1"/>
  <c r="U9" i="41" s="1"/>
  <c r="O9" i="13" l="1"/>
  <c r="O11" i="13" s="1"/>
  <c r="U7" i="13" s="1"/>
  <c r="O9" i="20"/>
  <c r="O11" i="20" s="1"/>
  <c r="U7" i="20" s="1"/>
  <c r="O20" i="13"/>
  <c r="U15" i="13" s="1"/>
  <c r="L24" i="43" s="1"/>
  <c r="M24" i="43" s="1"/>
  <c r="R8" i="28"/>
  <c r="R12" i="28" s="1"/>
  <c r="U17" i="28" s="1"/>
  <c r="O11" i="43" s="1"/>
  <c r="R9" i="27"/>
  <c r="R13" i="27" s="1"/>
  <c r="X7" i="27" s="1"/>
  <c r="T10" i="43" s="1"/>
  <c r="L58" i="3"/>
  <c r="J63" i="3" s="1"/>
  <c r="U63" i="3" s="1"/>
  <c r="K6" i="39" s="1"/>
  <c r="O9" i="31"/>
  <c r="O11" i="31" s="1"/>
  <c r="U7" i="31" s="1"/>
  <c r="C22" i="43" s="1"/>
  <c r="O20" i="20"/>
  <c r="U15" i="20" s="1"/>
  <c r="L18" i="43" s="1"/>
  <c r="M18" i="43" s="1"/>
  <c r="R9" i="12"/>
  <c r="R13" i="12" s="1"/>
  <c r="X7" i="12" s="1"/>
  <c r="T33" i="43" s="1"/>
  <c r="K23" i="44"/>
  <c r="L85" i="22"/>
  <c r="J92" i="22" s="1"/>
  <c r="X82" i="22" s="1"/>
  <c r="U19" i="40" s="1"/>
  <c r="O20" i="31"/>
  <c r="U15" i="31" s="1"/>
  <c r="L22" i="43" s="1"/>
  <c r="M22" i="43" s="1"/>
  <c r="U11" i="8"/>
  <c r="R15" i="27"/>
  <c r="U19" i="27" s="1"/>
  <c r="Q10" i="43" s="1"/>
  <c r="R10" i="43" s="1"/>
  <c r="O9" i="8"/>
  <c r="O11" i="8" s="1"/>
  <c r="U7" i="8" s="1"/>
  <c r="C7" i="43" s="1"/>
  <c r="K13" i="41"/>
  <c r="O19" i="7"/>
  <c r="U11" i="7" s="1"/>
  <c r="H14" i="43" s="1"/>
  <c r="L59" i="3"/>
  <c r="J66" i="3" s="1"/>
  <c r="U67" i="3" s="1"/>
  <c r="P6" i="39" s="1"/>
  <c r="L61" i="3"/>
  <c r="J72" i="3" s="1"/>
  <c r="U57" i="3" s="1"/>
  <c r="D6" i="39" s="1"/>
  <c r="U113" i="3"/>
  <c r="K6" i="44" s="1"/>
  <c r="L108" i="22"/>
  <c r="J113" i="22" s="1"/>
  <c r="U113" i="22" s="1"/>
  <c r="K19" i="44" s="1"/>
  <c r="L84" i="22"/>
  <c r="J91" i="22" s="1"/>
  <c r="U92" i="22" s="1"/>
  <c r="P19" i="40" s="1"/>
  <c r="L86" i="22"/>
  <c r="J97" i="22" s="1"/>
  <c r="U82" i="22" s="1"/>
  <c r="D19" i="40" s="1"/>
  <c r="L110" i="22"/>
  <c r="J117" i="22" s="1"/>
  <c r="X107" i="22" s="1"/>
  <c r="L109" i="22"/>
  <c r="J116" i="22" s="1"/>
  <c r="U117" i="22" s="1"/>
  <c r="P19" i="44" s="1"/>
  <c r="K32" i="44"/>
  <c r="O31" i="24"/>
  <c r="O33" i="24" s="1"/>
  <c r="O35" i="24" s="1"/>
  <c r="U31" i="24" s="1"/>
  <c r="X32" i="24"/>
  <c r="U26" i="41" s="1"/>
  <c r="U23" i="41" s="1"/>
  <c r="O31" i="23"/>
  <c r="O33" i="23" s="1"/>
  <c r="O35" i="23" s="1"/>
  <c r="U31" i="23" s="1"/>
  <c r="C20" i="41" s="1"/>
  <c r="R31" i="23"/>
  <c r="R33" i="23" s="1"/>
  <c r="R37" i="23" s="1"/>
  <c r="R40" i="23" s="1"/>
  <c r="U38" i="3"/>
  <c r="K6" i="41" s="1"/>
  <c r="K5" i="41" s="1"/>
  <c r="K4" i="41" s="1"/>
  <c r="O31" i="3"/>
  <c r="O32" i="3" s="1"/>
  <c r="O43" i="3" s="1"/>
  <c r="U35" i="3" s="1"/>
  <c r="X7" i="29"/>
  <c r="T31" i="43" s="1"/>
  <c r="W31" i="43" s="1"/>
  <c r="O20" i="12"/>
  <c r="U15" i="12" s="1"/>
  <c r="L33" i="43" s="1"/>
  <c r="M33" i="43" s="1"/>
  <c r="U11" i="25"/>
  <c r="H21" i="43" s="1"/>
  <c r="R8" i="29"/>
  <c r="R12" i="29" s="1"/>
  <c r="U17" i="29" s="1"/>
  <c r="O31" i="43" s="1"/>
  <c r="O20" i="29"/>
  <c r="U15" i="29" s="1"/>
  <c r="L31" i="43" s="1"/>
  <c r="M31" i="43" s="1"/>
  <c r="O9" i="12"/>
  <c r="O11" i="12" s="1"/>
  <c r="U7" i="12" s="1"/>
  <c r="R8" i="25"/>
  <c r="R12" i="25" s="1"/>
  <c r="U17" i="25" s="1"/>
  <c r="O21" i="43" s="1"/>
  <c r="O9" i="29"/>
  <c r="O11" i="29" s="1"/>
  <c r="U7" i="29" s="1"/>
  <c r="R8" i="3"/>
  <c r="X7" i="3"/>
  <c r="T6" i="43" s="1"/>
  <c r="O13" i="24"/>
  <c r="U9" i="24" s="1"/>
  <c r="X7" i="28"/>
  <c r="T11" i="43" s="1"/>
  <c r="W11" i="43" s="1"/>
  <c r="U17" i="13"/>
  <c r="O24" i="43" s="1"/>
  <c r="R24" i="43" s="1"/>
  <c r="R15" i="18"/>
  <c r="U19" i="18" s="1"/>
  <c r="Q25" i="43" s="1"/>
  <c r="R25" i="43" s="1"/>
  <c r="O8" i="24"/>
  <c r="O19" i="24" s="1"/>
  <c r="U11" i="24" s="1"/>
  <c r="H26" i="43" s="1"/>
  <c r="R9" i="13"/>
  <c r="R13" i="13" s="1"/>
  <c r="X7" i="13" s="1"/>
  <c r="T24" i="43" s="1"/>
  <c r="O20" i="28"/>
  <c r="U15" i="28" s="1"/>
  <c r="L11" i="43" s="1"/>
  <c r="M11" i="43" s="1"/>
  <c r="R9" i="18"/>
  <c r="R13" i="18" s="1"/>
  <c r="X7" i="18" s="1"/>
  <c r="T25" i="43" s="1"/>
  <c r="R8" i="8"/>
  <c r="R12" i="8" s="1"/>
  <c r="U17" i="8" s="1"/>
  <c r="O7" i="43" s="1"/>
  <c r="O9" i="28"/>
  <c r="O11" i="28" s="1"/>
  <c r="U7" i="28" s="1"/>
  <c r="C11" i="43" s="1"/>
  <c r="R15" i="20"/>
  <c r="U19" i="20" s="1"/>
  <c r="Q18" i="43" s="1"/>
  <c r="R18" i="43" s="1"/>
  <c r="R9" i="20"/>
  <c r="R13" i="20" s="1"/>
  <c r="X7" i="20" s="1"/>
  <c r="T18" i="43" s="1"/>
  <c r="R9" i="31"/>
  <c r="R13" i="31" s="1"/>
  <c r="X7" i="31" s="1"/>
  <c r="T22" i="43" s="1"/>
  <c r="R16" i="8"/>
  <c r="X9" i="8" s="1"/>
  <c r="V7" i="43" s="1"/>
  <c r="W7" i="43" s="1"/>
  <c r="O9" i="18"/>
  <c r="O11" i="18" s="1"/>
  <c r="U7" i="18" s="1"/>
  <c r="C25" i="43" s="1"/>
  <c r="O20" i="22"/>
  <c r="U15" i="22" s="1"/>
  <c r="L19" i="43" s="1"/>
  <c r="M19" i="43" s="1"/>
  <c r="O9" i="27"/>
  <c r="O11" i="27" s="1"/>
  <c r="U7" i="27" s="1"/>
  <c r="O20" i="27"/>
  <c r="U15" i="27" s="1"/>
  <c r="L10" i="43" s="1"/>
  <c r="M10" i="43" s="1"/>
  <c r="O9" i="25"/>
  <c r="O11" i="25" s="1"/>
  <c r="U7" i="25" s="1"/>
  <c r="X7" i="25"/>
  <c r="T21" i="43" s="1"/>
  <c r="W21" i="43" s="1"/>
  <c r="U11" i="18"/>
  <c r="H25" i="43" s="1"/>
  <c r="M25" i="43" s="1"/>
  <c r="R9" i="14"/>
  <c r="R13" i="14" s="1"/>
  <c r="X7" i="14" s="1"/>
  <c r="T34" i="43" s="1"/>
  <c r="R15" i="14"/>
  <c r="U19" i="14" s="1"/>
  <c r="Q34" i="43" s="1"/>
  <c r="R34" i="43" s="1"/>
  <c r="O9" i="22"/>
  <c r="O11" i="22" s="1"/>
  <c r="U7" i="22" s="1"/>
  <c r="C19" i="43" s="1"/>
  <c r="R9" i="22"/>
  <c r="R13" i="22" s="1"/>
  <c r="X7" i="22" s="1"/>
  <c r="T19" i="43" s="1"/>
  <c r="R15" i="22"/>
  <c r="U19" i="22" s="1"/>
  <c r="Q19" i="43" s="1"/>
  <c r="R19" i="43" s="1"/>
  <c r="O20" i="9"/>
  <c r="U15" i="9" s="1"/>
  <c r="L8" i="43" s="1"/>
  <c r="M8" i="43" s="1"/>
  <c r="O9" i="16"/>
  <c r="O11" i="16" s="1"/>
  <c r="U7" i="16" s="1"/>
  <c r="O8" i="19"/>
  <c r="O19" i="19" s="1"/>
  <c r="U11" i="19" s="1"/>
  <c r="H9" i="43" s="1"/>
  <c r="R16" i="19"/>
  <c r="X9" i="19" s="1"/>
  <c r="V9" i="43" s="1"/>
  <c r="W9" i="43" s="1"/>
  <c r="R8" i="19"/>
  <c r="R12" i="19" s="1"/>
  <c r="U17" i="19" s="1"/>
  <c r="O9" i="43" s="1"/>
  <c r="O9" i="23"/>
  <c r="O11" i="23" s="1"/>
  <c r="U7" i="23" s="1"/>
  <c r="C20" i="43" s="1"/>
  <c r="O9" i="9"/>
  <c r="O11" i="9" s="1"/>
  <c r="U7" i="9" s="1"/>
  <c r="C8" i="43" s="1"/>
  <c r="O20" i="23"/>
  <c r="U15" i="23" s="1"/>
  <c r="L20" i="43" s="1"/>
  <c r="M20" i="43" s="1"/>
  <c r="P4" i="43"/>
  <c r="O20" i="14"/>
  <c r="U15" i="14" s="1"/>
  <c r="L34" i="43" s="1"/>
  <c r="M34" i="43" s="1"/>
  <c r="R16" i="26"/>
  <c r="X9" i="26" s="1"/>
  <c r="V30" i="43" s="1"/>
  <c r="W30" i="43" s="1"/>
  <c r="O13" i="19"/>
  <c r="U9" i="19" s="1"/>
  <c r="E9" i="43" s="1"/>
  <c r="F9" i="43" s="1"/>
  <c r="R16" i="17"/>
  <c r="X9" i="17" s="1"/>
  <c r="V36" i="43" s="1"/>
  <c r="W36" i="43" s="1"/>
  <c r="O9" i="30"/>
  <c r="O11" i="30" s="1"/>
  <c r="U7" i="30" s="1"/>
  <c r="C27" i="43" s="1"/>
  <c r="R8" i="17"/>
  <c r="R12" i="17" s="1"/>
  <c r="U17" i="17" s="1"/>
  <c r="O36" i="43" s="1"/>
  <c r="R15" i="30"/>
  <c r="U19" i="30" s="1"/>
  <c r="Q27" i="43" s="1"/>
  <c r="R27" i="43" s="1"/>
  <c r="O20" i="11"/>
  <c r="U15" i="11" s="1"/>
  <c r="L16" i="43" s="1"/>
  <c r="M16" i="43" s="1"/>
  <c r="O9" i="11"/>
  <c r="O11" i="11" s="1"/>
  <c r="U7" i="11" s="1"/>
  <c r="C16" i="43" s="1"/>
  <c r="R8" i="26"/>
  <c r="R12" i="26" s="1"/>
  <c r="U17" i="26" s="1"/>
  <c r="O30" i="43" s="1"/>
  <c r="O20" i="10"/>
  <c r="U15" i="10" s="1"/>
  <c r="L15" i="43" s="1"/>
  <c r="M15" i="43" s="1"/>
  <c r="R15" i="16"/>
  <c r="U19" i="16" s="1"/>
  <c r="Q35" i="43" s="1"/>
  <c r="R35" i="43" s="1"/>
  <c r="O20" i="17"/>
  <c r="U15" i="17" s="1"/>
  <c r="L36" i="43" s="1"/>
  <c r="M36" i="43" s="1"/>
  <c r="O9" i="10"/>
  <c r="O11" i="10" s="1"/>
  <c r="U7" i="10" s="1"/>
  <c r="C15" i="43" s="1"/>
  <c r="R9" i="16"/>
  <c r="R13" i="16" s="1"/>
  <c r="X7" i="16" s="1"/>
  <c r="T35" i="43" s="1"/>
  <c r="O9" i="17"/>
  <c r="O11" i="17" s="1"/>
  <c r="U7" i="17" s="1"/>
  <c r="U4" i="43"/>
  <c r="O9" i="14"/>
  <c r="O11" i="14" s="1"/>
  <c r="U7" i="14" s="1"/>
  <c r="R9" i="30"/>
  <c r="R13" i="30" s="1"/>
  <c r="R16" i="30" s="1"/>
  <c r="X9" i="30" s="1"/>
  <c r="V27" i="43" s="1"/>
  <c r="O20" i="30"/>
  <c r="U15" i="30" s="1"/>
  <c r="L27" i="43" s="1"/>
  <c r="M27" i="43" s="1"/>
  <c r="U17" i="9"/>
  <c r="O8" i="43" s="1"/>
  <c r="R9" i="32"/>
  <c r="R13" i="32" s="1"/>
  <c r="X7" i="32" s="1"/>
  <c r="T12" i="43" s="1"/>
  <c r="R9" i="9"/>
  <c r="R13" i="9" s="1"/>
  <c r="X7" i="9" s="1"/>
  <c r="T8" i="43" s="1"/>
  <c r="R16" i="11"/>
  <c r="X9" i="11" s="1"/>
  <c r="V16" i="43" s="1"/>
  <c r="W16" i="43" s="1"/>
  <c r="R15" i="32"/>
  <c r="U19" i="32" s="1"/>
  <c r="Q12" i="43" s="1"/>
  <c r="R12" i="43" s="1"/>
  <c r="R8" i="11"/>
  <c r="R12" i="11" s="1"/>
  <c r="U17" i="11" s="1"/>
  <c r="O16" i="43" s="1"/>
  <c r="K4" i="43"/>
  <c r="R9" i="10"/>
  <c r="R13" i="10" s="1"/>
  <c r="X7" i="10" s="1"/>
  <c r="T15" i="43" s="1"/>
  <c r="O9" i="32"/>
  <c r="O11" i="32" s="1"/>
  <c r="U7" i="32" s="1"/>
  <c r="O20" i="15"/>
  <c r="U15" i="15" s="1"/>
  <c r="L17" i="43" s="1"/>
  <c r="M17" i="43" s="1"/>
  <c r="O9" i="15"/>
  <c r="O11" i="15" s="1"/>
  <c r="U7" i="15" s="1"/>
  <c r="C17" i="43" s="1"/>
  <c r="U17" i="15"/>
  <c r="O17" i="43" s="1"/>
  <c r="R17" i="43" s="1"/>
  <c r="O20" i="32"/>
  <c r="U15" i="32" s="1"/>
  <c r="L12" i="43" s="1"/>
  <c r="M12" i="43" s="1"/>
  <c r="R9" i="15"/>
  <c r="R13" i="15" s="1"/>
  <c r="X7" i="15" s="1"/>
  <c r="T17" i="43" s="1"/>
  <c r="D4" i="43"/>
  <c r="K32" i="40"/>
  <c r="R31" i="3"/>
  <c r="R33" i="3" s="1"/>
  <c r="R37" i="3" s="1"/>
  <c r="R32" i="24"/>
  <c r="R36" i="24" s="1"/>
  <c r="R39" i="24" s="1"/>
  <c r="R15" i="28"/>
  <c r="U19" i="28" s="1"/>
  <c r="Q11" i="43" s="1"/>
  <c r="R11" i="43" s="1"/>
  <c r="U17" i="23"/>
  <c r="O20" i="43" s="1"/>
  <c r="O9" i="7"/>
  <c r="O11" i="7" s="1"/>
  <c r="U7" i="7" s="1"/>
  <c r="C14" i="43" s="1"/>
  <c r="O13" i="20"/>
  <c r="U9" i="20" s="1"/>
  <c r="E18" i="43" s="1"/>
  <c r="O13" i="13"/>
  <c r="U9" i="13" s="1"/>
  <c r="E24" i="43" s="1"/>
  <c r="C18" i="43"/>
  <c r="O9" i="26"/>
  <c r="O11" i="26" s="1"/>
  <c r="O20" i="26"/>
  <c r="U15" i="26" s="1"/>
  <c r="L30" i="43" s="1"/>
  <c r="M30" i="43" s="1"/>
  <c r="P23" i="41"/>
  <c r="U5" i="41"/>
  <c r="U28" i="41"/>
  <c r="P28" i="41"/>
  <c r="P13" i="41"/>
  <c r="U13" i="41"/>
  <c r="P32" i="41"/>
  <c r="U32" i="41"/>
  <c r="P5" i="41"/>
  <c r="I5" i="43"/>
  <c r="I4" i="43" s="1"/>
  <c r="H7" i="43"/>
  <c r="O56" i="15"/>
  <c r="O57" i="15" s="1"/>
  <c r="O68" i="15" s="1"/>
  <c r="U60" i="15" s="1"/>
  <c r="H17" i="39" s="1"/>
  <c r="U57" i="15"/>
  <c r="O106" i="28"/>
  <c r="O107" i="28" s="1"/>
  <c r="O118" i="28" s="1"/>
  <c r="U110" i="28" s="1"/>
  <c r="H11" i="44" s="1"/>
  <c r="U107" i="28"/>
  <c r="O31" i="21"/>
  <c r="O33" i="21" s="1"/>
  <c r="O35" i="21" s="1"/>
  <c r="U32" i="21"/>
  <c r="D29" i="41" s="1"/>
  <c r="D28" i="41" s="1"/>
  <c r="O31" i="27"/>
  <c r="O33" i="27" s="1"/>
  <c r="O35" i="27" s="1"/>
  <c r="O37" i="27" s="1"/>
  <c r="U32" i="27"/>
  <c r="D10" i="41" s="1"/>
  <c r="O56" i="9"/>
  <c r="O58" i="9" s="1"/>
  <c r="O60" i="9" s="1"/>
  <c r="U56" i="9" s="1"/>
  <c r="C8" i="39" s="1"/>
  <c r="U57" i="9"/>
  <c r="O31" i="13"/>
  <c r="O33" i="13" s="1"/>
  <c r="O35" i="13" s="1"/>
  <c r="O37" i="13" s="1"/>
  <c r="U32" i="13"/>
  <c r="D24" i="41" s="1"/>
  <c r="D23" i="41" s="1"/>
  <c r="O106" i="10"/>
  <c r="O108" i="10" s="1"/>
  <c r="O110" i="10" s="1"/>
  <c r="U107" i="10"/>
  <c r="O31" i="22"/>
  <c r="O33" i="22" s="1"/>
  <c r="O35" i="22" s="1"/>
  <c r="O37" i="22" s="1"/>
  <c r="U32" i="22"/>
  <c r="D19" i="41" s="1"/>
  <c r="D13" i="41" s="1"/>
  <c r="O56" i="31"/>
  <c r="O58" i="31" s="1"/>
  <c r="O60" i="31" s="1"/>
  <c r="U56" i="31" s="1"/>
  <c r="C22" i="39" s="1"/>
  <c r="U57" i="31"/>
  <c r="O56" i="11"/>
  <c r="O58" i="11" s="1"/>
  <c r="O60" i="11" s="1"/>
  <c r="U56" i="11" s="1"/>
  <c r="U57" i="11"/>
  <c r="O31" i="32"/>
  <c r="O33" i="32" s="1"/>
  <c r="O35" i="32" s="1"/>
  <c r="O37" i="32" s="1"/>
  <c r="U32" i="32"/>
  <c r="D12" i="41" s="1"/>
  <c r="O31" i="17"/>
  <c r="O33" i="17" s="1"/>
  <c r="O35" i="17" s="1"/>
  <c r="O37" i="17" s="1"/>
  <c r="U32" i="17"/>
  <c r="D36" i="41" s="1"/>
  <c r="O56" i="28"/>
  <c r="O58" i="28" s="1"/>
  <c r="O60" i="28" s="1"/>
  <c r="U56" i="28" s="1"/>
  <c r="U57" i="28"/>
  <c r="K28" i="40"/>
  <c r="K5" i="39"/>
  <c r="K4" i="39" s="1"/>
  <c r="R56" i="3"/>
  <c r="R58" i="3" s="1"/>
  <c r="X57" i="3"/>
  <c r="O31" i="12"/>
  <c r="O32" i="12" s="1"/>
  <c r="O43" i="12" s="1"/>
  <c r="U32" i="12"/>
  <c r="D33" i="41" s="1"/>
  <c r="O31" i="28"/>
  <c r="O33" i="28" s="1"/>
  <c r="O35" i="28" s="1"/>
  <c r="U32" i="28"/>
  <c r="D11" i="41" s="1"/>
  <c r="X31" i="24"/>
  <c r="T26" i="41" s="1"/>
  <c r="X7" i="21"/>
  <c r="T29" i="43" s="1"/>
  <c r="X9" i="3"/>
  <c r="V6" i="43" s="1"/>
  <c r="U11" i="21"/>
  <c r="H29" i="43" s="1"/>
  <c r="X9" i="24"/>
  <c r="V26" i="43" s="1"/>
  <c r="W26" i="43" s="1"/>
  <c r="U19" i="9"/>
  <c r="Q8" i="43" s="1"/>
  <c r="U19" i="23"/>
  <c r="Q20" i="43" s="1"/>
  <c r="U15" i="25"/>
  <c r="L21" i="43" s="1"/>
  <c r="U15" i="8"/>
  <c r="L7" i="43" s="1"/>
  <c r="O31" i="8"/>
  <c r="O56" i="8"/>
  <c r="O57" i="8" s="1"/>
  <c r="O106" i="7"/>
  <c r="O56" i="7"/>
  <c r="O31" i="7"/>
  <c r="O106" i="8"/>
  <c r="O107" i="8" s="1"/>
  <c r="O9" i="21"/>
  <c r="O11" i="21" s="1"/>
  <c r="O13" i="21" s="1"/>
  <c r="R15" i="31"/>
  <c r="R15" i="24"/>
  <c r="O20" i="21"/>
  <c r="C26" i="43"/>
  <c r="R8" i="7"/>
  <c r="R12" i="7" s="1"/>
  <c r="U17" i="7" s="1"/>
  <c r="O14" i="43" s="1"/>
  <c r="R9" i="7"/>
  <c r="R13" i="7" s="1"/>
  <c r="X7" i="7" s="1"/>
  <c r="R15" i="12"/>
  <c r="O20" i="16"/>
  <c r="R16" i="21"/>
  <c r="R15" i="10"/>
  <c r="R8" i="21"/>
  <c r="R12" i="21" s="1"/>
  <c r="U17" i="21" s="1"/>
  <c r="O29" i="43" s="1"/>
  <c r="C24" i="43"/>
  <c r="R40" i="24"/>
  <c r="O106" i="32"/>
  <c r="O108" i="32" s="1"/>
  <c r="O110" i="32" s="1"/>
  <c r="R106" i="32"/>
  <c r="R108" i="32" s="1"/>
  <c r="R112" i="32" s="1"/>
  <c r="R56" i="32"/>
  <c r="R58" i="32" s="1"/>
  <c r="R62" i="32" s="1"/>
  <c r="O56" i="32"/>
  <c r="R56" i="31"/>
  <c r="R58" i="31" s="1"/>
  <c r="R62" i="31" s="1"/>
  <c r="R65" i="31" s="1"/>
  <c r="R106" i="31"/>
  <c r="R108" i="31" s="1"/>
  <c r="R112" i="31" s="1"/>
  <c r="R115" i="31" s="1"/>
  <c r="O106" i="31"/>
  <c r="O106" i="30"/>
  <c r="O108" i="30" s="1"/>
  <c r="O110" i="30" s="1"/>
  <c r="R106" i="30"/>
  <c r="R108" i="30" s="1"/>
  <c r="R112" i="30" s="1"/>
  <c r="O56" i="29"/>
  <c r="R56" i="29"/>
  <c r="R58" i="29" s="1"/>
  <c r="R62" i="29" s="1"/>
  <c r="R106" i="29"/>
  <c r="R108" i="29" s="1"/>
  <c r="R112" i="29" s="1"/>
  <c r="O106" i="29"/>
  <c r="R106" i="28"/>
  <c r="R108" i="28" s="1"/>
  <c r="R112" i="28" s="1"/>
  <c r="R56" i="28"/>
  <c r="R58" i="28" s="1"/>
  <c r="R62" i="28" s="1"/>
  <c r="O106" i="27"/>
  <c r="O108" i="27" s="1"/>
  <c r="O110" i="27" s="1"/>
  <c r="O112" i="27" s="1"/>
  <c r="O56" i="27"/>
  <c r="R106" i="27"/>
  <c r="R108" i="27" s="1"/>
  <c r="R112" i="27" s="1"/>
  <c r="R56" i="27"/>
  <c r="R58" i="27" s="1"/>
  <c r="R62" i="27" s="1"/>
  <c r="R106" i="26"/>
  <c r="R108" i="26" s="1"/>
  <c r="R112" i="26" s="1"/>
  <c r="R115" i="26" s="1"/>
  <c r="R56" i="26"/>
  <c r="R58" i="26" s="1"/>
  <c r="R62" i="26" s="1"/>
  <c r="O106" i="26"/>
  <c r="O56" i="26"/>
  <c r="R106" i="25"/>
  <c r="R108" i="25" s="1"/>
  <c r="R112" i="25" s="1"/>
  <c r="R56" i="25"/>
  <c r="R58" i="25" s="1"/>
  <c r="R62" i="25" s="1"/>
  <c r="O56" i="25"/>
  <c r="O106" i="25"/>
  <c r="O56" i="24"/>
  <c r="O58" i="24" s="1"/>
  <c r="O60" i="24" s="1"/>
  <c r="U56" i="24" s="1"/>
  <c r="R106" i="24"/>
  <c r="R108" i="24" s="1"/>
  <c r="R112" i="24" s="1"/>
  <c r="O106" i="24"/>
  <c r="O108" i="24" s="1"/>
  <c r="O110" i="24" s="1"/>
  <c r="R56" i="24"/>
  <c r="R58" i="24" s="1"/>
  <c r="R62" i="24" s="1"/>
  <c r="O56" i="23"/>
  <c r="R56" i="23"/>
  <c r="R58" i="23" s="1"/>
  <c r="R62" i="23" s="1"/>
  <c r="R106" i="23"/>
  <c r="R108" i="23" s="1"/>
  <c r="R112" i="23" s="1"/>
  <c r="O106" i="23"/>
  <c r="O56" i="22"/>
  <c r="R56" i="22"/>
  <c r="R58" i="22" s="1"/>
  <c r="R62" i="22" s="1"/>
  <c r="R56" i="21"/>
  <c r="R58" i="21" s="1"/>
  <c r="R62" i="21" s="1"/>
  <c r="R106" i="21"/>
  <c r="R108" i="21" s="1"/>
  <c r="R112" i="21" s="1"/>
  <c r="O106" i="21"/>
  <c r="O56" i="21"/>
  <c r="R56" i="20"/>
  <c r="R58" i="20" s="1"/>
  <c r="R62" i="20" s="1"/>
  <c r="O56" i="20"/>
  <c r="R106" i="19"/>
  <c r="R108" i="19" s="1"/>
  <c r="R112" i="19" s="1"/>
  <c r="R115" i="19" s="1"/>
  <c r="R56" i="19"/>
  <c r="R58" i="19" s="1"/>
  <c r="R62" i="19" s="1"/>
  <c r="R65" i="19" s="1"/>
  <c r="O106" i="19"/>
  <c r="O56" i="19"/>
  <c r="R56" i="18"/>
  <c r="R58" i="18" s="1"/>
  <c r="R62" i="18" s="1"/>
  <c r="R106" i="18"/>
  <c r="R108" i="18" s="1"/>
  <c r="R112" i="18" s="1"/>
  <c r="O56" i="18"/>
  <c r="O106" i="18"/>
  <c r="O56" i="17"/>
  <c r="R56" i="17"/>
  <c r="R58" i="17" s="1"/>
  <c r="R62" i="17" s="1"/>
  <c r="O106" i="17"/>
  <c r="O108" i="17" s="1"/>
  <c r="O110" i="17" s="1"/>
  <c r="R106" i="17"/>
  <c r="R108" i="17" s="1"/>
  <c r="R112" i="17" s="1"/>
  <c r="R115" i="17" s="1"/>
  <c r="R56" i="16"/>
  <c r="R58" i="16" s="1"/>
  <c r="R62" i="16" s="1"/>
  <c r="O106" i="16"/>
  <c r="O108" i="16" s="1"/>
  <c r="O110" i="16" s="1"/>
  <c r="R106" i="16"/>
  <c r="R108" i="16" s="1"/>
  <c r="R112" i="16" s="1"/>
  <c r="O56" i="16"/>
  <c r="O106" i="15"/>
  <c r="R56" i="15"/>
  <c r="R58" i="15" s="1"/>
  <c r="R62" i="15" s="1"/>
  <c r="R106" i="15"/>
  <c r="R108" i="15" s="1"/>
  <c r="R112" i="15" s="1"/>
  <c r="R56" i="14"/>
  <c r="R58" i="14" s="1"/>
  <c r="R62" i="14" s="1"/>
  <c r="R106" i="14"/>
  <c r="R108" i="14" s="1"/>
  <c r="R112" i="14" s="1"/>
  <c r="X106" i="14" s="1"/>
  <c r="O56" i="14"/>
  <c r="O106" i="14"/>
  <c r="O106" i="13"/>
  <c r="R106" i="13"/>
  <c r="R108" i="13" s="1"/>
  <c r="R112" i="13" s="1"/>
  <c r="R56" i="13"/>
  <c r="R58" i="13" s="1"/>
  <c r="R62" i="13" s="1"/>
  <c r="O56" i="13"/>
  <c r="R106" i="12"/>
  <c r="R108" i="12" s="1"/>
  <c r="R112" i="12" s="1"/>
  <c r="R115" i="12" s="1"/>
  <c r="O56" i="12"/>
  <c r="O58" i="12" s="1"/>
  <c r="O60" i="12" s="1"/>
  <c r="U56" i="12" s="1"/>
  <c r="R56" i="12"/>
  <c r="R58" i="12" s="1"/>
  <c r="R62" i="12" s="1"/>
  <c r="O106" i="12"/>
  <c r="R56" i="11"/>
  <c r="R58" i="11" s="1"/>
  <c r="R62" i="11" s="1"/>
  <c r="R106" i="11"/>
  <c r="R108" i="11" s="1"/>
  <c r="R112" i="11" s="1"/>
  <c r="O106" i="11"/>
  <c r="R106" i="10"/>
  <c r="R108" i="10" s="1"/>
  <c r="R112" i="10" s="1"/>
  <c r="R56" i="10"/>
  <c r="R58" i="10" s="1"/>
  <c r="R62" i="10" s="1"/>
  <c r="O56" i="10"/>
  <c r="R56" i="9"/>
  <c r="R58" i="9" s="1"/>
  <c r="R62" i="9" s="1"/>
  <c r="R106" i="9"/>
  <c r="R108" i="9" s="1"/>
  <c r="R112" i="9" s="1"/>
  <c r="O106" i="9"/>
  <c r="O108" i="9" s="1"/>
  <c r="O110" i="9" s="1"/>
  <c r="R56" i="8"/>
  <c r="R58" i="8" s="1"/>
  <c r="R62" i="8" s="1"/>
  <c r="R106" i="8"/>
  <c r="R108" i="8" s="1"/>
  <c r="R112" i="8" s="1"/>
  <c r="AI5" i="41"/>
  <c r="AI4" i="41" s="1"/>
  <c r="AI5" i="40"/>
  <c r="AI4" i="40" s="1"/>
  <c r="AE5" i="41"/>
  <c r="AE4" i="41" s="1"/>
  <c r="AE5" i="40"/>
  <c r="AE4" i="40" s="1"/>
  <c r="Y5" i="41"/>
  <c r="AC5" i="40"/>
  <c r="AC4" i="40" s="1"/>
  <c r="AC5" i="41"/>
  <c r="AC4" i="41" s="1"/>
  <c r="AA5" i="40"/>
  <c r="AA4" i="40" s="1"/>
  <c r="AA5" i="41"/>
  <c r="AA4" i="41" s="1"/>
  <c r="AG5" i="41"/>
  <c r="AG4" i="41" s="1"/>
  <c r="R106" i="7"/>
  <c r="R108" i="7" s="1"/>
  <c r="R112" i="7" s="1"/>
  <c r="X106" i="7" s="1"/>
  <c r="O106" i="3"/>
  <c r="R106" i="3"/>
  <c r="R31" i="30"/>
  <c r="R33" i="30" s="1"/>
  <c r="R37" i="30" s="1"/>
  <c r="R40" i="30" s="1"/>
  <c r="R31" i="11"/>
  <c r="R33" i="11" s="1"/>
  <c r="R37" i="11" s="1"/>
  <c r="R31" i="29"/>
  <c r="R33" i="29" s="1"/>
  <c r="R37" i="29" s="1"/>
  <c r="R40" i="29" s="1"/>
  <c r="R31" i="25"/>
  <c r="R33" i="25" s="1"/>
  <c r="R37" i="25" s="1"/>
  <c r="R31" i="28"/>
  <c r="R33" i="28" s="1"/>
  <c r="R37" i="28" s="1"/>
  <c r="R40" i="28" s="1"/>
  <c r="O31" i="11"/>
  <c r="R31" i="12"/>
  <c r="R33" i="12" s="1"/>
  <c r="R37" i="12" s="1"/>
  <c r="R31" i="18"/>
  <c r="R33" i="18" s="1"/>
  <c r="R37" i="18" s="1"/>
  <c r="R31" i="14"/>
  <c r="R33" i="14" s="1"/>
  <c r="R37" i="14" s="1"/>
  <c r="R31" i="9"/>
  <c r="R33" i="9" s="1"/>
  <c r="R37" i="9" s="1"/>
  <c r="O31" i="29"/>
  <c r="O31" i="15"/>
  <c r="O31" i="25"/>
  <c r="R31" i="19"/>
  <c r="R33" i="19" s="1"/>
  <c r="R37" i="19" s="1"/>
  <c r="R31" i="27"/>
  <c r="R33" i="27" s="1"/>
  <c r="R37" i="27" s="1"/>
  <c r="R31" i="31"/>
  <c r="R33" i="31" s="1"/>
  <c r="R37" i="31" s="1"/>
  <c r="O31" i="20"/>
  <c r="O33" i="20" s="1"/>
  <c r="O35" i="20" s="1"/>
  <c r="O31" i="16"/>
  <c r="O33" i="16" s="1"/>
  <c r="O35" i="16" s="1"/>
  <c r="R31" i="22"/>
  <c r="R33" i="22" s="1"/>
  <c r="R37" i="22" s="1"/>
  <c r="R31" i="17"/>
  <c r="R33" i="17" s="1"/>
  <c r="R37" i="17" s="1"/>
  <c r="R31" i="13"/>
  <c r="R33" i="13" s="1"/>
  <c r="R37" i="13" s="1"/>
  <c r="R31" i="8"/>
  <c r="R33" i="8" s="1"/>
  <c r="R37" i="8" s="1"/>
  <c r="R31" i="32"/>
  <c r="R33" i="32" s="1"/>
  <c r="R37" i="32" s="1"/>
  <c r="R40" i="32" s="1"/>
  <c r="O31" i="18"/>
  <c r="O31" i="9"/>
  <c r="R31" i="21"/>
  <c r="R33" i="21" s="1"/>
  <c r="R37" i="21" s="1"/>
  <c r="R31" i="20"/>
  <c r="R33" i="20" s="1"/>
  <c r="R37" i="20" s="1"/>
  <c r="O31" i="26"/>
  <c r="R31" i="15"/>
  <c r="R33" i="15" s="1"/>
  <c r="R37" i="15" s="1"/>
  <c r="R31" i="16"/>
  <c r="R33" i="16" s="1"/>
  <c r="R37" i="16" s="1"/>
  <c r="R31" i="26"/>
  <c r="R33" i="26" s="1"/>
  <c r="R37" i="26" s="1"/>
  <c r="O31" i="14"/>
  <c r="O31" i="19"/>
  <c r="O31" i="30"/>
  <c r="O31" i="31"/>
  <c r="R56" i="30"/>
  <c r="R58" i="30" s="1"/>
  <c r="R62" i="30" s="1"/>
  <c r="O56" i="30"/>
  <c r="R106" i="20"/>
  <c r="R108" i="20" s="1"/>
  <c r="R112" i="20" s="1"/>
  <c r="O106" i="20"/>
  <c r="R31" i="10"/>
  <c r="O31" i="10"/>
  <c r="R56" i="7"/>
  <c r="R58" i="7" s="1"/>
  <c r="R31" i="7"/>
  <c r="R33" i="7" s="1"/>
  <c r="L86" i="3"/>
  <c r="J97" i="3" s="1"/>
  <c r="U82" i="3" s="1"/>
  <c r="D6" i="40" s="1"/>
  <c r="L84" i="3"/>
  <c r="J91" i="3" s="1"/>
  <c r="L86" i="15"/>
  <c r="J97" i="15" s="1"/>
  <c r="L84" i="15"/>
  <c r="J91" i="15" s="1"/>
  <c r="U92" i="15" s="1"/>
  <c r="P17" i="40" s="1"/>
  <c r="L85" i="15"/>
  <c r="J92" i="15" s="1"/>
  <c r="X82" i="15" s="1"/>
  <c r="U17" i="40" s="1"/>
  <c r="L84" i="11"/>
  <c r="J91" i="11" s="1"/>
  <c r="U92" i="11" s="1"/>
  <c r="P16" i="40" s="1"/>
  <c r="L85" i="11"/>
  <c r="J92" i="11" s="1"/>
  <c r="X82" i="11" s="1"/>
  <c r="U16" i="40" s="1"/>
  <c r="L86" i="11"/>
  <c r="J97" i="11" s="1"/>
  <c r="U82" i="11" s="1"/>
  <c r="D16" i="40" s="1"/>
  <c r="L85" i="32"/>
  <c r="J92" i="32" s="1"/>
  <c r="X82" i="32" s="1"/>
  <c r="U12" i="40" s="1"/>
  <c r="L84" i="32"/>
  <c r="J91" i="32" s="1"/>
  <c r="U92" i="32" s="1"/>
  <c r="P12" i="40" s="1"/>
  <c r="L86" i="32"/>
  <c r="J97" i="32" s="1"/>
  <c r="U82" i="32" s="1"/>
  <c r="D12" i="40" s="1"/>
  <c r="L85" i="12"/>
  <c r="J92" i="12" s="1"/>
  <c r="X82" i="12" s="1"/>
  <c r="U33" i="40" s="1"/>
  <c r="L86" i="12"/>
  <c r="J97" i="12" s="1"/>
  <c r="U82" i="12" s="1"/>
  <c r="D33" i="40" s="1"/>
  <c r="L84" i="12"/>
  <c r="J91" i="12" s="1"/>
  <c r="U92" i="12" s="1"/>
  <c r="P33" i="40" s="1"/>
  <c r="L84" i="17"/>
  <c r="J91" i="17" s="1"/>
  <c r="U92" i="17" s="1"/>
  <c r="P36" i="40" s="1"/>
  <c r="L86" i="17"/>
  <c r="J97" i="17" s="1"/>
  <c r="U82" i="17" s="1"/>
  <c r="D36" i="40" s="1"/>
  <c r="L85" i="17"/>
  <c r="J92" i="17" s="1"/>
  <c r="X82" i="17" s="1"/>
  <c r="U36" i="40" s="1"/>
  <c r="L86" i="27"/>
  <c r="J97" i="27" s="1"/>
  <c r="U82" i="27" s="1"/>
  <c r="D10" i="40" s="1"/>
  <c r="L85" i="27"/>
  <c r="J92" i="27" s="1"/>
  <c r="X82" i="27" s="1"/>
  <c r="U10" i="40" s="1"/>
  <c r="L84" i="27"/>
  <c r="J91" i="27" s="1"/>
  <c r="U92" i="27" s="1"/>
  <c r="P10" i="40" s="1"/>
  <c r="L85" i="7"/>
  <c r="J92" i="7" s="1"/>
  <c r="X82" i="7" s="1"/>
  <c r="U14" i="40" s="1"/>
  <c r="L86" i="7"/>
  <c r="J97" i="7" s="1"/>
  <c r="U82" i="7" s="1"/>
  <c r="D14" i="40" s="1"/>
  <c r="L84" i="7"/>
  <c r="J91" i="7" s="1"/>
  <c r="U92" i="7" s="1"/>
  <c r="P14" i="40" s="1"/>
  <c r="L85" i="21"/>
  <c r="J92" i="21" s="1"/>
  <c r="X82" i="21" s="1"/>
  <c r="U29" i="40" s="1"/>
  <c r="L86" i="21"/>
  <c r="J97" i="21" s="1"/>
  <c r="U82" i="21" s="1"/>
  <c r="D29" i="40" s="1"/>
  <c r="L84" i="21"/>
  <c r="J91" i="21" s="1"/>
  <c r="U92" i="21" s="1"/>
  <c r="P29" i="40" s="1"/>
  <c r="L86" i="30"/>
  <c r="J97" i="30" s="1"/>
  <c r="U82" i="30" s="1"/>
  <c r="D27" i="40" s="1"/>
  <c r="L85" i="30"/>
  <c r="J92" i="30" s="1"/>
  <c r="X82" i="30" s="1"/>
  <c r="U27" i="40" s="1"/>
  <c r="L84" i="30"/>
  <c r="J91" i="30" s="1"/>
  <c r="U92" i="30" s="1"/>
  <c r="P27" i="40" s="1"/>
  <c r="L86" i="10"/>
  <c r="J97" i="10" s="1"/>
  <c r="U82" i="10" s="1"/>
  <c r="D15" i="40" s="1"/>
  <c r="L85" i="10"/>
  <c r="J92" i="10" s="1"/>
  <c r="X82" i="10" s="1"/>
  <c r="U15" i="40" s="1"/>
  <c r="L84" i="10"/>
  <c r="J91" i="10" s="1"/>
  <c r="U92" i="10" s="1"/>
  <c r="P15" i="40" s="1"/>
  <c r="L86" i="8"/>
  <c r="J97" i="8" s="1"/>
  <c r="U82" i="8" s="1"/>
  <c r="D7" i="40" s="1"/>
  <c r="L85" i="8"/>
  <c r="J92" i="8" s="1"/>
  <c r="X82" i="8" s="1"/>
  <c r="U7" i="40" s="1"/>
  <c r="L84" i="8"/>
  <c r="J91" i="8" s="1"/>
  <c r="U92" i="8" s="1"/>
  <c r="P7" i="40" s="1"/>
  <c r="L85" i="14"/>
  <c r="J92" i="14" s="1"/>
  <c r="X82" i="14" s="1"/>
  <c r="U34" i="40" s="1"/>
  <c r="L86" i="14"/>
  <c r="J97" i="14" s="1"/>
  <c r="L84" i="14"/>
  <c r="J91" i="14" s="1"/>
  <c r="U92" i="14" s="1"/>
  <c r="P34" i="40" s="1"/>
  <c r="L84" i="25"/>
  <c r="J91" i="25" s="1"/>
  <c r="U92" i="25" s="1"/>
  <c r="P21" i="40" s="1"/>
  <c r="L85" i="25"/>
  <c r="J92" i="25" s="1"/>
  <c r="X82" i="25" s="1"/>
  <c r="U21" i="40" s="1"/>
  <c r="L86" i="25"/>
  <c r="J97" i="25" s="1"/>
  <c r="U82" i="25" s="1"/>
  <c r="D21" i="40" s="1"/>
  <c r="L83" i="7"/>
  <c r="J88" i="7" s="1"/>
  <c r="U88" i="7" s="1"/>
  <c r="K14" i="40" s="1"/>
  <c r="L85" i="26"/>
  <c r="J92" i="26" s="1"/>
  <c r="X82" i="26" s="1"/>
  <c r="U30" i="40" s="1"/>
  <c r="L84" i="26"/>
  <c r="J91" i="26" s="1"/>
  <c r="U92" i="26" s="1"/>
  <c r="P30" i="40" s="1"/>
  <c r="L86" i="26"/>
  <c r="J97" i="26" s="1"/>
  <c r="U82" i="26" s="1"/>
  <c r="D30" i="40" s="1"/>
  <c r="L83" i="30"/>
  <c r="J88" i="30" s="1"/>
  <c r="U88" i="30" s="1"/>
  <c r="L86" i="16"/>
  <c r="J97" i="16" s="1"/>
  <c r="U82" i="16" s="1"/>
  <c r="D35" i="40" s="1"/>
  <c r="L85" i="16"/>
  <c r="J92" i="16" s="1"/>
  <c r="X82" i="16" s="1"/>
  <c r="U35" i="40" s="1"/>
  <c r="L84" i="16"/>
  <c r="J91" i="16" s="1"/>
  <c r="U92" i="16" s="1"/>
  <c r="P35" i="40" s="1"/>
  <c r="L83" i="10"/>
  <c r="J88" i="10" s="1"/>
  <c r="U88" i="10" s="1"/>
  <c r="K15" i="40" s="1"/>
  <c r="L83" i="8"/>
  <c r="J88" i="8" s="1"/>
  <c r="U88" i="8" s="1"/>
  <c r="K7" i="40" s="1"/>
  <c r="L83" i="3"/>
  <c r="J88" i="3" s="1"/>
  <c r="U88" i="3" s="1"/>
  <c r="K6" i="40" s="1"/>
  <c r="L86" i="29"/>
  <c r="J97" i="29" s="1"/>
  <c r="L85" i="29"/>
  <c r="J92" i="29" s="1"/>
  <c r="X82" i="29" s="1"/>
  <c r="U31" i="40" s="1"/>
  <c r="L84" i="29"/>
  <c r="J91" i="29" s="1"/>
  <c r="U92" i="29" s="1"/>
  <c r="P31" i="40" s="1"/>
  <c r="L85" i="13"/>
  <c r="J92" i="13" s="1"/>
  <c r="X82" i="13" s="1"/>
  <c r="U24" i="40" s="1"/>
  <c r="L84" i="13"/>
  <c r="J91" i="13" s="1"/>
  <c r="U92" i="13" s="1"/>
  <c r="P24" i="40" s="1"/>
  <c r="L86" i="13"/>
  <c r="J97" i="13" s="1"/>
  <c r="U82" i="13" s="1"/>
  <c r="D24" i="40" s="1"/>
  <c r="L84" i="18"/>
  <c r="J91" i="18" s="1"/>
  <c r="U92" i="18" s="1"/>
  <c r="P25" i="40" s="1"/>
  <c r="L86" i="18"/>
  <c r="J97" i="18" s="1"/>
  <c r="L85" i="18"/>
  <c r="J92" i="18" s="1"/>
  <c r="X82" i="18" s="1"/>
  <c r="U25" i="40" s="1"/>
  <c r="L84" i="24"/>
  <c r="J91" i="24" s="1"/>
  <c r="U92" i="24" s="1"/>
  <c r="P26" i="40" s="1"/>
  <c r="L86" i="24"/>
  <c r="J97" i="24" s="1"/>
  <c r="U82" i="24" s="1"/>
  <c r="D26" i="40" s="1"/>
  <c r="L85" i="24"/>
  <c r="J92" i="24" s="1"/>
  <c r="X82" i="24" s="1"/>
  <c r="U26" i="40" s="1"/>
  <c r="L85" i="20"/>
  <c r="J92" i="20" s="1"/>
  <c r="X82" i="20" s="1"/>
  <c r="U18" i="40" s="1"/>
  <c r="L84" i="20"/>
  <c r="J91" i="20" s="1"/>
  <c r="U92" i="20" s="1"/>
  <c r="P18" i="40" s="1"/>
  <c r="L86" i="20"/>
  <c r="J97" i="20" s="1"/>
  <c r="L84" i="28"/>
  <c r="J91" i="28" s="1"/>
  <c r="U92" i="28" s="1"/>
  <c r="P11" i="40" s="1"/>
  <c r="L85" i="28"/>
  <c r="J92" i="28" s="1"/>
  <c r="X82" i="28" s="1"/>
  <c r="U11" i="40" s="1"/>
  <c r="L86" i="28"/>
  <c r="J97" i="28" s="1"/>
  <c r="L84" i="31"/>
  <c r="J91" i="31" s="1"/>
  <c r="U92" i="31" s="1"/>
  <c r="P22" i="40" s="1"/>
  <c r="L85" i="31"/>
  <c r="J92" i="31" s="1"/>
  <c r="X82" i="31" s="1"/>
  <c r="U22" i="40" s="1"/>
  <c r="L86" i="31"/>
  <c r="J97" i="31" s="1"/>
  <c r="U82" i="31" s="1"/>
  <c r="D22" i="40" s="1"/>
  <c r="L86" i="19"/>
  <c r="J97" i="19" s="1"/>
  <c r="L84" i="19"/>
  <c r="J91" i="19" s="1"/>
  <c r="U92" i="19" s="1"/>
  <c r="P9" i="40" s="1"/>
  <c r="L85" i="19"/>
  <c r="J92" i="19" s="1"/>
  <c r="X82" i="19" s="1"/>
  <c r="U9" i="40" s="1"/>
  <c r="L86" i="9"/>
  <c r="J97" i="9" s="1"/>
  <c r="U82" i="9" s="1"/>
  <c r="D8" i="40" s="1"/>
  <c r="L85" i="9"/>
  <c r="J92" i="9" s="1"/>
  <c r="X82" i="9" s="1"/>
  <c r="U8" i="40" s="1"/>
  <c r="L84" i="9"/>
  <c r="J91" i="9" s="1"/>
  <c r="U92" i="9" s="1"/>
  <c r="P8" i="40" s="1"/>
  <c r="L84" i="23"/>
  <c r="J91" i="23" s="1"/>
  <c r="U92" i="23" s="1"/>
  <c r="P20" i="40" s="1"/>
  <c r="L86" i="23"/>
  <c r="J97" i="23" s="1"/>
  <c r="L85" i="23"/>
  <c r="J92" i="23" s="1"/>
  <c r="X82" i="23" s="1"/>
  <c r="U20" i="40" s="1"/>
  <c r="L83" i="24"/>
  <c r="J88" i="24" s="1"/>
  <c r="U88" i="24" s="1"/>
  <c r="K26" i="40" s="1"/>
  <c r="R16" i="12" l="1"/>
  <c r="O20" i="7"/>
  <c r="U15" i="7" s="1"/>
  <c r="L14" i="43" s="1"/>
  <c r="L13" i="43" s="1"/>
  <c r="R15" i="25"/>
  <c r="U19" i="25" s="1"/>
  <c r="Q21" i="43" s="1"/>
  <c r="R21" i="43" s="1"/>
  <c r="R16" i="27"/>
  <c r="X9" i="27" s="1"/>
  <c r="V10" i="43" s="1"/>
  <c r="W10" i="43" s="1"/>
  <c r="O13" i="31"/>
  <c r="U9" i="31" s="1"/>
  <c r="E22" i="43" s="1"/>
  <c r="F22" i="43" s="1"/>
  <c r="O13" i="8"/>
  <c r="U9" i="8" s="1"/>
  <c r="E7" i="43" s="1"/>
  <c r="F7" i="43" s="1"/>
  <c r="R81" i="22"/>
  <c r="R83" i="22" s="1"/>
  <c r="R87" i="22" s="1"/>
  <c r="X81" i="22" s="1"/>
  <c r="O13" i="12"/>
  <c r="U9" i="12" s="1"/>
  <c r="O32" i="24"/>
  <c r="O43" i="24" s="1"/>
  <c r="U35" i="24" s="1"/>
  <c r="H26" i="41" s="1"/>
  <c r="M21" i="43"/>
  <c r="O56" i="3"/>
  <c r="O58" i="3" s="1"/>
  <c r="O60" i="3" s="1"/>
  <c r="U56" i="3" s="1"/>
  <c r="C6" i="39" s="1"/>
  <c r="O37" i="24"/>
  <c r="H13" i="43"/>
  <c r="M14" i="43"/>
  <c r="O81" i="22"/>
  <c r="O82" i="22" s="1"/>
  <c r="O93" i="22" s="1"/>
  <c r="U85" i="22" s="1"/>
  <c r="H19" i="40" s="1"/>
  <c r="U11" i="3"/>
  <c r="H6" i="43" s="1"/>
  <c r="H5" i="43" s="1"/>
  <c r="R12" i="3"/>
  <c r="R15" i="3" s="1"/>
  <c r="U19" i="3" s="1"/>
  <c r="Q6" i="43" s="1"/>
  <c r="U7" i="3"/>
  <c r="C6" i="43" s="1"/>
  <c r="K5" i="40"/>
  <c r="O106" i="22"/>
  <c r="O107" i="22" s="1"/>
  <c r="O118" i="22" s="1"/>
  <c r="U110" i="22" s="1"/>
  <c r="H19" i="44" s="1"/>
  <c r="R106" i="22"/>
  <c r="R108" i="22" s="1"/>
  <c r="R112" i="22" s="1"/>
  <c r="X106" i="22" s="1"/>
  <c r="T19" i="44" s="1"/>
  <c r="O108" i="28"/>
  <c r="O110" i="28" s="1"/>
  <c r="O112" i="28" s="1"/>
  <c r="O107" i="10"/>
  <c r="O118" i="10" s="1"/>
  <c r="U110" i="10" s="1"/>
  <c r="H15" i="44" s="1"/>
  <c r="R107" i="21"/>
  <c r="R111" i="21" s="1"/>
  <c r="U116" i="21" s="1"/>
  <c r="O29" i="44" s="1"/>
  <c r="R57" i="3"/>
  <c r="R61" i="3" s="1"/>
  <c r="U66" i="3" s="1"/>
  <c r="O6" i="39" s="1"/>
  <c r="O57" i="11"/>
  <c r="O68" i="11" s="1"/>
  <c r="U60" i="11" s="1"/>
  <c r="H16" i="39" s="1"/>
  <c r="O44" i="24"/>
  <c r="R32" i="23"/>
  <c r="R36" i="23" s="1"/>
  <c r="U41" i="23" s="1"/>
  <c r="O20" i="41" s="1"/>
  <c r="X31" i="23"/>
  <c r="T20" i="41" s="1"/>
  <c r="O32" i="13"/>
  <c r="O43" i="13" s="1"/>
  <c r="U35" i="13" s="1"/>
  <c r="H24" i="41" s="1"/>
  <c r="O32" i="28"/>
  <c r="O43" i="28" s="1"/>
  <c r="U35" i="28" s="1"/>
  <c r="H11" i="41" s="1"/>
  <c r="O37" i="23"/>
  <c r="U33" i="23" s="1"/>
  <c r="E20" i="41" s="1"/>
  <c r="F20" i="41" s="1"/>
  <c r="O32" i="23"/>
  <c r="O43" i="23" s="1"/>
  <c r="U35" i="23" s="1"/>
  <c r="H20" i="41" s="1"/>
  <c r="R32" i="3"/>
  <c r="R36" i="3" s="1"/>
  <c r="U41" i="3" s="1"/>
  <c r="O6" i="41" s="1"/>
  <c r="O32" i="17"/>
  <c r="O43" i="17" s="1"/>
  <c r="U35" i="17" s="1"/>
  <c r="H36" i="41" s="1"/>
  <c r="O32" i="32"/>
  <c r="O43" i="32" s="1"/>
  <c r="U35" i="32" s="1"/>
  <c r="H12" i="41" s="1"/>
  <c r="O32" i="21"/>
  <c r="O43" i="21" s="1"/>
  <c r="U35" i="21" s="1"/>
  <c r="H29" i="41" s="1"/>
  <c r="U41" i="24"/>
  <c r="O26" i="41" s="1"/>
  <c r="O33" i="12"/>
  <c r="O35" i="12" s="1"/>
  <c r="O37" i="12" s="1"/>
  <c r="U33" i="12" s="1"/>
  <c r="E33" i="41" s="1"/>
  <c r="W6" i="43"/>
  <c r="O13" i="29"/>
  <c r="U9" i="29" s="1"/>
  <c r="R15" i="29"/>
  <c r="U19" i="29" s="1"/>
  <c r="Q31" i="43" s="1"/>
  <c r="R31" i="43" s="1"/>
  <c r="R16" i="13"/>
  <c r="X9" i="13" s="1"/>
  <c r="V24" i="43" s="1"/>
  <c r="W24" i="43" s="1"/>
  <c r="U17" i="3"/>
  <c r="O6" i="43" s="1"/>
  <c r="R6" i="43" s="1"/>
  <c r="O23" i="43"/>
  <c r="O13" i="18"/>
  <c r="U9" i="18" s="1"/>
  <c r="E25" i="43" s="1"/>
  <c r="F25" i="43" s="1"/>
  <c r="O20" i="24"/>
  <c r="U15" i="24" s="1"/>
  <c r="L26" i="43" s="1"/>
  <c r="M26" i="43" s="1"/>
  <c r="O13" i="27"/>
  <c r="U9" i="27" s="1"/>
  <c r="R16" i="18"/>
  <c r="X9" i="18" s="1"/>
  <c r="V25" i="43" s="1"/>
  <c r="W25" i="43" s="1"/>
  <c r="O13" i="28"/>
  <c r="U9" i="28" s="1"/>
  <c r="E11" i="43" s="1"/>
  <c r="F11" i="43" s="1"/>
  <c r="AK11" i="43" s="1"/>
  <c r="R15" i="8"/>
  <c r="U19" i="8" s="1"/>
  <c r="Q7" i="43" s="1"/>
  <c r="R16" i="20"/>
  <c r="X9" i="20" s="1"/>
  <c r="V18" i="43" s="1"/>
  <c r="W18" i="43" s="1"/>
  <c r="R16" i="14"/>
  <c r="X9" i="14" s="1"/>
  <c r="V34" i="43" s="1"/>
  <c r="W34" i="43" s="1"/>
  <c r="R16" i="31"/>
  <c r="X9" i="31" s="1"/>
  <c r="V22" i="43" s="1"/>
  <c r="W22" i="43" s="1"/>
  <c r="O13" i="25"/>
  <c r="U9" i="25" s="1"/>
  <c r="O13" i="22"/>
  <c r="U9" i="22" s="1"/>
  <c r="E19" i="43" s="1"/>
  <c r="F19" i="43" s="1"/>
  <c r="O20" i="3"/>
  <c r="U15" i="3" s="1"/>
  <c r="L6" i="43" s="1"/>
  <c r="R16" i="22"/>
  <c r="X9" i="22" s="1"/>
  <c r="V19" i="43" s="1"/>
  <c r="W19" i="43" s="1"/>
  <c r="O13" i="16"/>
  <c r="U9" i="16" s="1"/>
  <c r="R15" i="19"/>
  <c r="U19" i="19" s="1"/>
  <c r="Q9" i="43" s="1"/>
  <c r="R9" i="43" s="1"/>
  <c r="O13" i="10"/>
  <c r="U9" i="10" s="1"/>
  <c r="E15" i="43" s="1"/>
  <c r="F15" i="43" s="1"/>
  <c r="O13" i="9"/>
  <c r="U9" i="9" s="1"/>
  <c r="E8" i="43" s="1"/>
  <c r="F8" i="43" s="1"/>
  <c r="O13" i="23"/>
  <c r="U9" i="23" s="1"/>
  <c r="E20" i="43" s="1"/>
  <c r="F20" i="43" s="1"/>
  <c r="O13" i="14"/>
  <c r="U9" i="14" s="1"/>
  <c r="R15" i="17"/>
  <c r="U19" i="17" s="1"/>
  <c r="Q36" i="43" s="1"/>
  <c r="R36" i="43" s="1"/>
  <c r="R16" i="32"/>
  <c r="X9" i="32" s="1"/>
  <c r="V12" i="43" s="1"/>
  <c r="W12" i="43" s="1"/>
  <c r="R15" i="11"/>
  <c r="U19" i="11" s="1"/>
  <c r="Q16" i="43" s="1"/>
  <c r="R16" i="43" s="1"/>
  <c r="R15" i="26"/>
  <c r="U19" i="26" s="1"/>
  <c r="Q30" i="43" s="1"/>
  <c r="R30" i="43" s="1"/>
  <c r="O20" i="19"/>
  <c r="U15" i="19" s="1"/>
  <c r="L9" i="43" s="1"/>
  <c r="M9" i="43" s="1"/>
  <c r="O13" i="30"/>
  <c r="U9" i="30" s="1"/>
  <c r="E27" i="43" s="1"/>
  <c r="F27" i="43" s="1"/>
  <c r="O13" i="11"/>
  <c r="U9" i="11" s="1"/>
  <c r="E16" i="43" s="1"/>
  <c r="F16" i="43" s="1"/>
  <c r="R16" i="16"/>
  <c r="X9" i="16" s="1"/>
  <c r="V35" i="43" s="1"/>
  <c r="W35" i="43" s="1"/>
  <c r="X7" i="30"/>
  <c r="T27" i="43" s="1"/>
  <c r="W27" i="43" s="1"/>
  <c r="R8" i="43"/>
  <c r="O13" i="17"/>
  <c r="U9" i="17" s="1"/>
  <c r="R16" i="9"/>
  <c r="X9" i="9" s="1"/>
  <c r="V8" i="43" s="1"/>
  <c r="W8" i="43" s="1"/>
  <c r="R16" i="10"/>
  <c r="X9" i="10" s="1"/>
  <c r="V15" i="43" s="1"/>
  <c r="W15" i="43" s="1"/>
  <c r="O13" i="32"/>
  <c r="U9" i="32" s="1"/>
  <c r="E12" i="43" s="1"/>
  <c r="O13" i="15"/>
  <c r="U9" i="15" s="1"/>
  <c r="E17" i="43" s="1"/>
  <c r="F17" i="43" s="1"/>
  <c r="R16" i="15"/>
  <c r="X9" i="15" s="1"/>
  <c r="V17" i="43" s="1"/>
  <c r="W17" i="43" s="1"/>
  <c r="T5" i="43"/>
  <c r="F24" i="43"/>
  <c r="U21" i="13"/>
  <c r="M7" i="43"/>
  <c r="E26" i="43"/>
  <c r="F26" i="43" s="1"/>
  <c r="F18" i="43"/>
  <c r="R20" i="43"/>
  <c r="R57" i="24"/>
  <c r="R61" i="24" s="1"/>
  <c r="U66" i="24" s="1"/>
  <c r="O26" i="39" s="1"/>
  <c r="O108" i="8"/>
  <c r="O110" i="8" s="1"/>
  <c r="O112" i="8" s="1"/>
  <c r="R107" i="31"/>
  <c r="R111" i="31" s="1"/>
  <c r="U116" i="31" s="1"/>
  <c r="O22" i="44" s="1"/>
  <c r="O107" i="16"/>
  <c r="O118" i="16" s="1"/>
  <c r="U110" i="16" s="1"/>
  <c r="H35" i="44" s="1"/>
  <c r="R107" i="17"/>
  <c r="R111" i="17" s="1"/>
  <c r="U116" i="17" s="1"/>
  <c r="O36" i="44" s="1"/>
  <c r="O58" i="8"/>
  <c r="O60" i="8" s="1"/>
  <c r="U56" i="8" s="1"/>
  <c r="C7" i="39" s="1"/>
  <c r="O58" i="15"/>
  <c r="O60" i="15" s="1"/>
  <c r="U56" i="15" s="1"/>
  <c r="O62" i="31"/>
  <c r="U58" i="31" s="1"/>
  <c r="E22" i="39" s="1"/>
  <c r="O32" i="20"/>
  <c r="O43" i="20" s="1"/>
  <c r="O44" i="20" s="1"/>
  <c r="O32" i="22"/>
  <c r="O43" i="22" s="1"/>
  <c r="O44" i="22" s="1"/>
  <c r="O32" i="27"/>
  <c r="O43" i="27" s="1"/>
  <c r="U35" i="27" s="1"/>
  <c r="H10" i="41" s="1"/>
  <c r="O33" i="3"/>
  <c r="O35" i="3" s="1"/>
  <c r="U31" i="3" s="1"/>
  <c r="H28" i="43"/>
  <c r="O13" i="7"/>
  <c r="U9" i="7" s="1"/>
  <c r="E14" i="43" s="1"/>
  <c r="F14" i="43" s="1"/>
  <c r="C12" i="43"/>
  <c r="U7" i="26"/>
  <c r="O13" i="26"/>
  <c r="U9" i="26" s="1"/>
  <c r="E30" i="43" s="1"/>
  <c r="T28" i="43"/>
  <c r="D32" i="41"/>
  <c r="P4" i="41"/>
  <c r="O62" i="9"/>
  <c r="U58" i="9" s="1"/>
  <c r="E8" i="39" s="1"/>
  <c r="O57" i="9"/>
  <c r="O68" i="9" s="1"/>
  <c r="U60" i="9" s="1"/>
  <c r="H8" i="39" s="1"/>
  <c r="O57" i="28"/>
  <c r="O68" i="28" s="1"/>
  <c r="U60" i="28" s="1"/>
  <c r="H11" i="39" s="1"/>
  <c r="O57" i="31"/>
  <c r="O68" i="31" s="1"/>
  <c r="U60" i="31" s="1"/>
  <c r="H22" i="39" s="1"/>
  <c r="D5" i="41"/>
  <c r="U4" i="41"/>
  <c r="O81" i="23"/>
  <c r="O83" i="23" s="1"/>
  <c r="O85" i="23" s="1"/>
  <c r="U81" i="23" s="1"/>
  <c r="U82" i="23"/>
  <c r="D20" i="40" s="1"/>
  <c r="O81" i="19"/>
  <c r="O83" i="19" s="1"/>
  <c r="O85" i="19" s="1"/>
  <c r="U82" i="19"/>
  <c r="D9" i="40" s="1"/>
  <c r="O81" i="28"/>
  <c r="O82" i="28" s="1"/>
  <c r="O93" i="28" s="1"/>
  <c r="U85" i="28" s="1"/>
  <c r="H11" i="40" s="1"/>
  <c r="U82" i="28"/>
  <c r="D11" i="40" s="1"/>
  <c r="O81" i="20"/>
  <c r="O82" i="20" s="1"/>
  <c r="O93" i="20" s="1"/>
  <c r="U85" i="20" s="1"/>
  <c r="H18" i="40" s="1"/>
  <c r="U82" i="20"/>
  <c r="D18" i="40" s="1"/>
  <c r="O81" i="18"/>
  <c r="O82" i="18" s="1"/>
  <c r="O93" i="18" s="1"/>
  <c r="U85" i="18" s="1"/>
  <c r="H25" i="40" s="1"/>
  <c r="U82" i="18"/>
  <c r="D25" i="40" s="1"/>
  <c r="D23" i="40" s="1"/>
  <c r="P23" i="40"/>
  <c r="U23" i="40"/>
  <c r="O81" i="29"/>
  <c r="O83" i="29" s="1"/>
  <c r="O85" i="29" s="1"/>
  <c r="U81" i="29" s="1"/>
  <c r="U82" i="29"/>
  <c r="D31" i="40" s="1"/>
  <c r="D28" i="40" s="1"/>
  <c r="K27" i="40"/>
  <c r="K23" i="40" s="1"/>
  <c r="K13" i="40"/>
  <c r="O81" i="14"/>
  <c r="O83" i="14" s="1"/>
  <c r="O85" i="14" s="1"/>
  <c r="U81" i="14" s="1"/>
  <c r="C34" i="40" s="1"/>
  <c r="U82" i="14"/>
  <c r="D34" i="40" s="1"/>
  <c r="D32" i="40" s="1"/>
  <c r="U5" i="40"/>
  <c r="P28" i="40"/>
  <c r="U28" i="40"/>
  <c r="P13" i="40"/>
  <c r="U13" i="40"/>
  <c r="P32" i="40"/>
  <c r="U32" i="40"/>
  <c r="O81" i="15"/>
  <c r="O83" i="15" s="1"/>
  <c r="O85" i="15" s="1"/>
  <c r="U81" i="15" s="1"/>
  <c r="U82" i="15"/>
  <c r="D17" i="40" s="1"/>
  <c r="R81" i="3"/>
  <c r="R83" i="3" s="1"/>
  <c r="U92" i="3"/>
  <c r="P6" i="40" s="1"/>
  <c r="P5" i="40" s="1"/>
  <c r="X106" i="20"/>
  <c r="T18" i="44" s="1"/>
  <c r="X56" i="30"/>
  <c r="T27" i="39" s="1"/>
  <c r="X31" i="26"/>
  <c r="T30" i="41" s="1"/>
  <c r="X31" i="16"/>
  <c r="T35" i="41" s="1"/>
  <c r="X33" i="32"/>
  <c r="V12" i="41" s="1"/>
  <c r="U33" i="22"/>
  <c r="E19" i="41" s="1"/>
  <c r="X33" i="30"/>
  <c r="V27" i="41" s="1"/>
  <c r="X31" i="15"/>
  <c r="T17" i="41" s="1"/>
  <c r="X33" i="28"/>
  <c r="V11" i="41" s="1"/>
  <c r="X31" i="20"/>
  <c r="T18" i="41" s="1"/>
  <c r="U33" i="32"/>
  <c r="E12" i="41" s="1"/>
  <c r="X31" i="21"/>
  <c r="T29" i="41" s="1"/>
  <c r="U33" i="24"/>
  <c r="E26" i="41" s="1"/>
  <c r="U43" i="24"/>
  <c r="Q26" i="41" s="1"/>
  <c r="U33" i="17"/>
  <c r="E36" i="41" s="1"/>
  <c r="X31" i="32"/>
  <c r="T12" i="41" s="1"/>
  <c r="U33" i="13"/>
  <c r="E24" i="41" s="1"/>
  <c r="X31" i="8"/>
  <c r="T7" i="41" s="1"/>
  <c r="X31" i="13"/>
  <c r="T24" i="41" s="1"/>
  <c r="X33" i="29"/>
  <c r="V31" i="41" s="1"/>
  <c r="X31" i="3"/>
  <c r="T6" i="41" s="1"/>
  <c r="X31" i="17"/>
  <c r="T36" i="41" s="1"/>
  <c r="X31" i="22"/>
  <c r="T19" i="41" s="1"/>
  <c r="U31" i="16"/>
  <c r="U31" i="20"/>
  <c r="X31" i="31"/>
  <c r="T22" i="41" s="1"/>
  <c r="X31" i="27"/>
  <c r="T10" i="41" s="1"/>
  <c r="X31" i="19"/>
  <c r="T9" i="41" s="1"/>
  <c r="X33" i="23"/>
  <c r="V20" i="41" s="1"/>
  <c r="X31" i="9"/>
  <c r="T8" i="41" s="1"/>
  <c r="U33" i="27"/>
  <c r="E10" i="41" s="1"/>
  <c r="X31" i="14"/>
  <c r="T34" i="41" s="1"/>
  <c r="X31" i="18"/>
  <c r="T25" i="41" s="1"/>
  <c r="X31" i="12"/>
  <c r="T33" i="41" s="1"/>
  <c r="U39" i="24"/>
  <c r="L26" i="41" s="1"/>
  <c r="M26" i="41" s="1"/>
  <c r="X31" i="28"/>
  <c r="T11" i="41" s="1"/>
  <c r="X31" i="25"/>
  <c r="T21" i="41" s="1"/>
  <c r="X31" i="29"/>
  <c r="T31" i="41" s="1"/>
  <c r="X31" i="11"/>
  <c r="T16" i="41" s="1"/>
  <c r="X31" i="30"/>
  <c r="T27" i="41" s="1"/>
  <c r="U31" i="28"/>
  <c r="U31" i="32"/>
  <c r="U31" i="17"/>
  <c r="X106" i="8"/>
  <c r="T7" i="44" s="1"/>
  <c r="X56" i="8"/>
  <c r="T7" i="39" s="1"/>
  <c r="D8" i="39"/>
  <c r="U106" i="9"/>
  <c r="X106" i="9"/>
  <c r="T8" i="44" s="1"/>
  <c r="X56" i="9"/>
  <c r="T8" i="39" s="1"/>
  <c r="X56" i="10"/>
  <c r="T15" i="39" s="1"/>
  <c r="X106" i="10"/>
  <c r="T15" i="44" s="1"/>
  <c r="U106" i="10"/>
  <c r="X106" i="11"/>
  <c r="T16" i="44" s="1"/>
  <c r="X56" i="11"/>
  <c r="T16" i="39" s="1"/>
  <c r="X56" i="12"/>
  <c r="T33" i="39" s="1"/>
  <c r="U33" i="44"/>
  <c r="X108" i="12"/>
  <c r="V33" i="44" s="1"/>
  <c r="X106" i="12"/>
  <c r="T33" i="44" s="1"/>
  <c r="U35" i="12"/>
  <c r="H33" i="41" s="1"/>
  <c r="X56" i="13"/>
  <c r="T24" i="39" s="1"/>
  <c r="X106" i="13"/>
  <c r="T24" i="44" s="1"/>
  <c r="X56" i="14"/>
  <c r="T34" i="39" s="1"/>
  <c r="X106" i="15"/>
  <c r="T17" i="44" s="1"/>
  <c r="X56" i="15"/>
  <c r="T17" i="39" s="1"/>
  <c r="X106" i="16"/>
  <c r="T35" i="44" s="1"/>
  <c r="U106" i="16"/>
  <c r="X56" i="16"/>
  <c r="T35" i="39" s="1"/>
  <c r="U36" i="44"/>
  <c r="X108" i="17"/>
  <c r="V36" i="44" s="1"/>
  <c r="X106" i="17"/>
  <c r="T36" i="44" s="1"/>
  <c r="U106" i="17"/>
  <c r="X56" i="17"/>
  <c r="T36" i="39" s="1"/>
  <c r="X106" i="18"/>
  <c r="T25" i="44" s="1"/>
  <c r="X56" i="18"/>
  <c r="T25" i="39" s="1"/>
  <c r="U9" i="44"/>
  <c r="X108" i="19"/>
  <c r="V9" i="44" s="1"/>
  <c r="U9" i="39"/>
  <c r="X58" i="19"/>
  <c r="V9" i="39" s="1"/>
  <c r="X56" i="19"/>
  <c r="T9" i="39" s="1"/>
  <c r="X106" i="19"/>
  <c r="T9" i="44" s="1"/>
  <c r="X56" i="20"/>
  <c r="T18" i="39" s="1"/>
  <c r="X106" i="21"/>
  <c r="T29" i="44" s="1"/>
  <c r="X56" i="21"/>
  <c r="T29" i="39" s="1"/>
  <c r="U31" i="21"/>
  <c r="X56" i="22"/>
  <c r="T19" i="39" s="1"/>
  <c r="U31" i="22"/>
  <c r="X106" i="23"/>
  <c r="T20" i="44" s="1"/>
  <c r="X56" i="23"/>
  <c r="T20" i="39" s="1"/>
  <c r="X56" i="24"/>
  <c r="T26" i="39" s="1"/>
  <c r="U106" i="24"/>
  <c r="X106" i="24"/>
  <c r="T26" i="44" s="1"/>
  <c r="X56" i="25"/>
  <c r="T21" i="39" s="1"/>
  <c r="X106" i="25"/>
  <c r="T21" i="44" s="1"/>
  <c r="X56" i="26"/>
  <c r="T30" i="39" s="1"/>
  <c r="U30" i="44"/>
  <c r="X108" i="26"/>
  <c r="V30" i="44" s="1"/>
  <c r="X106" i="26"/>
  <c r="T30" i="44" s="1"/>
  <c r="X56" i="27"/>
  <c r="T10" i="39" s="1"/>
  <c r="X106" i="27"/>
  <c r="T10" i="44" s="1"/>
  <c r="D10" i="44"/>
  <c r="U108" i="27"/>
  <c r="E10" i="44" s="1"/>
  <c r="U106" i="27"/>
  <c r="X56" i="28"/>
  <c r="T11" i="39" s="1"/>
  <c r="X106" i="28"/>
  <c r="T11" i="44" s="1"/>
  <c r="X106" i="29"/>
  <c r="T31" i="44" s="1"/>
  <c r="X56" i="29"/>
  <c r="T31" i="39" s="1"/>
  <c r="X106" i="30"/>
  <c r="T27" i="44" s="1"/>
  <c r="U106" i="30"/>
  <c r="U22" i="44"/>
  <c r="X108" i="31"/>
  <c r="V22" i="44" s="1"/>
  <c r="X106" i="31"/>
  <c r="T22" i="44" s="1"/>
  <c r="D22" i="39"/>
  <c r="U22" i="39"/>
  <c r="X58" i="31"/>
  <c r="V22" i="39" s="1"/>
  <c r="X56" i="31"/>
  <c r="T22" i="39" s="1"/>
  <c r="X56" i="32"/>
  <c r="T12" i="39" s="1"/>
  <c r="X106" i="32"/>
  <c r="T12" i="44" s="1"/>
  <c r="U106" i="32"/>
  <c r="X33" i="24"/>
  <c r="V26" i="41" s="1"/>
  <c r="W26" i="41" s="1"/>
  <c r="U9" i="21"/>
  <c r="E29" i="43" s="1"/>
  <c r="U19" i="10"/>
  <c r="X9" i="21"/>
  <c r="V29" i="43" s="1"/>
  <c r="V28" i="43" s="1"/>
  <c r="U19" i="44"/>
  <c r="U15" i="16"/>
  <c r="L35" i="43" s="1"/>
  <c r="M35" i="43" s="1"/>
  <c r="H32" i="43"/>
  <c r="U19" i="12"/>
  <c r="Q33" i="43" s="1"/>
  <c r="U15" i="21"/>
  <c r="L29" i="43" s="1"/>
  <c r="L28" i="43" s="1"/>
  <c r="X9" i="12"/>
  <c r="V33" i="43" s="1"/>
  <c r="U19" i="24"/>
  <c r="Q26" i="43" s="1"/>
  <c r="R26" i="43" s="1"/>
  <c r="D19" i="44"/>
  <c r="U9" i="3"/>
  <c r="U19" i="31"/>
  <c r="U7" i="21"/>
  <c r="C26" i="41"/>
  <c r="U31" i="13"/>
  <c r="U31" i="27"/>
  <c r="H23" i="43"/>
  <c r="O81" i="8"/>
  <c r="O82" i="8" s="1"/>
  <c r="O81" i="7"/>
  <c r="O82" i="7" s="1"/>
  <c r="O57" i="3"/>
  <c r="O68" i="3" s="1"/>
  <c r="U60" i="3" s="1"/>
  <c r="H6" i="39" s="1"/>
  <c r="O108" i="3"/>
  <c r="O110" i="3" s="1"/>
  <c r="O107" i="3"/>
  <c r="O118" i="3" s="1"/>
  <c r="O58" i="27"/>
  <c r="O60" i="27" s="1"/>
  <c r="U56" i="27" s="1"/>
  <c r="O57" i="27"/>
  <c r="O68" i="27" s="1"/>
  <c r="U60" i="27" s="1"/>
  <c r="H10" i="39" s="1"/>
  <c r="O32" i="7"/>
  <c r="O43" i="7" s="1"/>
  <c r="U35" i="7" s="1"/>
  <c r="H14" i="41" s="1"/>
  <c r="O33" i="7"/>
  <c r="O35" i="7" s="1"/>
  <c r="U31" i="7" s="1"/>
  <c r="O57" i="7"/>
  <c r="O68" i="7" s="1"/>
  <c r="U60" i="7" s="1"/>
  <c r="H14" i="39" s="1"/>
  <c r="O58" i="7"/>
  <c r="O60" i="7" s="1"/>
  <c r="U56" i="7" s="1"/>
  <c r="C14" i="39" s="1"/>
  <c r="O107" i="7"/>
  <c r="O118" i="7" s="1"/>
  <c r="U110" i="7" s="1"/>
  <c r="H14" i="44" s="1"/>
  <c r="O108" i="7"/>
  <c r="O110" i="7" s="1"/>
  <c r="U106" i="7" s="1"/>
  <c r="O32" i="8"/>
  <c r="O43" i="8" s="1"/>
  <c r="U35" i="8" s="1"/>
  <c r="H7" i="41" s="1"/>
  <c r="O33" i="8"/>
  <c r="O35" i="8" s="1"/>
  <c r="U31" i="8" s="1"/>
  <c r="R16" i="7"/>
  <c r="T14" i="43"/>
  <c r="T32" i="43"/>
  <c r="R65" i="20"/>
  <c r="O37" i="21"/>
  <c r="R82" i="22"/>
  <c r="R86" i="22" s="1"/>
  <c r="U91" i="22" s="1"/>
  <c r="O19" i="40" s="1"/>
  <c r="R115" i="32"/>
  <c r="C23" i="43"/>
  <c r="O32" i="43"/>
  <c r="R15" i="7"/>
  <c r="C35" i="43"/>
  <c r="T14" i="44"/>
  <c r="R107" i="15"/>
  <c r="R111" i="15" s="1"/>
  <c r="U116" i="15" s="1"/>
  <c r="O17" i="44" s="1"/>
  <c r="R65" i="17"/>
  <c r="R115" i="18"/>
  <c r="R107" i="18"/>
  <c r="R111" i="18" s="1"/>
  <c r="U116" i="18" s="1"/>
  <c r="O25" i="44" s="1"/>
  <c r="R57" i="19"/>
  <c r="R61" i="19" s="1"/>
  <c r="U66" i="19" s="1"/>
  <c r="O9" i="39" s="1"/>
  <c r="R57" i="22"/>
  <c r="R61" i="22" s="1"/>
  <c r="U66" i="22" s="1"/>
  <c r="O19" i="39" s="1"/>
  <c r="R65" i="22"/>
  <c r="R65" i="26"/>
  <c r="O62" i="28"/>
  <c r="R57" i="31"/>
  <c r="R61" i="31" s="1"/>
  <c r="U66" i="31" s="1"/>
  <c r="O22" i="39" s="1"/>
  <c r="C36" i="43"/>
  <c r="C10" i="43"/>
  <c r="R32" i="16"/>
  <c r="R36" i="16" s="1"/>
  <c r="R39" i="16" s="1"/>
  <c r="R32" i="8"/>
  <c r="R36" i="8" s="1"/>
  <c r="R39" i="8" s="1"/>
  <c r="R57" i="17"/>
  <c r="R61" i="17" s="1"/>
  <c r="U66" i="17" s="1"/>
  <c r="O36" i="39" s="1"/>
  <c r="R57" i="20"/>
  <c r="R61" i="20" s="1"/>
  <c r="U66" i="20" s="1"/>
  <c r="O18" i="39" s="1"/>
  <c r="R90" i="22"/>
  <c r="X83" i="22" s="1"/>
  <c r="V19" i="40" s="1"/>
  <c r="O107" i="30"/>
  <c r="O118" i="30" s="1"/>
  <c r="U110" i="30" s="1"/>
  <c r="H27" i="44" s="1"/>
  <c r="R107" i="32"/>
  <c r="R111" i="32" s="1"/>
  <c r="U116" i="32" s="1"/>
  <c r="O12" i="44" s="1"/>
  <c r="R15" i="21"/>
  <c r="C31" i="43"/>
  <c r="C34" i="43"/>
  <c r="C33" i="43"/>
  <c r="C21" i="43"/>
  <c r="C13" i="43" s="1"/>
  <c r="R57" i="30"/>
  <c r="R61" i="30" s="1"/>
  <c r="U66" i="30" s="1"/>
  <c r="O27" i="39" s="1"/>
  <c r="R40" i="27"/>
  <c r="R57" i="27"/>
  <c r="R61" i="27" s="1"/>
  <c r="U66" i="27" s="1"/>
  <c r="O10" i="39" s="1"/>
  <c r="R65" i="27"/>
  <c r="R57" i="26"/>
  <c r="R61" i="26" s="1"/>
  <c r="U66" i="26" s="1"/>
  <c r="O30" i="39" s="1"/>
  <c r="O62" i="24"/>
  <c r="R115" i="24"/>
  <c r="O57" i="24"/>
  <c r="O68" i="24" s="1"/>
  <c r="U60" i="24" s="1"/>
  <c r="H26" i="39" s="1"/>
  <c r="R65" i="23"/>
  <c r="R115" i="21"/>
  <c r="R107" i="14"/>
  <c r="R111" i="14" s="1"/>
  <c r="U116" i="14" s="1"/>
  <c r="O34" i="44" s="1"/>
  <c r="R57" i="14"/>
  <c r="R61" i="14" s="1"/>
  <c r="U66" i="14" s="1"/>
  <c r="O34" i="39" s="1"/>
  <c r="R65" i="14"/>
  <c r="R65" i="13"/>
  <c r="O44" i="12"/>
  <c r="R107" i="11"/>
  <c r="R111" i="11" s="1"/>
  <c r="U116" i="11" s="1"/>
  <c r="O16" i="44" s="1"/>
  <c r="O112" i="9"/>
  <c r="R57" i="9"/>
  <c r="R61" i="9" s="1"/>
  <c r="U66" i="9" s="1"/>
  <c r="O8" i="39" s="1"/>
  <c r="R107" i="7"/>
  <c r="R111" i="7" s="1"/>
  <c r="U116" i="7" s="1"/>
  <c r="O14" i="44" s="1"/>
  <c r="R40" i="16"/>
  <c r="R115" i="16"/>
  <c r="R65" i="15"/>
  <c r="R57" i="15"/>
  <c r="R61" i="15" s="1"/>
  <c r="U66" i="15" s="1"/>
  <c r="O17" i="39" s="1"/>
  <c r="R57" i="25"/>
  <c r="R61" i="25" s="1"/>
  <c r="U66" i="25" s="1"/>
  <c r="O21" i="39" s="1"/>
  <c r="R115" i="13"/>
  <c r="R40" i="12"/>
  <c r="R57" i="11"/>
  <c r="R61" i="11" s="1"/>
  <c r="U66" i="11" s="1"/>
  <c r="O16" i="39" s="1"/>
  <c r="R115" i="11"/>
  <c r="O112" i="10"/>
  <c r="R57" i="10"/>
  <c r="R61" i="10" s="1"/>
  <c r="U66" i="10" s="1"/>
  <c r="O15" i="39" s="1"/>
  <c r="O107" i="9"/>
  <c r="O118" i="9" s="1"/>
  <c r="U110" i="9" s="1"/>
  <c r="H8" i="44" s="1"/>
  <c r="O68" i="8"/>
  <c r="U60" i="8" s="1"/>
  <c r="H7" i="39" s="1"/>
  <c r="O118" i="8"/>
  <c r="U110" i="8" s="1"/>
  <c r="H7" i="44" s="1"/>
  <c r="O81" i="32"/>
  <c r="R81" i="32"/>
  <c r="R83" i="32" s="1"/>
  <c r="R87" i="32" s="1"/>
  <c r="X81" i="32" s="1"/>
  <c r="O112" i="32"/>
  <c r="R65" i="32"/>
  <c r="O107" i="32"/>
  <c r="O118" i="32" s="1"/>
  <c r="U110" i="32" s="1"/>
  <c r="H12" i="44" s="1"/>
  <c r="O58" i="32"/>
  <c r="O60" i="32" s="1"/>
  <c r="U56" i="32" s="1"/>
  <c r="O57" i="32"/>
  <c r="O68" i="32" s="1"/>
  <c r="U60" i="32" s="1"/>
  <c r="H12" i="39" s="1"/>
  <c r="R57" i="32"/>
  <c r="R61" i="32" s="1"/>
  <c r="U66" i="32" s="1"/>
  <c r="O12" i="39" s="1"/>
  <c r="R81" i="31"/>
  <c r="R83" i="31" s="1"/>
  <c r="R87" i="31" s="1"/>
  <c r="X81" i="31" s="1"/>
  <c r="O108" i="31"/>
  <c r="O110" i="31" s="1"/>
  <c r="U106" i="31" s="1"/>
  <c r="O107" i="31"/>
  <c r="O118" i="31" s="1"/>
  <c r="U110" i="31" s="1"/>
  <c r="H22" i="44" s="1"/>
  <c r="R32" i="31"/>
  <c r="R36" i="31" s="1"/>
  <c r="U41" i="31" s="1"/>
  <c r="O22" i="41" s="1"/>
  <c r="O69" i="31"/>
  <c r="O81" i="31"/>
  <c r="R81" i="30"/>
  <c r="R83" i="30" s="1"/>
  <c r="R87" i="30" s="1"/>
  <c r="X81" i="30" s="1"/>
  <c r="R107" i="30"/>
  <c r="R111" i="30" s="1"/>
  <c r="U116" i="30" s="1"/>
  <c r="O27" i="44" s="1"/>
  <c r="O81" i="30"/>
  <c r="O83" i="30" s="1"/>
  <c r="O85" i="30" s="1"/>
  <c r="U81" i="30" s="1"/>
  <c r="R65" i="30"/>
  <c r="R115" i="30"/>
  <c r="O112" i="30"/>
  <c r="O108" i="29"/>
  <c r="O110" i="29" s="1"/>
  <c r="U106" i="29" s="1"/>
  <c r="O107" i="29"/>
  <c r="O118" i="29" s="1"/>
  <c r="U110" i="29" s="1"/>
  <c r="H31" i="44" s="1"/>
  <c r="R65" i="29"/>
  <c r="R57" i="29"/>
  <c r="R61" i="29" s="1"/>
  <c r="U66" i="29" s="1"/>
  <c r="O31" i="39" s="1"/>
  <c r="O58" i="29"/>
  <c r="O60" i="29" s="1"/>
  <c r="U56" i="29" s="1"/>
  <c r="O57" i="29"/>
  <c r="O68" i="29" s="1"/>
  <c r="U60" i="29" s="1"/>
  <c r="H31" i="39" s="1"/>
  <c r="R81" i="29"/>
  <c r="R83" i="29" s="1"/>
  <c r="R87" i="29" s="1"/>
  <c r="X81" i="29" s="1"/>
  <c r="R107" i="29"/>
  <c r="R111" i="29" s="1"/>
  <c r="U116" i="29" s="1"/>
  <c r="O31" i="44" s="1"/>
  <c r="R115" i="29"/>
  <c r="O37" i="28"/>
  <c r="U33" i="28" s="1"/>
  <c r="E11" i="41" s="1"/>
  <c r="R32" i="28"/>
  <c r="R36" i="28" s="1"/>
  <c r="R39" i="28" s="1"/>
  <c r="R81" i="28"/>
  <c r="R83" i="28" s="1"/>
  <c r="R87" i="28" s="1"/>
  <c r="X81" i="28" s="1"/>
  <c r="R107" i="28"/>
  <c r="R111" i="28" s="1"/>
  <c r="U116" i="28" s="1"/>
  <c r="O11" i="44" s="1"/>
  <c r="O119" i="28"/>
  <c r="U114" i="28" s="1"/>
  <c r="L11" i="44" s="1"/>
  <c r="M11" i="44" s="1"/>
  <c r="R65" i="28"/>
  <c r="R57" i="28"/>
  <c r="R61" i="28" s="1"/>
  <c r="U66" i="28" s="1"/>
  <c r="O11" i="39" s="1"/>
  <c r="R115" i="28"/>
  <c r="C11" i="39"/>
  <c r="R81" i="27"/>
  <c r="R83" i="27" s="1"/>
  <c r="R87" i="27" s="1"/>
  <c r="X81" i="27" s="1"/>
  <c r="O107" i="27"/>
  <c r="O118" i="27" s="1"/>
  <c r="U110" i="27" s="1"/>
  <c r="H10" i="44" s="1"/>
  <c r="R115" i="27"/>
  <c r="R32" i="27"/>
  <c r="R36" i="27" s="1"/>
  <c r="U41" i="27" s="1"/>
  <c r="O10" i="41" s="1"/>
  <c r="R107" i="27"/>
  <c r="R111" i="27" s="1"/>
  <c r="U116" i="27" s="1"/>
  <c r="O10" i="44" s="1"/>
  <c r="O81" i="27"/>
  <c r="R81" i="26"/>
  <c r="R83" i="26" s="1"/>
  <c r="R87" i="26" s="1"/>
  <c r="X81" i="26" s="1"/>
  <c r="O108" i="26"/>
  <c r="O110" i="26" s="1"/>
  <c r="U106" i="26" s="1"/>
  <c r="O107" i="26"/>
  <c r="O118" i="26" s="1"/>
  <c r="U110" i="26" s="1"/>
  <c r="H30" i="44" s="1"/>
  <c r="O58" i="26"/>
  <c r="O60" i="26" s="1"/>
  <c r="U56" i="26" s="1"/>
  <c r="O57" i="26"/>
  <c r="O68" i="26" s="1"/>
  <c r="U60" i="26" s="1"/>
  <c r="H30" i="39" s="1"/>
  <c r="R107" i="26"/>
  <c r="R111" i="26" s="1"/>
  <c r="U116" i="26" s="1"/>
  <c r="O30" i="44" s="1"/>
  <c r="O81" i="26"/>
  <c r="O108" i="25"/>
  <c r="O110" i="25" s="1"/>
  <c r="U106" i="25" s="1"/>
  <c r="O107" i="25"/>
  <c r="O118" i="25" s="1"/>
  <c r="U110" i="25" s="1"/>
  <c r="H21" i="44" s="1"/>
  <c r="O81" i="25"/>
  <c r="R65" i="25"/>
  <c r="R115" i="25"/>
  <c r="R107" i="25"/>
  <c r="R111" i="25" s="1"/>
  <c r="U116" i="25" s="1"/>
  <c r="O21" i="44" s="1"/>
  <c r="O58" i="25"/>
  <c r="O60" i="25" s="1"/>
  <c r="U56" i="25" s="1"/>
  <c r="O57" i="25"/>
  <c r="O68" i="25" s="1"/>
  <c r="U60" i="25" s="1"/>
  <c r="H21" i="39" s="1"/>
  <c r="R81" i="25"/>
  <c r="R83" i="25" s="1"/>
  <c r="R87" i="25" s="1"/>
  <c r="X81" i="25" s="1"/>
  <c r="C26" i="39"/>
  <c r="R81" i="24"/>
  <c r="R83" i="24" s="1"/>
  <c r="R87" i="24" s="1"/>
  <c r="X81" i="24" s="1"/>
  <c r="O107" i="24"/>
  <c r="O118" i="24" s="1"/>
  <c r="U110" i="24" s="1"/>
  <c r="H26" i="44" s="1"/>
  <c r="O81" i="24"/>
  <c r="O83" i="24" s="1"/>
  <c r="O85" i="24" s="1"/>
  <c r="U81" i="24" s="1"/>
  <c r="O112" i="24"/>
  <c r="R107" i="24"/>
  <c r="R111" i="24" s="1"/>
  <c r="U116" i="24" s="1"/>
  <c r="O26" i="44" s="1"/>
  <c r="R65" i="24"/>
  <c r="O108" i="23"/>
  <c r="O110" i="23" s="1"/>
  <c r="U106" i="23" s="1"/>
  <c r="O107" i="23"/>
  <c r="O118" i="23" s="1"/>
  <c r="U110" i="23" s="1"/>
  <c r="H20" i="44" s="1"/>
  <c r="O58" i="23"/>
  <c r="O60" i="23" s="1"/>
  <c r="U56" i="23" s="1"/>
  <c r="O57" i="23"/>
  <c r="O68" i="23" s="1"/>
  <c r="U60" i="23" s="1"/>
  <c r="H20" i="39" s="1"/>
  <c r="R81" i="23"/>
  <c r="R83" i="23" s="1"/>
  <c r="R87" i="23" s="1"/>
  <c r="X81" i="23" s="1"/>
  <c r="R57" i="23"/>
  <c r="R61" i="23" s="1"/>
  <c r="U66" i="23" s="1"/>
  <c r="O20" i="39" s="1"/>
  <c r="R107" i="23"/>
  <c r="R111" i="23" s="1"/>
  <c r="U116" i="23" s="1"/>
  <c r="O20" i="44" s="1"/>
  <c r="R115" i="23"/>
  <c r="O58" i="22"/>
  <c r="O60" i="22" s="1"/>
  <c r="U56" i="22" s="1"/>
  <c r="O57" i="22"/>
  <c r="O68" i="22" s="1"/>
  <c r="U60" i="22" s="1"/>
  <c r="H19" i="39" s="1"/>
  <c r="T19" i="40"/>
  <c r="R40" i="21"/>
  <c r="O58" i="21"/>
  <c r="O60" i="21" s="1"/>
  <c r="U56" i="21" s="1"/>
  <c r="O57" i="21"/>
  <c r="O68" i="21" s="1"/>
  <c r="U60" i="21" s="1"/>
  <c r="H29" i="39" s="1"/>
  <c r="R32" i="21"/>
  <c r="R36" i="21" s="1"/>
  <c r="U41" i="21" s="1"/>
  <c r="O29" i="41" s="1"/>
  <c r="R65" i="21"/>
  <c r="O108" i="21"/>
  <c r="O110" i="21" s="1"/>
  <c r="U106" i="21" s="1"/>
  <c r="O107" i="21"/>
  <c r="O118" i="21" s="1"/>
  <c r="U110" i="21" s="1"/>
  <c r="H29" i="44" s="1"/>
  <c r="O81" i="21"/>
  <c r="R81" i="21"/>
  <c r="R83" i="21" s="1"/>
  <c r="R87" i="21" s="1"/>
  <c r="X81" i="21" s="1"/>
  <c r="R57" i="21"/>
  <c r="R61" i="21" s="1"/>
  <c r="U66" i="21" s="1"/>
  <c r="O29" i="39" s="1"/>
  <c r="O83" i="20"/>
  <c r="O85" i="20" s="1"/>
  <c r="U81" i="20" s="1"/>
  <c r="R81" i="20"/>
  <c r="R83" i="20" s="1"/>
  <c r="R87" i="20" s="1"/>
  <c r="X81" i="20" s="1"/>
  <c r="O37" i="20"/>
  <c r="R107" i="20"/>
  <c r="R111" i="20" s="1"/>
  <c r="U116" i="20" s="1"/>
  <c r="O18" i="44" s="1"/>
  <c r="R40" i="20"/>
  <c r="O58" i="20"/>
  <c r="O60" i="20" s="1"/>
  <c r="U56" i="20" s="1"/>
  <c r="O57" i="20"/>
  <c r="O68" i="20" s="1"/>
  <c r="U60" i="20" s="1"/>
  <c r="H18" i="39" s="1"/>
  <c r="R81" i="19"/>
  <c r="R83" i="19" s="1"/>
  <c r="R87" i="19" s="1"/>
  <c r="X81" i="19" s="1"/>
  <c r="O58" i="19"/>
  <c r="O60" i="19" s="1"/>
  <c r="U56" i="19" s="1"/>
  <c r="O57" i="19"/>
  <c r="O68" i="19" s="1"/>
  <c r="U60" i="19" s="1"/>
  <c r="H9" i="39" s="1"/>
  <c r="Y4" i="41"/>
  <c r="O108" i="19"/>
  <c r="O110" i="19" s="1"/>
  <c r="U106" i="19" s="1"/>
  <c r="O107" i="19"/>
  <c r="O118" i="19" s="1"/>
  <c r="U110" i="19" s="1"/>
  <c r="H9" i="44" s="1"/>
  <c r="R107" i="19"/>
  <c r="R111" i="19" s="1"/>
  <c r="U116" i="19" s="1"/>
  <c r="O9" i="44" s="1"/>
  <c r="R81" i="18"/>
  <c r="R83" i="18" s="1"/>
  <c r="R87" i="18" s="1"/>
  <c r="X81" i="18" s="1"/>
  <c r="O108" i="18"/>
  <c r="O110" i="18" s="1"/>
  <c r="U106" i="18" s="1"/>
  <c r="O107" i="18"/>
  <c r="O118" i="18" s="1"/>
  <c r="U110" i="18" s="1"/>
  <c r="H25" i="44" s="1"/>
  <c r="O58" i="18"/>
  <c r="O60" i="18" s="1"/>
  <c r="U56" i="18" s="1"/>
  <c r="O57" i="18"/>
  <c r="O68" i="18" s="1"/>
  <c r="U60" i="18" s="1"/>
  <c r="H25" i="39" s="1"/>
  <c r="R65" i="18"/>
  <c r="R57" i="18"/>
  <c r="R61" i="18" s="1"/>
  <c r="U66" i="18" s="1"/>
  <c r="O25" i="39" s="1"/>
  <c r="R40" i="17"/>
  <c r="R81" i="17"/>
  <c r="R83" i="17" s="1"/>
  <c r="R87" i="17" s="1"/>
  <c r="X81" i="17" s="1"/>
  <c r="O107" i="17"/>
  <c r="O118" i="17" s="1"/>
  <c r="U110" i="17" s="1"/>
  <c r="H36" i="44" s="1"/>
  <c r="O58" i="17"/>
  <c r="O60" i="17" s="1"/>
  <c r="U56" i="17" s="1"/>
  <c r="O57" i="17"/>
  <c r="O68" i="17" s="1"/>
  <c r="U60" i="17" s="1"/>
  <c r="H36" i="39" s="1"/>
  <c r="O81" i="17"/>
  <c r="R32" i="17"/>
  <c r="R36" i="17" s="1"/>
  <c r="U41" i="17" s="1"/>
  <c r="O36" i="41" s="1"/>
  <c r="O112" i="17"/>
  <c r="R65" i="16"/>
  <c r="O112" i="16"/>
  <c r="O58" i="16"/>
  <c r="O60" i="16" s="1"/>
  <c r="U56" i="16" s="1"/>
  <c r="O57" i="16"/>
  <c r="O68" i="16" s="1"/>
  <c r="U60" i="16" s="1"/>
  <c r="H35" i="39" s="1"/>
  <c r="R57" i="16"/>
  <c r="R61" i="16" s="1"/>
  <c r="U66" i="16" s="1"/>
  <c r="O35" i="39" s="1"/>
  <c r="R81" i="16"/>
  <c r="R83" i="16" s="1"/>
  <c r="R87" i="16" s="1"/>
  <c r="X81" i="16" s="1"/>
  <c r="R107" i="16"/>
  <c r="R111" i="16" s="1"/>
  <c r="U116" i="16" s="1"/>
  <c r="O35" i="44" s="1"/>
  <c r="O81" i="16"/>
  <c r="O108" i="15"/>
  <c r="O110" i="15" s="1"/>
  <c r="U106" i="15" s="1"/>
  <c r="O107" i="15"/>
  <c r="O118" i="15" s="1"/>
  <c r="U110" i="15" s="1"/>
  <c r="H17" i="44" s="1"/>
  <c r="R81" i="15"/>
  <c r="R83" i="15" s="1"/>
  <c r="R87" i="15" s="1"/>
  <c r="X81" i="15" s="1"/>
  <c r="R115" i="15"/>
  <c r="C17" i="39"/>
  <c r="O62" i="15"/>
  <c r="O69" i="15"/>
  <c r="U64" i="15" s="1"/>
  <c r="L17" i="39" s="1"/>
  <c r="O58" i="14"/>
  <c r="O60" i="14" s="1"/>
  <c r="U56" i="14" s="1"/>
  <c r="O57" i="14"/>
  <c r="O68" i="14" s="1"/>
  <c r="U60" i="14" s="1"/>
  <c r="H34" i="39" s="1"/>
  <c r="R81" i="14"/>
  <c r="R83" i="14" s="1"/>
  <c r="R87" i="14" s="1"/>
  <c r="X81" i="14" s="1"/>
  <c r="O108" i="14"/>
  <c r="O110" i="14" s="1"/>
  <c r="U106" i="14" s="1"/>
  <c r="O107" i="14"/>
  <c r="O118" i="14" s="1"/>
  <c r="U110" i="14" s="1"/>
  <c r="H34" i="44" s="1"/>
  <c r="R115" i="14"/>
  <c r="T34" i="44"/>
  <c r="O58" i="13"/>
  <c r="O60" i="13" s="1"/>
  <c r="U56" i="13" s="1"/>
  <c r="O57" i="13"/>
  <c r="O68" i="13" s="1"/>
  <c r="U60" i="13" s="1"/>
  <c r="H24" i="39" s="1"/>
  <c r="R81" i="13"/>
  <c r="R83" i="13" s="1"/>
  <c r="R87" i="13" s="1"/>
  <c r="X81" i="13" s="1"/>
  <c r="O108" i="13"/>
  <c r="O110" i="13" s="1"/>
  <c r="U106" i="13" s="1"/>
  <c r="O107" i="13"/>
  <c r="O118" i="13" s="1"/>
  <c r="U110" i="13" s="1"/>
  <c r="H24" i="44" s="1"/>
  <c r="O81" i="13"/>
  <c r="R57" i="13"/>
  <c r="R61" i="13" s="1"/>
  <c r="U66" i="13" s="1"/>
  <c r="O24" i="39" s="1"/>
  <c r="R107" i="13"/>
  <c r="R111" i="13" s="1"/>
  <c r="U116" i="13" s="1"/>
  <c r="O24" i="44" s="1"/>
  <c r="R81" i="12"/>
  <c r="R83" i="12" s="1"/>
  <c r="R87" i="12" s="1"/>
  <c r="X81" i="12" s="1"/>
  <c r="O62" i="12"/>
  <c r="O108" i="12"/>
  <c r="O110" i="12" s="1"/>
  <c r="U106" i="12" s="1"/>
  <c r="O107" i="12"/>
  <c r="O118" i="12" s="1"/>
  <c r="U110" i="12" s="1"/>
  <c r="H33" i="44" s="1"/>
  <c r="R65" i="12"/>
  <c r="R57" i="12"/>
  <c r="R61" i="12" s="1"/>
  <c r="U66" i="12" s="1"/>
  <c r="O33" i="39" s="1"/>
  <c r="O57" i="12"/>
  <c r="O68" i="12" s="1"/>
  <c r="U60" i="12" s="1"/>
  <c r="H33" i="39" s="1"/>
  <c r="R107" i="12"/>
  <c r="R111" i="12" s="1"/>
  <c r="U116" i="12" s="1"/>
  <c r="O33" i="44" s="1"/>
  <c r="C33" i="39"/>
  <c r="O81" i="12"/>
  <c r="O108" i="11"/>
  <c r="O110" i="11" s="1"/>
  <c r="U106" i="11" s="1"/>
  <c r="O107" i="11"/>
  <c r="O118" i="11" s="1"/>
  <c r="U110" i="11" s="1"/>
  <c r="H16" i="44" s="1"/>
  <c r="C16" i="39"/>
  <c r="R65" i="11"/>
  <c r="O81" i="11"/>
  <c r="R81" i="11"/>
  <c r="R83" i="11" s="1"/>
  <c r="R87" i="11" s="1"/>
  <c r="X81" i="11" s="1"/>
  <c r="O62" i="11"/>
  <c r="R107" i="10"/>
  <c r="R111" i="10" s="1"/>
  <c r="U116" i="10" s="1"/>
  <c r="O15" i="44" s="1"/>
  <c r="R115" i="10"/>
  <c r="O58" i="10"/>
  <c r="O60" i="10" s="1"/>
  <c r="U56" i="10" s="1"/>
  <c r="O57" i="10"/>
  <c r="O68" i="10" s="1"/>
  <c r="U60" i="10" s="1"/>
  <c r="H15" i="39" s="1"/>
  <c r="R81" i="10"/>
  <c r="R83" i="10" s="1"/>
  <c r="R87" i="10" s="1"/>
  <c r="X81" i="10" s="1"/>
  <c r="O81" i="10"/>
  <c r="O83" i="10" s="1"/>
  <c r="O85" i="10" s="1"/>
  <c r="U81" i="10" s="1"/>
  <c r="R65" i="10"/>
  <c r="R107" i="9"/>
  <c r="R111" i="9" s="1"/>
  <c r="U116" i="9" s="1"/>
  <c r="O8" i="44" s="1"/>
  <c r="R115" i="9"/>
  <c r="R65" i="9"/>
  <c r="R81" i="8"/>
  <c r="R83" i="8" s="1"/>
  <c r="R87" i="8" s="1"/>
  <c r="X81" i="8" s="1"/>
  <c r="R40" i="8"/>
  <c r="R107" i="8"/>
  <c r="R111" i="8" s="1"/>
  <c r="U116" i="8" s="1"/>
  <c r="O7" i="44" s="1"/>
  <c r="R57" i="8"/>
  <c r="R61" i="8" s="1"/>
  <c r="U66" i="8" s="1"/>
  <c r="O7" i="39" s="1"/>
  <c r="R115" i="8"/>
  <c r="R65" i="8"/>
  <c r="R40" i="3"/>
  <c r="R115" i="7"/>
  <c r="R62" i="7"/>
  <c r="R81" i="7"/>
  <c r="R83" i="7" s="1"/>
  <c r="R87" i="7" s="1"/>
  <c r="X81" i="7" s="1"/>
  <c r="R62" i="3"/>
  <c r="R108" i="3"/>
  <c r="R112" i="3" s="1"/>
  <c r="X106" i="3" s="1"/>
  <c r="T6" i="44" s="1"/>
  <c r="R107" i="3"/>
  <c r="R111" i="3" s="1"/>
  <c r="U116" i="3" s="1"/>
  <c r="O6" i="44" s="1"/>
  <c r="R37" i="7"/>
  <c r="R32" i="9"/>
  <c r="R36" i="9" s="1"/>
  <c r="U41" i="9" s="1"/>
  <c r="O8" i="41" s="1"/>
  <c r="R40" i="9"/>
  <c r="R32" i="18"/>
  <c r="R36" i="18" s="1"/>
  <c r="U41" i="18" s="1"/>
  <c r="O25" i="41" s="1"/>
  <c r="O44" i="28"/>
  <c r="R32" i="13"/>
  <c r="R36" i="13" s="1"/>
  <c r="U41" i="13" s="1"/>
  <c r="O24" i="41" s="1"/>
  <c r="O33" i="25"/>
  <c r="O35" i="25" s="1"/>
  <c r="U31" i="25" s="1"/>
  <c r="O32" i="25"/>
  <c r="O43" i="25" s="1"/>
  <c r="U35" i="25" s="1"/>
  <c r="H21" i="41" s="1"/>
  <c r="O33" i="11"/>
  <c r="O35" i="11" s="1"/>
  <c r="U31" i="11" s="1"/>
  <c r="O32" i="11"/>
  <c r="O43" i="11" s="1"/>
  <c r="U35" i="11" s="1"/>
  <c r="H16" i="41" s="1"/>
  <c r="O32" i="16"/>
  <c r="O43" i="16" s="1"/>
  <c r="U35" i="16" s="1"/>
  <c r="H35" i="41" s="1"/>
  <c r="O33" i="15"/>
  <c r="O35" i="15" s="1"/>
  <c r="U31" i="15" s="1"/>
  <c r="O32" i="15"/>
  <c r="O43" i="15" s="1"/>
  <c r="U35" i="15" s="1"/>
  <c r="H17" i="41" s="1"/>
  <c r="O33" i="19"/>
  <c r="O35" i="19" s="1"/>
  <c r="U31" i="19" s="1"/>
  <c r="O32" i="19"/>
  <c r="O43" i="19" s="1"/>
  <c r="U35" i="19" s="1"/>
  <c r="H9" i="41" s="1"/>
  <c r="R32" i="15"/>
  <c r="R36" i="15" s="1"/>
  <c r="U41" i="15" s="1"/>
  <c r="O17" i="41" s="1"/>
  <c r="R32" i="20"/>
  <c r="R36" i="20" s="1"/>
  <c r="U41" i="20" s="1"/>
  <c r="O18" i="41" s="1"/>
  <c r="R39" i="23"/>
  <c r="R40" i="14"/>
  <c r="R32" i="14"/>
  <c r="R36" i="14" s="1"/>
  <c r="U41" i="14" s="1"/>
  <c r="O34" i="41" s="1"/>
  <c r="R32" i="12"/>
  <c r="R36" i="12" s="1"/>
  <c r="U41" i="12" s="1"/>
  <c r="O33" i="41" s="1"/>
  <c r="R32" i="29"/>
  <c r="R36" i="29" s="1"/>
  <c r="U41" i="29" s="1"/>
  <c r="O31" i="41" s="1"/>
  <c r="R32" i="30"/>
  <c r="R36" i="30" s="1"/>
  <c r="U41" i="30" s="1"/>
  <c r="O27" i="41" s="1"/>
  <c r="R40" i="22"/>
  <c r="R32" i="19"/>
  <c r="R36" i="19" s="1"/>
  <c r="U41" i="19" s="1"/>
  <c r="O9" i="41" s="1"/>
  <c r="O33" i="26"/>
  <c r="O35" i="26" s="1"/>
  <c r="U31" i="26" s="1"/>
  <c r="O32" i="26"/>
  <c r="O43" i="26" s="1"/>
  <c r="U35" i="26" s="1"/>
  <c r="H30" i="41" s="1"/>
  <c r="O33" i="18"/>
  <c r="O35" i="18" s="1"/>
  <c r="U31" i="18" s="1"/>
  <c r="O32" i="18"/>
  <c r="O43" i="18" s="1"/>
  <c r="U35" i="18" s="1"/>
  <c r="H25" i="41" s="1"/>
  <c r="R40" i="19"/>
  <c r="R32" i="11"/>
  <c r="R36" i="11" s="1"/>
  <c r="U41" i="11" s="1"/>
  <c r="O16" i="41" s="1"/>
  <c r="O33" i="14"/>
  <c r="O35" i="14" s="1"/>
  <c r="U31" i="14" s="1"/>
  <c r="O32" i="14"/>
  <c r="O43" i="14" s="1"/>
  <c r="U35" i="14" s="1"/>
  <c r="H34" i="41" s="1"/>
  <c r="O37" i="16"/>
  <c r="O33" i="29"/>
  <c r="O35" i="29" s="1"/>
  <c r="U31" i="29" s="1"/>
  <c r="O32" i="29"/>
  <c r="O43" i="29" s="1"/>
  <c r="U35" i="29" s="1"/>
  <c r="H31" i="41" s="1"/>
  <c r="R40" i="31"/>
  <c r="O33" i="30"/>
  <c r="O35" i="30" s="1"/>
  <c r="U31" i="30" s="1"/>
  <c r="O32" i="30"/>
  <c r="O43" i="30" s="1"/>
  <c r="U35" i="30" s="1"/>
  <c r="H27" i="41" s="1"/>
  <c r="R32" i="26"/>
  <c r="R36" i="26" s="1"/>
  <c r="U41" i="26" s="1"/>
  <c r="O30" i="41" s="1"/>
  <c r="R40" i="13"/>
  <c r="R32" i="25"/>
  <c r="R36" i="25" s="1"/>
  <c r="U41" i="25" s="1"/>
  <c r="O21" i="41" s="1"/>
  <c r="O33" i="31"/>
  <c r="O35" i="31" s="1"/>
  <c r="O32" i="31"/>
  <c r="O43" i="31" s="1"/>
  <c r="U35" i="31" s="1"/>
  <c r="H22" i="41" s="1"/>
  <c r="R40" i="11"/>
  <c r="O33" i="9"/>
  <c r="O35" i="9" s="1"/>
  <c r="U31" i="9" s="1"/>
  <c r="O32" i="9"/>
  <c r="O43" i="9" s="1"/>
  <c r="U35" i="9" s="1"/>
  <c r="H8" i="41" s="1"/>
  <c r="R32" i="32"/>
  <c r="R36" i="32" s="1"/>
  <c r="U41" i="32" s="1"/>
  <c r="O12" i="41" s="1"/>
  <c r="R32" i="22"/>
  <c r="R36" i="22" s="1"/>
  <c r="U41" i="22" s="1"/>
  <c r="O19" i="41" s="1"/>
  <c r="R40" i="18"/>
  <c r="R40" i="25"/>
  <c r="R40" i="26"/>
  <c r="R40" i="15"/>
  <c r="O58" i="30"/>
  <c r="O60" i="30" s="1"/>
  <c r="U56" i="30" s="1"/>
  <c r="O57" i="30"/>
  <c r="O68" i="30" s="1"/>
  <c r="U60" i="30" s="1"/>
  <c r="H27" i="39" s="1"/>
  <c r="R81" i="9"/>
  <c r="R83" i="9" s="1"/>
  <c r="R87" i="9" s="1"/>
  <c r="X81" i="9" s="1"/>
  <c r="O81" i="9"/>
  <c r="O108" i="20"/>
  <c r="O110" i="20" s="1"/>
  <c r="U106" i="20" s="1"/>
  <c r="O107" i="20"/>
  <c r="O118" i="20" s="1"/>
  <c r="U110" i="20" s="1"/>
  <c r="H18" i="44" s="1"/>
  <c r="R115" i="20"/>
  <c r="R33" i="10"/>
  <c r="R32" i="10"/>
  <c r="O33" i="10"/>
  <c r="O35" i="10" s="1"/>
  <c r="U31" i="10" s="1"/>
  <c r="O32" i="10"/>
  <c r="O43" i="10" s="1"/>
  <c r="U35" i="10" s="1"/>
  <c r="H15" i="41" s="1"/>
  <c r="R57" i="7"/>
  <c r="R61" i="7" s="1"/>
  <c r="U66" i="7" s="1"/>
  <c r="O14" i="39" s="1"/>
  <c r="R32" i="7"/>
  <c r="R36" i="7" s="1"/>
  <c r="U41" i="7" s="1"/>
  <c r="O14" i="41" s="1"/>
  <c r="R64" i="3"/>
  <c r="U68" i="3" s="1"/>
  <c r="Q6" i="39" s="1"/>
  <c r="H6" i="41"/>
  <c r="O44" i="3"/>
  <c r="O81" i="3"/>
  <c r="M6" i="43" l="1"/>
  <c r="R82" i="3"/>
  <c r="AK24" i="43"/>
  <c r="X21" i="13"/>
  <c r="M13" i="43"/>
  <c r="AK16" i="43"/>
  <c r="O82" i="14"/>
  <c r="O93" i="14" s="1"/>
  <c r="U85" i="14" s="1"/>
  <c r="H34" i="40" s="1"/>
  <c r="O94" i="22"/>
  <c r="U89" i="22" s="1"/>
  <c r="L19" i="40" s="1"/>
  <c r="U35" i="22"/>
  <c r="H19" i="41" s="1"/>
  <c r="AK18" i="43"/>
  <c r="O83" i="22"/>
  <c r="O85" i="22" s="1"/>
  <c r="U81" i="22" s="1"/>
  <c r="C19" i="40" s="1"/>
  <c r="O83" i="28"/>
  <c r="O85" i="28" s="1"/>
  <c r="U81" i="28" s="1"/>
  <c r="C11" i="40" s="1"/>
  <c r="O82" i="23"/>
  <c r="O93" i="23" s="1"/>
  <c r="U85" i="23" s="1"/>
  <c r="H20" i="40" s="1"/>
  <c r="O82" i="29"/>
  <c r="O93" i="29" s="1"/>
  <c r="U85" i="29" s="1"/>
  <c r="H31" i="40" s="1"/>
  <c r="O83" i="18"/>
  <c r="O85" i="18" s="1"/>
  <c r="U81" i="18" s="1"/>
  <c r="C25" i="40" s="1"/>
  <c r="AK9" i="43"/>
  <c r="X21" i="3"/>
  <c r="U110" i="3"/>
  <c r="H6" i="44" s="1"/>
  <c r="O119" i="3"/>
  <c r="U114" i="3" s="1"/>
  <c r="U106" i="3"/>
  <c r="C6" i="44" s="1"/>
  <c r="O112" i="3"/>
  <c r="U108" i="3" s="1"/>
  <c r="E6" i="44" s="1"/>
  <c r="AK17" i="43"/>
  <c r="AK20" i="43"/>
  <c r="AK19" i="43"/>
  <c r="O87" i="14"/>
  <c r="U83" i="14" s="1"/>
  <c r="E34" i="40" s="1"/>
  <c r="F34" i="40" s="1"/>
  <c r="O108" i="22"/>
  <c r="O110" i="22" s="1"/>
  <c r="U106" i="22" s="1"/>
  <c r="C19" i="44" s="1"/>
  <c r="O119" i="22"/>
  <c r="U114" i="22" s="1"/>
  <c r="L19" i="44" s="1"/>
  <c r="M19" i="44" s="1"/>
  <c r="AK26" i="43"/>
  <c r="AK27" i="43"/>
  <c r="AK8" i="43"/>
  <c r="AK25" i="43"/>
  <c r="U106" i="28"/>
  <c r="C11" i="44" s="1"/>
  <c r="R107" i="22"/>
  <c r="R111" i="22" s="1"/>
  <c r="U116" i="22" s="1"/>
  <c r="O19" i="44" s="1"/>
  <c r="R115" i="22"/>
  <c r="X108" i="22" s="1"/>
  <c r="V19" i="44" s="1"/>
  <c r="W19" i="44" s="1"/>
  <c r="O119" i="8"/>
  <c r="U114" i="8" s="1"/>
  <c r="L7" i="44" s="1"/>
  <c r="M7" i="44" s="1"/>
  <c r="O119" i="10"/>
  <c r="U114" i="10" s="1"/>
  <c r="L15" i="44" s="1"/>
  <c r="M15" i="44" s="1"/>
  <c r="R114" i="31"/>
  <c r="U118" i="31" s="1"/>
  <c r="Q22" i="44" s="1"/>
  <c r="R22" i="44" s="1"/>
  <c r="O119" i="16"/>
  <c r="U114" i="16" s="1"/>
  <c r="L35" i="44" s="1"/>
  <c r="M35" i="44" s="1"/>
  <c r="R114" i="14"/>
  <c r="U118" i="14" s="1"/>
  <c r="Q34" i="44" s="1"/>
  <c r="R34" i="44" s="1"/>
  <c r="R114" i="21"/>
  <c r="U118" i="21" s="1"/>
  <c r="Q29" i="44" s="1"/>
  <c r="R29" i="44" s="1"/>
  <c r="W22" i="44"/>
  <c r="W9" i="44"/>
  <c r="R114" i="32"/>
  <c r="U118" i="32" s="1"/>
  <c r="Q12" i="44" s="1"/>
  <c r="R12" i="44" s="1"/>
  <c r="R114" i="15"/>
  <c r="U118" i="15" s="1"/>
  <c r="Q17" i="44" s="1"/>
  <c r="R17" i="44" s="1"/>
  <c r="U106" i="8"/>
  <c r="C7" i="44" s="1"/>
  <c r="O82" i="15"/>
  <c r="O93" i="15" s="1"/>
  <c r="U85" i="15" s="1"/>
  <c r="H17" i="40" s="1"/>
  <c r="R64" i="24"/>
  <c r="U68" i="24" s="1"/>
  <c r="Q26" i="39" s="1"/>
  <c r="R26" i="39" s="1"/>
  <c r="O69" i="27"/>
  <c r="U64" i="27" s="1"/>
  <c r="L10" i="39" s="1"/>
  <c r="O62" i="7"/>
  <c r="U58" i="7" s="1"/>
  <c r="E14" i="39" s="1"/>
  <c r="R64" i="22"/>
  <c r="U68" i="22" s="1"/>
  <c r="Q19" i="39" s="1"/>
  <c r="R19" i="39" s="1"/>
  <c r="R64" i="27"/>
  <c r="U68" i="27" s="1"/>
  <c r="Q10" i="39" s="1"/>
  <c r="R10" i="39" s="1"/>
  <c r="F8" i="39"/>
  <c r="O69" i="11"/>
  <c r="U64" i="11" s="1"/>
  <c r="L16" i="39" s="1"/>
  <c r="T23" i="39"/>
  <c r="O62" i="8"/>
  <c r="U58" i="8" s="1"/>
  <c r="E7" i="39" s="1"/>
  <c r="F7" i="39" s="1"/>
  <c r="W20" i="41"/>
  <c r="R39" i="3"/>
  <c r="U43" i="3" s="1"/>
  <c r="Q6" i="41" s="1"/>
  <c r="R6" i="41" s="1"/>
  <c r="R26" i="41"/>
  <c r="O44" i="13"/>
  <c r="U39" i="13" s="1"/>
  <c r="L24" i="41" s="1"/>
  <c r="M24" i="41" s="1"/>
  <c r="O44" i="23"/>
  <c r="U39" i="23" s="1"/>
  <c r="L20" i="41" s="1"/>
  <c r="M20" i="41" s="1"/>
  <c r="O44" i="17"/>
  <c r="U39" i="17" s="1"/>
  <c r="L36" i="41" s="1"/>
  <c r="M36" i="41" s="1"/>
  <c r="O44" i="27"/>
  <c r="U39" i="27" s="1"/>
  <c r="L10" i="41" s="1"/>
  <c r="M10" i="41" s="1"/>
  <c r="W31" i="41"/>
  <c r="O44" i="21"/>
  <c r="U39" i="21" s="1"/>
  <c r="L29" i="41" s="1"/>
  <c r="M29" i="41" s="1"/>
  <c r="O44" i="32"/>
  <c r="U39" i="32" s="1"/>
  <c r="L12" i="41" s="1"/>
  <c r="M12" i="41" s="1"/>
  <c r="U31" i="12"/>
  <c r="C33" i="41" s="1"/>
  <c r="F33" i="41" s="1"/>
  <c r="U35" i="20"/>
  <c r="H18" i="41" s="1"/>
  <c r="O5" i="43"/>
  <c r="V23" i="43"/>
  <c r="U21" i="22"/>
  <c r="X21" i="28"/>
  <c r="AM11" i="43" s="1"/>
  <c r="U21" i="28"/>
  <c r="X21" i="18"/>
  <c r="U21" i="18"/>
  <c r="X21" i="22"/>
  <c r="X21" i="23"/>
  <c r="U21" i="23"/>
  <c r="X21" i="19"/>
  <c r="L5" i="43"/>
  <c r="M5" i="43" s="1"/>
  <c r="U21" i="19"/>
  <c r="U21" i="11"/>
  <c r="X21" i="11"/>
  <c r="X21" i="30"/>
  <c r="T23" i="43"/>
  <c r="U21" i="30"/>
  <c r="X21" i="32"/>
  <c r="F12" i="43"/>
  <c r="AK12" i="43" s="1"/>
  <c r="U21" i="32"/>
  <c r="X21" i="15"/>
  <c r="U21" i="15"/>
  <c r="E23" i="43"/>
  <c r="F23" i="43" s="1"/>
  <c r="L32" i="43"/>
  <c r="M32" i="43" s="1"/>
  <c r="Q22" i="43"/>
  <c r="R22" i="43" s="1"/>
  <c r="AK22" i="43" s="1"/>
  <c r="X21" i="31"/>
  <c r="V32" i="43"/>
  <c r="W32" i="43" s="1"/>
  <c r="U21" i="31"/>
  <c r="Q23" i="43"/>
  <c r="R23" i="43" s="1"/>
  <c r="E35" i="43"/>
  <c r="F35" i="43" s="1"/>
  <c r="AK35" i="43" s="1"/>
  <c r="X21" i="16"/>
  <c r="U21" i="16"/>
  <c r="Q32" i="43"/>
  <c r="R32" i="43" s="1"/>
  <c r="R33" i="43"/>
  <c r="Q15" i="43"/>
  <c r="R15" i="43" s="1"/>
  <c r="AK15" i="43" s="1"/>
  <c r="X21" i="10"/>
  <c r="U21" i="10"/>
  <c r="W28" i="43"/>
  <c r="M28" i="43"/>
  <c r="U21" i="9"/>
  <c r="U21" i="24"/>
  <c r="E21" i="43"/>
  <c r="F21" i="43" s="1"/>
  <c r="AK21" i="43" s="1"/>
  <c r="X21" i="25"/>
  <c r="U21" i="25"/>
  <c r="E33" i="43"/>
  <c r="X21" i="12"/>
  <c r="U21" i="12"/>
  <c r="L23" i="43"/>
  <c r="M23" i="43" s="1"/>
  <c r="E34" i="43"/>
  <c r="F34" i="43" s="1"/>
  <c r="AK34" i="43" s="1"/>
  <c r="X21" i="14"/>
  <c r="U21" i="14"/>
  <c r="E10" i="43"/>
  <c r="F10" i="43" s="1"/>
  <c r="AK10" i="43" s="1"/>
  <c r="X21" i="27"/>
  <c r="U21" i="27"/>
  <c r="X21" i="24"/>
  <c r="E36" i="43"/>
  <c r="F36" i="43" s="1"/>
  <c r="AK36" i="43" s="1"/>
  <c r="X21" i="17"/>
  <c r="U21" i="17"/>
  <c r="Q5" i="43"/>
  <c r="R7" i="43"/>
  <c r="AK7" i="43" s="1"/>
  <c r="V5" i="43"/>
  <c r="U21" i="8"/>
  <c r="M29" i="43"/>
  <c r="X21" i="9"/>
  <c r="E31" i="43"/>
  <c r="F31" i="43" s="1"/>
  <c r="AK31" i="43" s="1"/>
  <c r="X21" i="29"/>
  <c r="U21" i="29"/>
  <c r="X21" i="20"/>
  <c r="W33" i="43"/>
  <c r="W29" i="43"/>
  <c r="X21" i="8"/>
  <c r="U21" i="20"/>
  <c r="E6" i="43"/>
  <c r="F6" i="43" s="1"/>
  <c r="AK6" i="43" s="1"/>
  <c r="U21" i="3"/>
  <c r="W11" i="41"/>
  <c r="D5" i="40"/>
  <c r="R64" i="26"/>
  <c r="U68" i="26" s="1"/>
  <c r="Q30" i="39" s="1"/>
  <c r="R30" i="39" s="1"/>
  <c r="T28" i="39"/>
  <c r="T28" i="44"/>
  <c r="F26" i="41"/>
  <c r="U81" i="19"/>
  <c r="C9" i="40" s="1"/>
  <c r="O87" i="19"/>
  <c r="U83" i="19" s="1"/>
  <c r="E9" i="40" s="1"/>
  <c r="O82" i="19"/>
  <c r="O93" i="19" s="1"/>
  <c r="U85" i="19" s="1"/>
  <c r="H9" i="40" s="1"/>
  <c r="W9" i="39"/>
  <c r="R64" i="19"/>
  <c r="U68" i="19" s="1"/>
  <c r="Q9" i="39" s="1"/>
  <c r="R9" i="39" s="1"/>
  <c r="R114" i="18"/>
  <c r="U118" i="18" s="1"/>
  <c r="Q25" i="44" s="1"/>
  <c r="R25" i="44" s="1"/>
  <c r="T23" i="44"/>
  <c r="R114" i="17"/>
  <c r="U118" i="17" s="1"/>
  <c r="Q36" i="44" s="1"/>
  <c r="R36" i="44" s="1"/>
  <c r="T32" i="39"/>
  <c r="W33" i="44"/>
  <c r="R114" i="11"/>
  <c r="U118" i="11" s="1"/>
  <c r="Q16" i="44" s="1"/>
  <c r="R16" i="44" s="1"/>
  <c r="R114" i="7"/>
  <c r="U118" i="7" s="1"/>
  <c r="Q14" i="44" s="1"/>
  <c r="R14" i="44" s="1"/>
  <c r="O83" i="7"/>
  <c r="O85" i="7" s="1"/>
  <c r="U81" i="7" s="1"/>
  <c r="C14" i="40" s="1"/>
  <c r="R89" i="22"/>
  <c r="U93" i="22" s="1"/>
  <c r="Q19" i="40" s="1"/>
  <c r="R19" i="40" s="1"/>
  <c r="W30" i="44"/>
  <c r="W36" i="44"/>
  <c r="R90" i="17"/>
  <c r="X83" i="17" s="1"/>
  <c r="V36" i="40" s="1"/>
  <c r="O82" i="24"/>
  <c r="O93" i="24" s="1"/>
  <c r="U85" i="24" s="1"/>
  <c r="H26" i="40" s="1"/>
  <c r="D13" i="40"/>
  <c r="R82" i="21"/>
  <c r="R86" i="21" s="1"/>
  <c r="K4" i="40"/>
  <c r="R64" i="14"/>
  <c r="U68" i="14" s="1"/>
  <c r="Q34" i="39" s="1"/>
  <c r="R34" i="39" s="1"/>
  <c r="O69" i="9"/>
  <c r="U64" i="9" s="1"/>
  <c r="D4" i="41"/>
  <c r="W12" i="41"/>
  <c r="U45" i="24"/>
  <c r="T28" i="41"/>
  <c r="U21" i="26"/>
  <c r="C30" i="43"/>
  <c r="F30" i="43" s="1"/>
  <c r="AK30" i="43" s="1"/>
  <c r="X21" i="26"/>
  <c r="O37" i="3"/>
  <c r="U33" i="3" s="1"/>
  <c r="X45" i="24"/>
  <c r="W27" i="41"/>
  <c r="R64" i="11"/>
  <c r="U68" i="11" s="1"/>
  <c r="Q16" i="39" s="1"/>
  <c r="R16" i="39" s="1"/>
  <c r="R64" i="10"/>
  <c r="U68" i="10" s="1"/>
  <c r="Q15" i="39" s="1"/>
  <c r="R15" i="39" s="1"/>
  <c r="O62" i="3"/>
  <c r="U58" i="3" s="1"/>
  <c r="E6" i="39" s="1"/>
  <c r="F6" i="39" s="1"/>
  <c r="W22" i="39"/>
  <c r="O69" i="7"/>
  <c r="U64" i="7" s="1"/>
  <c r="L14" i="39" s="1"/>
  <c r="R64" i="17"/>
  <c r="U68" i="17" s="1"/>
  <c r="Q36" i="39" s="1"/>
  <c r="R36" i="39" s="1"/>
  <c r="R64" i="25"/>
  <c r="U68" i="25" s="1"/>
  <c r="Q21" i="39" s="1"/>
  <c r="R21" i="39" s="1"/>
  <c r="O69" i="28"/>
  <c r="U64" i="28" s="1"/>
  <c r="L11" i="39" s="1"/>
  <c r="O83" i="8"/>
  <c r="O85" i="8" s="1"/>
  <c r="U81" i="8" s="1"/>
  <c r="C7" i="40" s="1"/>
  <c r="P4" i="40"/>
  <c r="H23" i="41"/>
  <c r="H28" i="41"/>
  <c r="H32" i="41"/>
  <c r="U39" i="3"/>
  <c r="L6" i="41" s="1"/>
  <c r="M6" i="41" s="1"/>
  <c r="R6" i="39"/>
  <c r="J14" i="39"/>
  <c r="U18" i="44"/>
  <c r="X108" i="20"/>
  <c r="V18" i="44" s="1"/>
  <c r="X33" i="15"/>
  <c r="V17" i="41" s="1"/>
  <c r="W17" i="41" s="1"/>
  <c r="X33" i="26"/>
  <c r="V30" i="41" s="1"/>
  <c r="W30" i="41" s="1"/>
  <c r="X33" i="25"/>
  <c r="V21" i="41" s="1"/>
  <c r="W21" i="41" s="1"/>
  <c r="X33" i="18"/>
  <c r="V25" i="41" s="1"/>
  <c r="W25" i="41" s="1"/>
  <c r="X33" i="11"/>
  <c r="V16" i="41" s="1"/>
  <c r="W16" i="41" s="1"/>
  <c r="O37" i="31"/>
  <c r="U33" i="31" s="1"/>
  <c r="E22" i="41" s="1"/>
  <c r="U31" i="31"/>
  <c r="C22" i="41" s="1"/>
  <c r="X33" i="13"/>
  <c r="V24" i="41" s="1"/>
  <c r="W24" i="41" s="1"/>
  <c r="X33" i="31"/>
  <c r="V22" i="41" s="1"/>
  <c r="W22" i="41" s="1"/>
  <c r="U33" i="16"/>
  <c r="E35" i="41" s="1"/>
  <c r="X33" i="19"/>
  <c r="V9" i="41" s="1"/>
  <c r="W9" i="41" s="1"/>
  <c r="X33" i="22"/>
  <c r="V19" i="41" s="1"/>
  <c r="W19" i="41" s="1"/>
  <c r="U43" i="28"/>
  <c r="Q11" i="41" s="1"/>
  <c r="X33" i="14"/>
  <c r="V34" i="41" s="1"/>
  <c r="W34" i="41" s="1"/>
  <c r="U43" i="23"/>
  <c r="Q20" i="41" s="1"/>
  <c r="R20" i="41" s="1"/>
  <c r="U39" i="20"/>
  <c r="L18" i="41" s="1"/>
  <c r="U43" i="8"/>
  <c r="Q7" i="41" s="1"/>
  <c r="I5" i="41"/>
  <c r="U39" i="28"/>
  <c r="L11" i="41" s="1"/>
  <c r="M11" i="41" s="1"/>
  <c r="X33" i="9"/>
  <c r="V8" i="41" s="1"/>
  <c r="W8" i="41" s="1"/>
  <c r="X31" i="7"/>
  <c r="T14" i="41" s="1"/>
  <c r="R65" i="3"/>
  <c r="X58" i="3" s="1"/>
  <c r="V6" i="39" s="1"/>
  <c r="X56" i="3"/>
  <c r="H5" i="39"/>
  <c r="X56" i="7"/>
  <c r="T14" i="39" s="1"/>
  <c r="T13" i="39" s="1"/>
  <c r="U14" i="44"/>
  <c r="X108" i="7"/>
  <c r="V14" i="44" s="1"/>
  <c r="X33" i="3"/>
  <c r="V6" i="41" s="1"/>
  <c r="W6" i="41" s="1"/>
  <c r="U7" i="39"/>
  <c r="X58" i="8"/>
  <c r="V7" i="39" s="1"/>
  <c r="U7" i="44"/>
  <c r="X108" i="8"/>
  <c r="V7" i="44" s="1"/>
  <c r="X33" i="8"/>
  <c r="V7" i="41" s="1"/>
  <c r="W7" i="41" s="1"/>
  <c r="U8" i="39"/>
  <c r="X58" i="9"/>
  <c r="V8" i="39" s="1"/>
  <c r="J8" i="39"/>
  <c r="U8" i="44"/>
  <c r="X108" i="9"/>
  <c r="V8" i="44" s="1"/>
  <c r="U15" i="39"/>
  <c r="X58" i="10"/>
  <c r="V15" i="39" s="1"/>
  <c r="U15" i="44"/>
  <c r="X108" i="10"/>
  <c r="V15" i="44" s="1"/>
  <c r="J16" i="39"/>
  <c r="D16" i="39"/>
  <c r="U58" i="11"/>
  <c r="U16" i="39"/>
  <c r="X58" i="11"/>
  <c r="V16" i="39" s="1"/>
  <c r="H32" i="39"/>
  <c r="U33" i="39"/>
  <c r="X58" i="12"/>
  <c r="V33" i="39" s="1"/>
  <c r="D33" i="39"/>
  <c r="U58" i="12"/>
  <c r="H23" i="39"/>
  <c r="U34" i="44"/>
  <c r="X108" i="14"/>
  <c r="V34" i="44" s="1"/>
  <c r="D17" i="39"/>
  <c r="U58" i="15"/>
  <c r="U17" i="44"/>
  <c r="X108" i="15"/>
  <c r="V17" i="44" s="1"/>
  <c r="D35" i="44"/>
  <c r="U108" i="16"/>
  <c r="E35" i="44" s="1"/>
  <c r="U35" i="39"/>
  <c r="X58" i="16"/>
  <c r="V35" i="39" s="1"/>
  <c r="D36" i="44"/>
  <c r="U108" i="17"/>
  <c r="E36" i="44" s="1"/>
  <c r="X33" i="17"/>
  <c r="V36" i="41" s="1"/>
  <c r="W36" i="41" s="1"/>
  <c r="U25" i="39"/>
  <c r="X58" i="18"/>
  <c r="V25" i="39" s="1"/>
  <c r="X33" i="20"/>
  <c r="V18" i="41" s="1"/>
  <c r="W18" i="41" s="1"/>
  <c r="U33" i="20"/>
  <c r="E18" i="41" s="1"/>
  <c r="U29" i="39"/>
  <c r="X58" i="21"/>
  <c r="V29" i="39" s="1"/>
  <c r="H28" i="39"/>
  <c r="X33" i="21"/>
  <c r="V29" i="41" s="1"/>
  <c r="W29" i="41" s="1"/>
  <c r="U20" i="44"/>
  <c r="X108" i="23"/>
  <c r="V20" i="44" s="1"/>
  <c r="U26" i="39"/>
  <c r="X58" i="24"/>
  <c r="V26" i="39" s="1"/>
  <c r="D26" i="44"/>
  <c r="U108" i="24"/>
  <c r="E26" i="44" s="1"/>
  <c r="U21" i="44"/>
  <c r="X108" i="25"/>
  <c r="V21" i="44" s="1"/>
  <c r="U21" i="39"/>
  <c r="X58" i="25"/>
  <c r="V21" i="39" s="1"/>
  <c r="U10" i="44"/>
  <c r="X108" i="27"/>
  <c r="V10" i="44" s="1"/>
  <c r="J10" i="39"/>
  <c r="U11" i="44"/>
  <c r="X108" i="28"/>
  <c r="V11" i="44" s="1"/>
  <c r="U11" i="39"/>
  <c r="X58" i="28"/>
  <c r="V11" i="39" s="1"/>
  <c r="J11" i="39"/>
  <c r="U41" i="28"/>
  <c r="O11" i="41" s="1"/>
  <c r="U31" i="44"/>
  <c r="X108" i="29"/>
  <c r="V31" i="44" s="1"/>
  <c r="U31" i="39"/>
  <c r="X58" i="29"/>
  <c r="V31" i="39" s="1"/>
  <c r="D27" i="44"/>
  <c r="U108" i="30"/>
  <c r="E27" i="44" s="1"/>
  <c r="U27" i="44"/>
  <c r="X108" i="30"/>
  <c r="V27" i="44" s="1"/>
  <c r="U27" i="39"/>
  <c r="X58" i="30"/>
  <c r="V27" i="39" s="1"/>
  <c r="J22" i="39"/>
  <c r="U64" i="31"/>
  <c r="U12" i="39"/>
  <c r="X58" i="32"/>
  <c r="V12" i="39" s="1"/>
  <c r="D12" i="44"/>
  <c r="U108" i="32"/>
  <c r="E12" i="44" s="1"/>
  <c r="D15" i="44"/>
  <c r="U108" i="10"/>
  <c r="E15" i="44" s="1"/>
  <c r="U16" i="44"/>
  <c r="X108" i="11"/>
  <c r="V16" i="44" s="1"/>
  <c r="X33" i="12"/>
  <c r="V33" i="41" s="1"/>
  <c r="W33" i="41" s="1"/>
  <c r="U24" i="44"/>
  <c r="X108" i="13"/>
  <c r="V24" i="44" s="1"/>
  <c r="U17" i="39"/>
  <c r="X58" i="15"/>
  <c r="V17" i="39" s="1"/>
  <c r="U35" i="44"/>
  <c r="X108" i="16"/>
  <c r="V35" i="44" s="1"/>
  <c r="X33" i="16"/>
  <c r="V35" i="41" s="1"/>
  <c r="W35" i="41" s="1"/>
  <c r="D14" i="39"/>
  <c r="D8" i="44"/>
  <c r="U108" i="9"/>
  <c r="E8" i="44" s="1"/>
  <c r="U39" i="12"/>
  <c r="L33" i="41" s="1"/>
  <c r="M33" i="41" s="1"/>
  <c r="U24" i="39"/>
  <c r="X58" i="13"/>
  <c r="V24" i="39" s="1"/>
  <c r="U34" i="39"/>
  <c r="X58" i="14"/>
  <c r="V34" i="39" s="1"/>
  <c r="U43" i="16"/>
  <c r="Q35" i="41" s="1"/>
  <c r="U29" i="44"/>
  <c r="X108" i="21"/>
  <c r="V29" i="44" s="1"/>
  <c r="U39" i="22"/>
  <c r="L19" i="41" s="1"/>
  <c r="U20" i="39"/>
  <c r="X58" i="23"/>
  <c r="V20" i="39" s="1"/>
  <c r="U26" i="44"/>
  <c r="X108" i="24"/>
  <c r="V26" i="44" s="1"/>
  <c r="D26" i="39"/>
  <c r="U58" i="24"/>
  <c r="U10" i="39"/>
  <c r="X58" i="27"/>
  <c r="V10" i="39" s="1"/>
  <c r="X33" i="27"/>
  <c r="V10" i="41" s="1"/>
  <c r="W10" i="41" s="1"/>
  <c r="D11" i="44"/>
  <c r="U108" i="28"/>
  <c r="E11" i="44" s="1"/>
  <c r="U19" i="21"/>
  <c r="Q29" i="43" s="1"/>
  <c r="U41" i="8"/>
  <c r="O7" i="41" s="1"/>
  <c r="U41" i="16"/>
  <c r="O35" i="41" s="1"/>
  <c r="D11" i="39"/>
  <c r="U58" i="28"/>
  <c r="U30" i="39"/>
  <c r="X58" i="26"/>
  <c r="V30" i="39" s="1"/>
  <c r="U19" i="39"/>
  <c r="X58" i="22"/>
  <c r="V19" i="39" s="1"/>
  <c r="U25" i="44"/>
  <c r="X108" i="18"/>
  <c r="V25" i="44" s="1"/>
  <c r="U36" i="39"/>
  <c r="X58" i="17"/>
  <c r="V36" i="39" s="1"/>
  <c r="T13" i="44"/>
  <c r="U19" i="7"/>
  <c r="U12" i="44"/>
  <c r="X108" i="32"/>
  <c r="V12" i="44" s="1"/>
  <c r="D7" i="44"/>
  <c r="U108" i="8"/>
  <c r="E7" i="44" s="1"/>
  <c r="U33" i="21"/>
  <c r="E29" i="41" s="1"/>
  <c r="U18" i="39"/>
  <c r="X58" i="20"/>
  <c r="V18" i="39" s="1"/>
  <c r="X9" i="7"/>
  <c r="V14" i="43" s="1"/>
  <c r="V13" i="43" s="1"/>
  <c r="H13" i="39"/>
  <c r="C10" i="41"/>
  <c r="F10" i="41" s="1"/>
  <c r="C24" i="41"/>
  <c r="F24" i="41" s="1"/>
  <c r="C29" i="43"/>
  <c r="F29" i="43" s="1"/>
  <c r="C12" i="44"/>
  <c r="F22" i="39"/>
  <c r="C27" i="44"/>
  <c r="C10" i="44"/>
  <c r="F10" i="44" s="1"/>
  <c r="C26" i="44"/>
  <c r="C19" i="41"/>
  <c r="F19" i="41" s="1"/>
  <c r="C29" i="41"/>
  <c r="C36" i="44"/>
  <c r="C35" i="44"/>
  <c r="C15" i="44"/>
  <c r="C8" i="44"/>
  <c r="C36" i="41"/>
  <c r="F36" i="41" s="1"/>
  <c r="C12" i="41"/>
  <c r="F12" i="41" s="1"/>
  <c r="C11" i="41"/>
  <c r="F11" i="41" s="1"/>
  <c r="C18" i="41"/>
  <c r="C35" i="41"/>
  <c r="U4" i="40"/>
  <c r="O82" i="3"/>
  <c r="O93" i="3" s="1"/>
  <c r="U85" i="3" s="1"/>
  <c r="H6" i="40" s="1"/>
  <c r="O83" i="3"/>
  <c r="O85" i="3" s="1"/>
  <c r="C10" i="39"/>
  <c r="O62" i="27"/>
  <c r="C6" i="41"/>
  <c r="C5" i="43"/>
  <c r="R90" i="13"/>
  <c r="X83" i="13" s="1"/>
  <c r="V24" i="40" s="1"/>
  <c r="R90" i="31"/>
  <c r="X83" i="31" s="1"/>
  <c r="V22" i="40" s="1"/>
  <c r="O119" i="30"/>
  <c r="U114" i="30" s="1"/>
  <c r="R64" i="31"/>
  <c r="U68" i="31" s="1"/>
  <c r="Q22" i="39" s="1"/>
  <c r="R22" i="39" s="1"/>
  <c r="R64" i="9"/>
  <c r="U68" i="9" s="1"/>
  <c r="Q8" i="39" s="1"/>
  <c r="R8" i="39" s="1"/>
  <c r="W19" i="40"/>
  <c r="O87" i="23"/>
  <c r="U83" i="23" s="1"/>
  <c r="R90" i="27"/>
  <c r="X83" i="27" s="1"/>
  <c r="V10" i="40" s="1"/>
  <c r="R82" i="27"/>
  <c r="R86" i="27" s="1"/>
  <c r="U91" i="27" s="1"/>
  <c r="O10" i="40" s="1"/>
  <c r="R82" i="31"/>
  <c r="R86" i="31" s="1"/>
  <c r="U91" i="31" s="1"/>
  <c r="O22" i="40" s="1"/>
  <c r="T13" i="43"/>
  <c r="O28" i="43"/>
  <c r="R64" i="20"/>
  <c r="U68" i="20" s="1"/>
  <c r="Q18" i="39" s="1"/>
  <c r="R18" i="39" s="1"/>
  <c r="R90" i="20"/>
  <c r="X83" i="20" s="1"/>
  <c r="V18" i="40" s="1"/>
  <c r="C32" i="43"/>
  <c r="H4" i="43"/>
  <c r="O13" i="43"/>
  <c r="R64" i="30"/>
  <c r="U68" i="30" s="1"/>
  <c r="Q27" i="39" s="1"/>
  <c r="R27" i="39" s="1"/>
  <c r="O87" i="29"/>
  <c r="U83" i="29" s="1"/>
  <c r="R82" i="28"/>
  <c r="R86" i="28" s="1"/>
  <c r="U91" i="28" s="1"/>
  <c r="O11" i="40" s="1"/>
  <c r="R90" i="26"/>
  <c r="X83" i="26" s="1"/>
  <c r="V30" i="40" s="1"/>
  <c r="R82" i="25"/>
  <c r="R86" i="25" s="1"/>
  <c r="U91" i="25" s="1"/>
  <c r="O21" i="40" s="1"/>
  <c r="R90" i="25"/>
  <c r="X83" i="25" s="1"/>
  <c r="V21" i="40" s="1"/>
  <c r="O69" i="24"/>
  <c r="R90" i="23"/>
  <c r="X83" i="23" s="1"/>
  <c r="V20" i="40" s="1"/>
  <c r="R90" i="21"/>
  <c r="X83" i="21" s="1"/>
  <c r="V29" i="40" s="1"/>
  <c r="R82" i="20"/>
  <c r="R86" i="20" s="1"/>
  <c r="U91" i="20" s="1"/>
  <c r="O18" i="40" s="1"/>
  <c r="O87" i="20"/>
  <c r="U83" i="20" s="1"/>
  <c r="R82" i="18"/>
  <c r="R86" i="18" s="1"/>
  <c r="U91" i="18" s="1"/>
  <c r="O25" i="40" s="1"/>
  <c r="R90" i="18"/>
  <c r="X83" i="18" s="1"/>
  <c r="V25" i="40" s="1"/>
  <c r="O87" i="15"/>
  <c r="U83" i="15" s="1"/>
  <c r="R82" i="15"/>
  <c r="R86" i="15" s="1"/>
  <c r="U91" i="15" s="1"/>
  <c r="O17" i="40" s="1"/>
  <c r="O82" i="10"/>
  <c r="O93" i="10" s="1"/>
  <c r="U85" i="10" s="1"/>
  <c r="H15" i="40" s="1"/>
  <c r="R82" i="9"/>
  <c r="R86" i="9" s="1"/>
  <c r="U91" i="9" s="1"/>
  <c r="O8" i="40" s="1"/>
  <c r="O69" i="8"/>
  <c r="R82" i="17"/>
  <c r="R86" i="17" s="1"/>
  <c r="U91" i="17" s="1"/>
  <c r="O36" i="40" s="1"/>
  <c r="R90" i="16"/>
  <c r="X83" i="16" s="1"/>
  <c r="V35" i="40" s="1"/>
  <c r="R64" i="15"/>
  <c r="U68" i="15" s="1"/>
  <c r="Q17" i="39" s="1"/>
  <c r="R17" i="39" s="1"/>
  <c r="T32" i="44"/>
  <c r="R90" i="12"/>
  <c r="X83" i="12" s="1"/>
  <c r="V33" i="40" s="1"/>
  <c r="O119" i="9"/>
  <c r="U114" i="9" s="1"/>
  <c r="O93" i="8"/>
  <c r="U85" i="8" s="1"/>
  <c r="H7" i="40" s="1"/>
  <c r="R64" i="32"/>
  <c r="U68" i="32" s="1"/>
  <c r="Q12" i="39" s="1"/>
  <c r="R12" i="39" s="1"/>
  <c r="O119" i="32"/>
  <c r="U114" i="32" s="1"/>
  <c r="R90" i="32"/>
  <c r="X83" i="32" s="1"/>
  <c r="V12" i="40" s="1"/>
  <c r="R82" i="32"/>
  <c r="R86" i="32" s="1"/>
  <c r="U91" i="32" s="1"/>
  <c r="O12" i="40" s="1"/>
  <c r="T12" i="40"/>
  <c r="O69" i="32"/>
  <c r="O83" i="32"/>
  <c r="O85" i="32" s="1"/>
  <c r="U81" i="32" s="1"/>
  <c r="O82" i="32"/>
  <c r="O93" i="32" s="1"/>
  <c r="U85" i="32" s="1"/>
  <c r="H12" i="40" s="1"/>
  <c r="O62" i="32"/>
  <c r="O83" i="31"/>
  <c r="O85" i="31" s="1"/>
  <c r="U81" i="31" s="1"/>
  <c r="O82" i="31"/>
  <c r="O93" i="31" s="1"/>
  <c r="U85" i="31" s="1"/>
  <c r="H22" i="40" s="1"/>
  <c r="R39" i="31"/>
  <c r="O119" i="31"/>
  <c r="U114" i="31" s="1"/>
  <c r="L22" i="44" s="1"/>
  <c r="M22" i="44" s="1"/>
  <c r="C22" i="44"/>
  <c r="O112" i="31"/>
  <c r="T22" i="40"/>
  <c r="C27" i="40"/>
  <c r="R114" i="30"/>
  <c r="U118" i="30" s="1"/>
  <c r="Q27" i="44" s="1"/>
  <c r="T27" i="40"/>
  <c r="O82" i="30"/>
  <c r="O93" i="30" s="1"/>
  <c r="U85" i="30" s="1"/>
  <c r="H27" i="40" s="1"/>
  <c r="R82" i="30"/>
  <c r="R86" i="30" s="1"/>
  <c r="U91" i="30" s="1"/>
  <c r="O27" i="40" s="1"/>
  <c r="O87" i="30"/>
  <c r="U83" i="30" s="1"/>
  <c r="R90" i="30"/>
  <c r="X83" i="30" s="1"/>
  <c r="V27" i="40" s="1"/>
  <c r="T31" i="40"/>
  <c r="O119" i="29"/>
  <c r="U114" i="29" s="1"/>
  <c r="L31" i="44" s="1"/>
  <c r="M31" i="44" s="1"/>
  <c r="R114" i="29"/>
  <c r="U118" i="29" s="1"/>
  <c r="Q31" i="44" s="1"/>
  <c r="R31" i="44" s="1"/>
  <c r="O62" i="29"/>
  <c r="R64" i="29"/>
  <c r="U68" i="29" s="1"/>
  <c r="Q31" i="39" s="1"/>
  <c r="R31" i="39" s="1"/>
  <c r="O69" i="29"/>
  <c r="U64" i="29" s="1"/>
  <c r="L31" i="39" s="1"/>
  <c r="C31" i="44"/>
  <c r="O112" i="29"/>
  <c r="R82" i="29"/>
  <c r="R86" i="29" s="1"/>
  <c r="U91" i="29" s="1"/>
  <c r="O31" i="40" s="1"/>
  <c r="R90" i="29"/>
  <c r="X83" i="29" s="1"/>
  <c r="V31" i="40" s="1"/>
  <c r="C31" i="40"/>
  <c r="R90" i="28"/>
  <c r="X83" i="28" s="1"/>
  <c r="V11" i="40" s="1"/>
  <c r="R114" i="28"/>
  <c r="U118" i="28" s="1"/>
  <c r="O94" i="28"/>
  <c r="U89" i="28" s="1"/>
  <c r="R64" i="28"/>
  <c r="U68" i="28" s="1"/>
  <c r="Q11" i="39" s="1"/>
  <c r="R11" i="39" s="1"/>
  <c r="T11" i="40"/>
  <c r="R39" i="27"/>
  <c r="R114" i="27"/>
  <c r="U118" i="27" s="1"/>
  <c r="Q10" i="44" s="1"/>
  <c r="R10" i="44" s="1"/>
  <c r="O83" i="27"/>
  <c r="O85" i="27" s="1"/>
  <c r="U81" i="27" s="1"/>
  <c r="O82" i="27"/>
  <c r="O93" i="27" s="1"/>
  <c r="U85" i="27" s="1"/>
  <c r="H10" i="40" s="1"/>
  <c r="O119" i="27"/>
  <c r="U114" i="27" s="1"/>
  <c r="T10" i="40"/>
  <c r="O62" i="26"/>
  <c r="O69" i="26"/>
  <c r="O83" i="26"/>
  <c r="O85" i="26" s="1"/>
  <c r="U81" i="26" s="1"/>
  <c r="O82" i="26"/>
  <c r="O93" i="26" s="1"/>
  <c r="U85" i="26" s="1"/>
  <c r="H30" i="40" s="1"/>
  <c r="O119" i="26"/>
  <c r="U114" i="26" s="1"/>
  <c r="L30" i="44" s="1"/>
  <c r="M30" i="44" s="1"/>
  <c r="T30" i="40"/>
  <c r="R114" i="26"/>
  <c r="C30" i="44"/>
  <c r="O112" i="26"/>
  <c r="R82" i="26"/>
  <c r="R86" i="26" s="1"/>
  <c r="U91" i="26" s="1"/>
  <c r="O30" i="40" s="1"/>
  <c r="O69" i="25"/>
  <c r="O62" i="25"/>
  <c r="R114" i="25"/>
  <c r="U118" i="25" s="1"/>
  <c r="Q21" i="44" s="1"/>
  <c r="R21" i="44" s="1"/>
  <c r="C21" i="44"/>
  <c r="O112" i="25"/>
  <c r="O83" i="25"/>
  <c r="O85" i="25" s="1"/>
  <c r="U81" i="25" s="1"/>
  <c r="O82" i="25"/>
  <c r="O93" i="25" s="1"/>
  <c r="U85" i="25" s="1"/>
  <c r="H21" i="40" s="1"/>
  <c r="O119" i="25"/>
  <c r="U114" i="25" s="1"/>
  <c r="L21" i="44" s="1"/>
  <c r="M21" i="44" s="1"/>
  <c r="T21" i="40"/>
  <c r="R114" i="24"/>
  <c r="U118" i="24" s="1"/>
  <c r="Q26" i="44" s="1"/>
  <c r="R26" i="44" s="1"/>
  <c r="C26" i="40"/>
  <c r="T26" i="40"/>
  <c r="O119" i="24"/>
  <c r="U114" i="24" s="1"/>
  <c r="O87" i="24"/>
  <c r="U83" i="24" s="1"/>
  <c r="R90" i="24"/>
  <c r="X83" i="24" s="1"/>
  <c r="V26" i="40" s="1"/>
  <c r="R82" i="24"/>
  <c r="R86" i="24" s="1"/>
  <c r="U91" i="24" s="1"/>
  <c r="O26" i="40" s="1"/>
  <c r="R114" i="23"/>
  <c r="U118" i="23" s="1"/>
  <c r="Q20" i="44" s="1"/>
  <c r="R20" i="44" s="1"/>
  <c r="T20" i="40"/>
  <c r="O119" i="23"/>
  <c r="U114" i="23" s="1"/>
  <c r="L20" i="44" s="1"/>
  <c r="M20" i="44" s="1"/>
  <c r="R64" i="23"/>
  <c r="U68" i="23" s="1"/>
  <c r="Q20" i="39" s="1"/>
  <c r="R20" i="39" s="1"/>
  <c r="O69" i="23"/>
  <c r="C20" i="44"/>
  <c r="O112" i="23"/>
  <c r="O62" i="23"/>
  <c r="R82" i="23"/>
  <c r="R86" i="23" s="1"/>
  <c r="U91" i="23" s="1"/>
  <c r="O20" i="40" s="1"/>
  <c r="C20" i="40"/>
  <c r="O69" i="22"/>
  <c r="O62" i="22"/>
  <c r="O62" i="21"/>
  <c r="O119" i="21"/>
  <c r="R64" i="21"/>
  <c r="U68" i="21" s="1"/>
  <c r="Q29" i="39" s="1"/>
  <c r="O83" i="21"/>
  <c r="O85" i="21" s="1"/>
  <c r="U81" i="21" s="1"/>
  <c r="O82" i="21"/>
  <c r="O93" i="21" s="1"/>
  <c r="U85" i="21" s="1"/>
  <c r="H29" i="40" s="1"/>
  <c r="O69" i="21"/>
  <c r="R39" i="21"/>
  <c r="T29" i="40"/>
  <c r="C29" i="44"/>
  <c r="O112" i="21"/>
  <c r="O69" i="20"/>
  <c r="T18" i="40"/>
  <c r="R114" i="20"/>
  <c r="U118" i="20" s="1"/>
  <c r="Q18" i="44" s="1"/>
  <c r="R18" i="44" s="1"/>
  <c r="O62" i="20"/>
  <c r="O94" i="20"/>
  <c r="U89" i="20" s="1"/>
  <c r="L18" i="40" s="1"/>
  <c r="C18" i="40"/>
  <c r="R114" i="19"/>
  <c r="U118" i="19" s="1"/>
  <c r="Q9" i="44" s="1"/>
  <c r="R9" i="44" s="1"/>
  <c r="T9" i="40"/>
  <c r="O69" i="19"/>
  <c r="R90" i="19"/>
  <c r="X83" i="19" s="1"/>
  <c r="V9" i="40" s="1"/>
  <c r="O119" i="19"/>
  <c r="U114" i="19" s="1"/>
  <c r="L9" i="44" s="1"/>
  <c r="M9" i="44" s="1"/>
  <c r="O62" i="19"/>
  <c r="R82" i="19"/>
  <c r="R86" i="19" s="1"/>
  <c r="U91" i="19" s="1"/>
  <c r="O9" i="40" s="1"/>
  <c r="C9" i="44"/>
  <c r="O112" i="19"/>
  <c r="R64" i="18"/>
  <c r="U68" i="18" s="1"/>
  <c r="Q25" i="39" s="1"/>
  <c r="R25" i="39" s="1"/>
  <c r="O119" i="18"/>
  <c r="U114" i="18" s="1"/>
  <c r="L25" i="44" s="1"/>
  <c r="M25" i="44" s="1"/>
  <c r="C25" i="44"/>
  <c r="O112" i="18"/>
  <c r="U108" i="18" s="1"/>
  <c r="O94" i="18"/>
  <c r="U89" i="18" s="1"/>
  <c r="L25" i="40" s="1"/>
  <c r="O62" i="18"/>
  <c r="O69" i="18"/>
  <c r="T25" i="40"/>
  <c r="O83" i="17"/>
  <c r="O85" i="17" s="1"/>
  <c r="U81" i="17" s="1"/>
  <c r="O82" i="17"/>
  <c r="O93" i="17" s="1"/>
  <c r="U85" i="17" s="1"/>
  <c r="H36" i="40" s="1"/>
  <c r="O69" i="17"/>
  <c r="U64" i="17" s="1"/>
  <c r="L36" i="39" s="1"/>
  <c r="R39" i="17"/>
  <c r="O62" i="17"/>
  <c r="T36" i="40"/>
  <c r="O119" i="17"/>
  <c r="U114" i="17" s="1"/>
  <c r="R82" i="16"/>
  <c r="R86" i="16" s="1"/>
  <c r="U91" i="16" s="1"/>
  <c r="O35" i="40" s="1"/>
  <c r="O62" i="16"/>
  <c r="T35" i="40"/>
  <c r="O69" i="16"/>
  <c r="R114" i="16"/>
  <c r="U118" i="16" s="1"/>
  <c r="R64" i="16"/>
  <c r="U68" i="16" s="1"/>
  <c r="Q35" i="39" s="1"/>
  <c r="R35" i="39" s="1"/>
  <c r="O83" i="16"/>
  <c r="O85" i="16" s="1"/>
  <c r="U81" i="16" s="1"/>
  <c r="O82" i="16"/>
  <c r="O93" i="16" s="1"/>
  <c r="U85" i="16" s="1"/>
  <c r="H35" i="40" s="1"/>
  <c r="O119" i="15"/>
  <c r="U114" i="15" s="1"/>
  <c r="L17" i="44" s="1"/>
  <c r="M17" i="44" s="1"/>
  <c r="C17" i="44"/>
  <c r="O112" i="15"/>
  <c r="T17" i="40"/>
  <c r="J17" i="39"/>
  <c r="M17" i="39" s="1"/>
  <c r="R90" i="15"/>
  <c r="X83" i="15" s="1"/>
  <c r="V17" i="40" s="1"/>
  <c r="C17" i="40"/>
  <c r="O119" i="14"/>
  <c r="U114" i="14" s="1"/>
  <c r="L34" i="44" s="1"/>
  <c r="M34" i="44" s="1"/>
  <c r="T34" i="40"/>
  <c r="O69" i="14"/>
  <c r="C34" i="44"/>
  <c r="O112" i="14"/>
  <c r="R82" i="14"/>
  <c r="R86" i="14" s="1"/>
  <c r="U91" i="14" s="1"/>
  <c r="O34" i="40" s="1"/>
  <c r="O62" i="14"/>
  <c r="O94" i="14"/>
  <c r="U89" i="14" s="1"/>
  <c r="R90" i="14"/>
  <c r="X83" i="14" s="1"/>
  <c r="V34" i="40" s="1"/>
  <c r="T24" i="40"/>
  <c r="O83" i="13"/>
  <c r="O85" i="13" s="1"/>
  <c r="U81" i="13" s="1"/>
  <c r="O82" i="13"/>
  <c r="O93" i="13" s="1"/>
  <c r="U85" i="13" s="1"/>
  <c r="H24" i="40" s="1"/>
  <c r="O69" i="13"/>
  <c r="U64" i="13" s="1"/>
  <c r="L24" i="39" s="1"/>
  <c r="R114" i="13"/>
  <c r="O119" i="13"/>
  <c r="U114" i="13" s="1"/>
  <c r="L24" i="44" s="1"/>
  <c r="O62" i="13"/>
  <c r="R64" i="13"/>
  <c r="U68" i="13" s="1"/>
  <c r="Q24" i="39" s="1"/>
  <c r="C24" i="44"/>
  <c r="O112" i="13"/>
  <c r="R82" i="13"/>
  <c r="R86" i="13" s="1"/>
  <c r="U91" i="13" s="1"/>
  <c r="O24" i="40" s="1"/>
  <c r="O83" i="12"/>
  <c r="O85" i="12" s="1"/>
  <c r="U81" i="12" s="1"/>
  <c r="O82" i="12"/>
  <c r="O93" i="12" s="1"/>
  <c r="U85" i="12" s="1"/>
  <c r="H33" i="40" s="1"/>
  <c r="R64" i="12"/>
  <c r="O119" i="12"/>
  <c r="U114" i="12" s="1"/>
  <c r="L33" i="44" s="1"/>
  <c r="R114" i="12"/>
  <c r="U118" i="12" s="1"/>
  <c r="Q33" i="44" s="1"/>
  <c r="C33" i="44"/>
  <c r="O112" i="12"/>
  <c r="T33" i="40"/>
  <c r="O69" i="12"/>
  <c r="R82" i="12"/>
  <c r="R86" i="12" s="1"/>
  <c r="U91" i="12" s="1"/>
  <c r="O33" i="40" s="1"/>
  <c r="R82" i="11"/>
  <c r="R86" i="11" s="1"/>
  <c r="U91" i="11" s="1"/>
  <c r="O16" i="40" s="1"/>
  <c r="O119" i="11"/>
  <c r="U114" i="11" s="1"/>
  <c r="L16" i="44" s="1"/>
  <c r="M16" i="44" s="1"/>
  <c r="T16" i="40"/>
  <c r="O83" i="11"/>
  <c r="O85" i="11" s="1"/>
  <c r="U81" i="11" s="1"/>
  <c r="O82" i="11"/>
  <c r="O93" i="11" s="1"/>
  <c r="U85" i="11" s="1"/>
  <c r="H16" i="40" s="1"/>
  <c r="R90" i="11"/>
  <c r="X83" i="11" s="1"/>
  <c r="V16" i="40" s="1"/>
  <c r="C16" i="44"/>
  <c r="O112" i="11"/>
  <c r="T15" i="40"/>
  <c r="C15" i="40"/>
  <c r="R82" i="10"/>
  <c r="R86" i="10" s="1"/>
  <c r="U91" i="10" s="1"/>
  <c r="O15" i="40" s="1"/>
  <c r="O87" i="10"/>
  <c r="U83" i="10" s="1"/>
  <c r="O69" i="10"/>
  <c r="O62" i="10"/>
  <c r="R114" i="10"/>
  <c r="U118" i="10" s="1"/>
  <c r="R90" i="10"/>
  <c r="X83" i="10" s="1"/>
  <c r="V15" i="40" s="1"/>
  <c r="T8" i="40"/>
  <c r="R114" i="9"/>
  <c r="U118" i="9" s="1"/>
  <c r="Q8" i="44" s="1"/>
  <c r="R8" i="44" s="1"/>
  <c r="R64" i="8"/>
  <c r="U68" i="8" s="1"/>
  <c r="Q7" i="39" s="1"/>
  <c r="R114" i="8"/>
  <c r="U118" i="8" s="1"/>
  <c r="R82" i="8"/>
  <c r="R86" i="8" s="1"/>
  <c r="U91" i="8" s="1"/>
  <c r="O7" i="40" s="1"/>
  <c r="T7" i="40"/>
  <c r="R90" i="8"/>
  <c r="X83" i="8" s="1"/>
  <c r="V7" i="40" s="1"/>
  <c r="O69" i="3"/>
  <c r="U64" i="3" s="1"/>
  <c r="O93" i="7"/>
  <c r="U85" i="7" s="1"/>
  <c r="H14" i="40" s="1"/>
  <c r="R40" i="7"/>
  <c r="R65" i="7"/>
  <c r="T14" i="40"/>
  <c r="R90" i="7"/>
  <c r="X83" i="7" s="1"/>
  <c r="V14" i="40" s="1"/>
  <c r="R82" i="7"/>
  <c r="R86" i="7" s="1"/>
  <c r="U91" i="7" s="1"/>
  <c r="O14" i="40" s="1"/>
  <c r="O119" i="7"/>
  <c r="U114" i="7" s="1"/>
  <c r="L14" i="44" s="1"/>
  <c r="O112" i="7"/>
  <c r="U6" i="39"/>
  <c r="R86" i="3"/>
  <c r="U91" i="3" s="1"/>
  <c r="O6" i="40" s="1"/>
  <c r="R87" i="3"/>
  <c r="X81" i="3" s="1"/>
  <c r="R115" i="3"/>
  <c r="R114" i="3"/>
  <c r="U118" i="3" s="1"/>
  <c r="Q6" i="44" s="1"/>
  <c r="R39" i="25"/>
  <c r="R39" i="15"/>
  <c r="R39" i="32"/>
  <c r="C31" i="41"/>
  <c r="O37" i="29"/>
  <c r="O44" i="11"/>
  <c r="C9" i="41"/>
  <c r="O37" i="19"/>
  <c r="O44" i="30"/>
  <c r="C34" i="41"/>
  <c r="O37" i="14"/>
  <c r="R39" i="29"/>
  <c r="C21" i="41"/>
  <c r="O37" i="25"/>
  <c r="R39" i="19"/>
  <c r="C17" i="41"/>
  <c r="O37" i="15"/>
  <c r="O44" i="29"/>
  <c r="R39" i="18"/>
  <c r="R39" i="26"/>
  <c r="O44" i="14"/>
  <c r="O44" i="25"/>
  <c r="C27" i="41"/>
  <c r="O37" i="30"/>
  <c r="O44" i="15"/>
  <c r="R39" i="12"/>
  <c r="O44" i="16"/>
  <c r="R39" i="13"/>
  <c r="U43" i="13" s="1"/>
  <c r="Q24" i="41" s="1"/>
  <c r="R24" i="41" s="1"/>
  <c r="R39" i="22"/>
  <c r="C7" i="41"/>
  <c r="O37" i="8"/>
  <c r="O44" i="18"/>
  <c r="O44" i="19"/>
  <c r="O44" i="9"/>
  <c r="O37" i="18"/>
  <c r="C16" i="41"/>
  <c r="O37" i="11"/>
  <c r="C8" i="41"/>
  <c r="O37" i="9"/>
  <c r="O44" i="26"/>
  <c r="R39" i="30"/>
  <c r="R39" i="9"/>
  <c r="C30" i="41"/>
  <c r="O37" i="26"/>
  <c r="O44" i="31"/>
  <c r="R39" i="11"/>
  <c r="R39" i="14"/>
  <c r="R39" i="20"/>
  <c r="O44" i="8"/>
  <c r="O69" i="30"/>
  <c r="O62" i="30"/>
  <c r="O83" i="9"/>
  <c r="O85" i="9" s="1"/>
  <c r="U81" i="9" s="1"/>
  <c r="O82" i="9"/>
  <c r="O93" i="9" s="1"/>
  <c r="U85" i="9" s="1"/>
  <c r="H8" i="40" s="1"/>
  <c r="R90" i="9"/>
  <c r="X83" i="9" s="1"/>
  <c r="V8" i="40" s="1"/>
  <c r="O119" i="20"/>
  <c r="U114" i="20" s="1"/>
  <c r="L18" i="44" s="1"/>
  <c r="M18" i="44" s="1"/>
  <c r="C18" i="44"/>
  <c r="O112" i="20"/>
  <c r="R36" i="10"/>
  <c r="R37" i="10"/>
  <c r="X31" i="10" s="1"/>
  <c r="C15" i="41"/>
  <c r="O37" i="10"/>
  <c r="O44" i="10"/>
  <c r="R39" i="7"/>
  <c r="R64" i="7"/>
  <c r="U68" i="7" s="1"/>
  <c r="O44" i="7"/>
  <c r="O37" i="7"/>
  <c r="X45" i="3" l="1"/>
  <c r="AM24" i="43"/>
  <c r="AM18" i="43"/>
  <c r="M19" i="41"/>
  <c r="H13" i="41"/>
  <c r="AM9" i="43"/>
  <c r="AM19" i="43"/>
  <c r="AM20" i="43"/>
  <c r="AM16" i="43"/>
  <c r="O94" i="23"/>
  <c r="U89" i="23" s="1"/>
  <c r="L20" i="40" s="1"/>
  <c r="O87" i="28"/>
  <c r="U83" i="28" s="1"/>
  <c r="E11" i="40" s="1"/>
  <c r="F11" i="40" s="1"/>
  <c r="O87" i="22"/>
  <c r="U83" i="22" s="1"/>
  <c r="E19" i="40" s="1"/>
  <c r="F19" i="40" s="1"/>
  <c r="AM17" i="43"/>
  <c r="R5" i="43"/>
  <c r="O94" i="29"/>
  <c r="U89" i="29" s="1"/>
  <c r="L31" i="40" s="1"/>
  <c r="O87" i="18"/>
  <c r="U83" i="18" s="1"/>
  <c r="E25" i="40" s="1"/>
  <c r="F25" i="40" s="1"/>
  <c r="O87" i="7"/>
  <c r="U83" i="7" s="1"/>
  <c r="E14" i="40" s="1"/>
  <c r="O112" i="22"/>
  <c r="U108" i="22" s="1"/>
  <c r="E19" i="44" s="1"/>
  <c r="F19" i="44" s="1"/>
  <c r="AM30" i="43"/>
  <c r="AM31" i="43"/>
  <c r="AM7" i="43"/>
  <c r="AM10" i="43"/>
  <c r="AM34" i="43"/>
  <c r="AM15" i="43"/>
  <c r="AM35" i="43"/>
  <c r="AM22" i="43"/>
  <c r="M10" i="39"/>
  <c r="AM8" i="43"/>
  <c r="AM6" i="43"/>
  <c r="AM26" i="43"/>
  <c r="AM21" i="43"/>
  <c r="AM12" i="43"/>
  <c r="AM36" i="43"/>
  <c r="R89" i="20"/>
  <c r="U93" i="20" s="1"/>
  <c r="Q18" i="40" s="1"/>
  <c r="AM25" i="43"/>
  <c r="AM27" i="43"/>
  <c r="W26" i="44"/>
  <c r="R114" i="22"/>
  <c r="U118" i="22" s="1"/>
  <c r="V32" i="44"/>
  <c r="U28" i="44"/>
  <c r="W31" i="44"/>
  <c r="W24" i="44"/>
  <c r="W11" i="44"/>
  <c r="W10" i="44"/>
  <c r="W21" i="44"/>
  <c r="U32" i="44"/>
  <c r="W15" i="44"/>
  <c r="W8" i="44"/>
  <c r="F6" i="44"/>
  <c r="W17" i="44"/>
  <c r="W25" i="44"/>
  <c r="F35" i="44"/>
  <c r="F36" i="44"/>
  <c r="F26" i="44"/>
  <c r="V28" i="44"/>
  <c r="W20" i="44"/>
  <c r="U23" i="44"/>
  <c r="W12" i="44"/>
  <c r="W16" i="44"/>
  <c r="W18" i="44"/>
  <c r="O94" i="24"/>
  <c r="U89" i="24" s="1"/>
  <c r="L26" i="40" s="1"/>
  <c r="M26" i="40" s="1"/>
  <c r="O94" i="15"/>
  <c r="U89" i="15" s="1"/>
  <c r="L17" i="40" s="1"/>
  <c r="R89" i="18"/>
  <c r="U93" i="18" s="1"/>
  <c r="Q25" i="40" s="1"/>
  <c r="R25" i="40" s="1"/>
  <c r="O94" i="10"/>
  <c r="U89" i="10" s="1"/>
  <c r="L15" i="40" s="1"/>
  <c r="M15" i="40" s="1"/>
  <c r="F9" i="40"/>
  <c r="O94" i="19"/>
  <c r="U89" i="19" s="1"/>
  <c r="L9" i="40" s="1"/>
  <c r="H13" i="40"/>
  <c r="W24" i="39"/>
  <c r="W20" i="39"/>
  <c r="W10" i="39"/>
  <c r="W26" i="39"/>
  <c r="U23" i="39"/>
  <c r="W35" i="39"/>
  <c r="W15" i="39"/>
  <c r="W19" i="39"/>
  <c r="W12" i="39"/>
  <c r="W27" i="39"/>
  <c r="W11" i="39"/>
  <c r="M14" i="39"/>
  <c r="W21" i="39"/>
  <c r="W29" i="39"/>
  <c r="W36" i="39"/>
  <c r="W17" i="39"/>
  <c r="W33" i="39"/>
  <c r="M18" i="41"/>
  <c r="R35" i="41"/>
  <c r="F22" i="41"/>
  <c r="W23" i="43"/>
  <c r="AK23" i="43" s="1"/>
  <c r="E5" i="43"/>
  <c r="F5" i="43" s="1"/>
  <c r="X21" i="21"/>
  <c r="E13" i="43"/>
  <c r="F13" i="43" s="1"/>
  <c r="O4" i="43"/>
  <c r="M4" i="43"/>
  <c r="L4" i="43"/>
  <c r="W13" i="43"/>
  <c r="T4" i="43"/>
  <c r="V4" i="43"/>
  <c r="W5" i="43"/>
  <c r="U21" i="21"/>
  <c r="Q14" i="43"/>
  <c r="X21" i="7"/>
  <c r="U21" i="7"/>
  <c r="Q28" i="43"/>
  <c r="R28" i="43" s="1"/>
  <c r="R29" i="43"/>
  <c r="AK29" i="43" s="1"/>
  <c r="E28" i="43"/>
  <c r="W14" i="43"/>
  <c r="E32" i="43"/>
  <c r="F33" i="43"/>
  <c r="AK33" i="43" s="1"/>
  <c r="AM33" i="43" s="1"/>
  <c r="F27" i="44"/>
  <c r="R89" i="28"/>
  <c r="U93" i="28" s="1"/>
  <c r="Q11" i="40" s="1"/>
  <c r="R11" i="40" s="1"/>
  <c r="F11" i="44"/>
  <c r="D4" i="40"/>
  <c r="U13" i="44"/>
  <c r="U28" i="39"/>
  <c r="W25" i="39"/>
  <c r="W35" i="44"/>
  <c r="F35" i="41"/>
  <c r="W16" i="39"/>
  <c r="R89" i="9"/>
  <c r="U93" i="9" s="1"/>
  <c r="Q8" i="40" s="1"/>
  <c r="R8" i="40" s="1"/>
  <c r="F8" i="44"/>
  <c r="U5" i="39"/>
  <c r="O87" i="8"/>
  <c r="U83" i="8" s="1"/>
  <c r="E7" i="40" s="1"/>
  <c r="F7" i="40" s="1"/>
  <c r="W7" i="44"/>
  <c r="W14" i="44"/>
  <c r="F7" i="44"/>
  <c r="F15" i="44"/>
  <c r="W29" i="44"/>
  <c r="F12" i="44"/>
  <c r="W27" i="44"/>
  <c r="O94" i="8"/>
  <c r="U89" i="8" s="1"/>
  <c r="L7" i="40" s="1"/>
  <c r="M7" i="40" s="1"/>
  <c r="R89" i="15"/>
  <c r="U93" i="15" s="1"/>
  <c r="Q17" i="40" s="1"/>
  <c r="R17" i="40" s="1"/>
  <c r="W18" i="39"/>
  <c r="W30" i="39"/>
  <c r="W7" i="39"/>
  <c r="U32" i="39"/>
  <c r="W34" i="39"/>
  <c r="W31" i="39"/>
  <c r="W8" i="39"/>
  <c r="F18" i="41"/>
  <c r="U45" i="3"/>
  <c r="U45" i="23"/>
  <c r="X45" i="23"/>
  <c r="F29" i="41"/>
  <c r="R7" i="41"/>
  <c r="U45" i="28"/>
  <c r="X45" i="28"/>
  <c r="R11" i="41"/>
  <c r="V23" i="39"/>
  <c r="U33" i="7"/>
  <c r="E14" i="41" s="1"/>
  <c r="U39" i="7"/>
  <c r="L14" i="41" s="1"/>
  <c r="M14" i="41" s="1"/>
  <c r="Q14" i="39"/>
  <c r="U43" i="7"/>
  <c r="Q14" i="41" s="1"/>
  <c r="R14" i="41" s="1"/>
  <c r="U39" i="10"/>
  <c r="L15" i="41" s="1"/>
  <c r="M15" i="41" s="1"/>
  <c r="U33" i="10"/>
  <c r="E15" i="41" s="1"/>
  <c r="F15" i="41" s="1"/>
  <c r="U41" i="10"/>
  <c r="O15" i="41" s="1"/>
  <c r="O13" i="41" s="1"/>
  <c r="D18" i="44"/>
  <c r="U108" i="20"/>
  <c r="D27" i="39"/>
  <c r="U58" i="30"/>
  <c r="J27" i="39"/>
  <c r="U64" i="30"/>
  <c r="U39" i="8"/>
  <c r="L7" i="41" s="1"/>
  <c r="M7" i="41" s="1"/>
  <c r="U43" i="20"/>
  <c r="Q18" i="41" s="1"/>
  <c r="R18" i="41" s="1"/>
  <c r="U43" i="14"/>
  <c r="Q34" i="41" s="1"/>
  <c r="R34" i="41" s="1"/>
  <c r="U43" i="11"/>
  <c r="Q16" i="41" s="1"/>
  <c r="R16" i="41" s="1"/>
  <c r="U39" i="31"/>
  <c r="L22" i="41" s="1"/>
  <c r="M22" i="41" s="1"/>
  <c r="U33" i="26"/>
  <c r="E30" i="41" s="1"/>
  <c r="F30" i="41" s="1"/>
  <c r="U43" i="9"/>
  <c r="Q8" i="41" s="1"/>
  <c r="R8" i="41" s="1"/>
  <c r="U43" i="30"/>
  <c r="Q27" i="41" s="1"/>
  <c r="R27" i="41" s="1"/>
  <c r="U39" i="26"/>
  <c r="L30" i="41" s="1"/>
  <c r="M30" i="41" s="1"/>
  <c r="U33" i="9"/>
  <c r="E8" i="41" s="1"/>
  <c r="F8" i="41" s="1"/>
  <c r="U33" i="11"/>
  <c r="E16" i="41" s="1"/>
  <c r="F16" i="41" s="1"/>
  <c r="U33" i="18"/>
  <c r="E25" i="41" s="1"/>
  <c r="U39" i="9"/>
  <c r="L8" i="41" s="1"/>
  <c r="M8" i="41" s="1"/>
  <c r="U39" i="19"/>
  <c r="L9" i="41" s="1"/>
  <c r="M9" i="41" s="1"/>
  <c r="U39" i="18"/>
  <c r="L25" i="41" s="1"/>
  <c r="M25" i="41" s="1"/>
  <c r="U33" i="8"/>
  <c r="E7" i="41" s="1"/>
  <c r="F7" i="41" s="1"/>
  <c r="U43" i="22"/>
  <c r="Q19" i="41" s="1"/>
  <c r="R19" i="41" s="1"/>
  <c r="AK19" i="41" s="1"/>
  <c r="U45" i="13"/>
  <c r="X45" i="13"/>
  <c r="U39" i="16"/>
  <c r="L35" i="41" s="1"/>
  <c r="M35" i="41" s="1"/>
  <c r="U43" i="12"/>
  <c r="Q33" i="41" s="1"/>
  <c r="R33" i="41" s="1"/>
  <c r="U39" i="15"/>
  <c r="L17" i="41" s="1"/>
  <c r="M17" i="41" s="1"/>
  <c r="U33" i="30"/>
  <c r="E27" i="41" s="1"/>
  <c r="F27" i="41" s="1"/>
  <c r="U39" i="25"/>
  <c r="L21" i="41" s="1"/>
  <c r="M21" i="41" s="1"/>
  <c r="U39" i="14"/>
  <c r="L34" i="41" s="1"/>
  <c r="M34" i="41" s="1"/>
  <c r="U43" i="26"/>
  <c r="Q30" i="41" s="1"/>
  <c r="R30" i="41" s="1"/>
  <c r="U43" i="18"/>
  <c r="Q25" i="41" s="1"/>
  <c r="R25" i="41" s="1"/>
  <c r="U39" i="29"/>
  <c r="L31" i="41" s="1"/>
  <c r="M31" i="41" s="1"/>
  <c r="U33" i="15"/>
  <c r="E17" i="41" s="1"/>
  <c r="F17" i="41" s="1"/>
  <c r="U43" i="19"/>
  <c r="Q9" i="41" s="1"/>
  <c r="R9" i="41" s="1"/>
  <c r="U33" i="25"/>
  <c r="E21" i="41" s="1"/>
  <c r="F21" i="41" s="1"/>
  <c r="U43" i="29"/>
  <c r="Q31" i="41" s="1"/>
  <c r="R31" i="41" s="1"/>
  <c r="U33" i="14"/>
  <c r="E34" i="41" s="1"/>
  <c r="F34" i="41" s="1"/>
  <c r="U39" i="30"/>
  <c r="L27" i="41" s="1"/>
  <c r="M27" i="41" s="1"/>
  <c r="U33" i="19"/>
  <c r="E9" i="41" s="1"/>
  <c r="F9" i="41" s="1"/>
  <c r="U39" i="11"/>
  <c r="L16" i="41" s="1"/>
  <c r="M16" i="41" s="1"/>
  <c r="U33" i="29"/>
  <c r="E31" i="41" s="1"/>
  <c r="F31" i="41" s="1"/>
  <c r="U43" i="32"/>
  <c r="Q12" i="41" s="1"/>
  <c r="R12" i="41" s="1"/>
  <c r="U43" i="15"/>
  <c r="Q17" i="41" s="1"/>
  <c r="R17" i="41" s="1"/>
  <c r="U43" i="25"/>
  <c r="Q21" i="41" s="1"/>
  <c r="R21" i="41" s="1"/>
  <c r="L6" i="44"/>
  <c r="R6" i="44"/>
  <c r="U5" i="44"/>
  <c r="X108" i="3"/>
  <c r="D14" i="44"/>
  <c r="U108" i="7"/>
  <c r="L13" i="44"/>
  <c r="M14" i="44"/>
  <c r="U14" i="39"/>
  <c r="U13" i="39" s="1"/>
  <c r="X58" i="7"/>
  <c r="X33" i="7"/>
  <c r="V14" i="41" s="1"/>
  <c r="W14" i="41" s="1"/>
  <c r="L6" i="39"/>
  <c r="U70" i="3"/>
  <c r="X70" i="3"/>
  <c r="Q7" i="44"/>
  <c r="X120" i="8"/>
  <c r="U120" i="8"/>
  <c r="Q5" i="39"/>
  <c r="R7" i="39"/>
  <c r="W8" i="40"/>
  <c r="Q15" i="44"/>
  <c r="X120" i="10"/>
  <c r="U120" i="10"/>
  <c r="D15" i="39"/>
  <c r="U58" i="10"/>
  <c r="J15" i="39"/>
  <c r="U64" i="10"/>
  <c r="L15" i="39" s="1"/>
  <c r="E15" i="40"/>
  <c r="F15" i="40" s="1"/>
  <c r="D16" i="44"/>
  <c r="U108" i="11"/>
  <c r="J33" i="39"/>
  <c r="U64" i="12"/>
  <c r="L33" i="39" s="1"/>
  <c r="D33" i="44"/>
  <c r="U108" i="12"/>
  <c r="R33" i="44"/>
  <c r="M33" i="44"/>
  <c r="P32" i="39"/>
  <c r="U68" i="12"/>
  <c r="Q33" i="39" s="1"/>
  <c r="D24" i="44"/>
  <c r="U108" i="13"/>
  <c r="Q23" i="39"/>
  <c r="R24" i="39"/>
  <c r="D24" i="39"/>
  <c r="U58" i="13"/>
  <c r="M24" i="44"/>
  <c r="P23" i="44"/>
  <c r="U118" i="13"/>
  <c r="Q24" i="44" s="1"/>
  <c r="R24" i="44" s="1"/>
  <c r="L34" i="40"/>
  <c r="D34" i="39"/>
  <c r="U58" i="14"/>
  <c r="D34" i="44"/>
  <c r="U108" i="14"/>
  <c r="J34" i="39"/>
  <c r="U64" i="14"/>
  <c r="L34" i="39" s="1"/>
  <c r="D17" i="44"/>
  <c r="U108" i="15"/>
  <c r="Q35" i="44"/>
  <c r="X120" i="16"/>
  <c r="U120" i="16"/>
  <c r="J35" i="39"/>
  <c r="U64" i="16"/>
  <c r="L35" i="39" s="1"/>
  <c r="D35" i="39"/>
  <c r="U58" i="16"/>
  <c r="L36" i="44"/>
  <c r="U120" i="17"/>
  <c r="X120" i="17"/>
  <c r="D36" i="39"/>
  <c r="U58" i="17"/>
  <c r="U43" i="17"/>
  <c r="Q36" i="41" s="1"/>
  <c r="R36" i="41" s="1"/>
  <c r="J25" i="39"/>
  <c r="U64" i="18"/>
  <c r="L25" i="39" s="1"/>
  <c r="D25" i="39"/>
  <c r="U58" i="18"/>
  <c r="E25" i="44"/>
  <c r="X120" i="18"/>
  <c r="U120" i="18"/>
  <c r="D9" i="44"/>
  <c r="D5" i="44" s="1"/>
  <c r="U108" i="19"/>
  <c r="D9" i="39"/>
  <c r="U58" i="19"/>
  <c r="J9" i="39"/>
  <c r="U64" i="19"/>
  <c r="L9" i="39" s="1"/>
  <c r="D18" i="39"/>
  <c r="U58" i="20"/>
  <c r="J18" i="39"/>
  <c r="U64" i="20"/>
  <c r="L18" i="39" s="1"/>
  <c r="D29" i="44"/>
  <c r="U108" i="21"/>
  <c r="U43" i="21"/>
  <c r="Q29" i="41" s="1"/>
  <c r="J29" i="39"/>
  <c r="U64" i="21"/>
  <c r="L29" i="39" s="1"/>
  <c r="Q28" i="39"/>
  <c r="R29" i="39"/>
  <c r="K28" i="44"/>
  <c r="U114" i="21"/>
  <c r="L29" i="44" s="1"/>
  <c r="D29" i="39"/>
  <c r="U58" i="21"/>
  <c r="D19" i="39"/>
  <c r="U58" i="22"/>
  <c r="J19" i="39"/>
  <c r="U64" i="22"/>
  <c r="L19" i="39" s="1"/>
  <c r="D20" i="39"/>
  <c r="U58" i="23"/>
  <c r="D20" i="44"/>
  <c r="U108" i="23"/>
  <c r="J20" i="39"/>
  <c r="U64" i="23"/>
  <c r="L20" i="39" s="1"/>
  <c r="E26" i="40"/>
  <c r="F26" i="40" s="1"/>
  <c r="L26" i="44"/>
  <c r="X120" i="24"/>
  <c r="U120" i="24"/>
  <c r="D21" i="44"/>
  <c r="U108" i="25"/>
  <c r="D21" i="39"/>
  <c r="U58" i="25"/>
  <c r="J21" i="39"/>
  <c r="U64" i="25"/>
  <c r="L21" i="39" s="1"/>
  <c r="D30" i="44"/>
  <c r="U108" i="26"/>
  <c r="P28" i="44"/>
  <c r="U118" i="26"/>
  <c r="Q30" i="44" s="1"/>
  <c r="J30" i="39"/>
  <c r="U64" i="26"/>
  <c r="L30" i="39" s="1"/>
  <c r="D30" i="39"/>
  <c r="U58" i="26"/>
  <c r="L10" i="44"/>
  <c r="M10" i="44" s="1"/>
  <c r="X120" i="27"/>
  <c r="U120" i="27"/>
  <c r="U43" i="27"/>
  <c r="Q10" i="41" s="1"/>
  <c r="R10" i="41" s="1"/>
  <c r="L11" i="40"/>
  <c r="Q11" i="44"/>
  <c r="R11" i="44" s="1"/>
  <c r="X120" i="28"/>
  <c r="U120" i="28"/>
  <c r="D31" i="44"/>
  <c r="U108" i="29"/>
  <c r="D31" i="39"/>
  <c r="U58" i="29"/>
  <c r="E27" i="40"/>
  <c r="F27" i="40" s="1"/>
  <c r="R27" i="44"/>
  <c r="D22" i="44"/>
  <c r="U108" i="31"/>
  <c r="U43" i="31"/>
  <c r="Q22" i="41" s="1"/>
  <c r="R22" i="41" s="1"/>
  <c r="D12" i="39"/>
  <c r="U58" i="32"/>
  <c r="J12" i="39"/>
  <c r="U64" i="32"/>
  <c r="L12" i="39" s="1"/>
  <c r="L12" i="44"/>
  <c r="M12" i="44" s="1"/>
  <c r="X120" i="32"/>
  <c r="U120" i="32"/>
  <c r="L8" i="44"/>
  <c r="M8" i="44" s="1"/>
  <c r="X120" i="9"/>
  <c r="U120" i="9"/>
  <c r="J7" i="39"/>
  <c r="U64" i="8"/>
  <c r="E17" i="40"/>
  <c r="F17" i="40" s="1"/>
  <c r="E18" i="40"/>
  <c r="F18" i="40" s="1"/>
  <c r="R89" i="21"/>
  <c r="U93" i="21" s="1"/>
  <c r="Q29" i="40" s="1"/>
  <c r="U91" i="21"/>
  <c r="O29" i="40" s="1"/>
  <c r="J26" i="39"/>
  <c r="U64" i="24"/>
  <c r="L26" i="39" s="1"/>
  <c r="E31" i="40"/>
  <c r="F31" i="40" s="1"/>
  <c r="E20" i="40"/>
  <c r="F20" i="40" s="1"/>
  <c r="L27" i="44"/>
  <c r="M27" i="44" s="1"/>
  <c r="U120" i="30"/>
  <c r="X120" i="30"/>
  <c r="D10" i="39"/>
  <c r="U58" i="27"/>
  <c r="O87" i="3"/>
  <c r="U83" i="3" s="1"/>
  <c r="E6" i="40" s="1"/>
  <c r="U81" i="3"/>
  <c r="W32" i="44"/>
  <c r="C28" i="43"/>
  <c r="E11" i="39"/>
  <c r="F11" i="39" s="1"/>
  <c r="X70" i="28"/>
  <c r="U70" i="28"/>
  <c r="E26" i="39"/>
  <c r="F26" i="39" s="1"/>
  <c r="F14" i="39"/>
  <c r="V23" i="44"/>
  <c r="X70" i="31"/>
  <c r="L22" i="39"/>
  <c r="M22" i="39" s="1"/>
  <c r="AK22" i="39" s="1"/>
  <c r="U70" i="31"/>
  <c r="M11" i="39"/>
  <c r="V28" i="39"/>
  <c r="E17" i="39"/>
  <c r="F17" i="39" s="1"/>
  <c r="X70" i="15"/>
  <c r="U70" i="15"/>
  <c r="W34" i="44"/>
  <c r="E33" i="39"/>
  <c r="F33" i="39" s="1"/>
  <c r="V32" i="39"/>
  <c r="E16" i="39"/>
  <c r="F16" i="39" s="1"/>
  <c r="X70" i="11"/>
  <c r="U70" i="11"/>
  <c r="M16" i="39"/>
  <c r="L8" i="39"/>
  <c r="M8" i="39" s="1"/>
  <c r="X70" i="9"/>
  <c r="U70" i="9"/>
  <c r="V13" i="44"/>
  <c r="H4" i="39"/>
  <c r="V5" i="39"/>
  <c r="I4" i="41"/>
  <c r="W25" i="40"/>
  <c r="W30" i="40"/>
  <c r="E6" i="41"/>
  <c r="F6" i="41" s="1"/>
  <c r="W10" i="40"/>
  <c r="W22" i="40"/>
  <c r="R89" i="31"/>
  <c r="U93" i="31" s="1"/>
  <c r="Q22" i="40" s="1"/>
  <c r="R89" i="27"/>
  <c r="U93" i="27" s="1"/>
  <c r="Q10" i="40" s="1"/>
  <c r="P13" i="39"/>
  <c r="R89" i="3"/>
  <c r="U93" i="3" s="1"/>
  <c r="Q6" i="40" s="1"/>
  <c r="R6" i="40" s="1"/>
  <c r="C14" i="44"/>
  <c r="C13" i="44" s="1"/>
  <c r="P28" i="39"/>
  <c r="O28" i="44"/>
  <c r="O13" i="44"/>
  <c r="R89" i="25"/>
  <c r="U93" i="25" s="1"/>
  <c r="Q21" i="40" s="1"/>
  <c r="M19" i="40"/>
  <c r="C28" i="44"/>
  <c r="H28" i="44"/>
  <c r="W18" i="40"/>
  <c r="C5" i="44"/>
  <c r="C25" i="41"/>
  <c r="D25" i="44"/>
  <c r="R39" i="10"/>
  <c r="P5" i="44"/>
  <c r="C14" i="41"/>
  <c r="I13" i="44"/>
  <c r="I4" i="44" s="1"/>
  <c r="O94" i="7"/>
  <c r="R89" i="17"/>
  <c r="U93" i="17" s="1"/>
  <c r="Q36" i="40" s="1"/>
  <c r="W35" i="40"/>
  <c r="P32" i="44"/>
  <c r="K13" i="44"/>
  <c r="C23" i="44"/>
  <c r="O23" i="44"/>
  <c r="H23" i="44"/>
  <c r="O32" i="44"/>
  <c r="C32" i="44"/>
  <c r="H13" i="44"/>
  <c r="P13" i="44"/>
  <c r="J6" i="39"/>
  <c r="H5" i="44"/>
  <c r="T5" i="44"/>
  <c r="C12" i="39"/>
  <c r="R89" i="32"/>
  <c r="U93" i="32" s="1"/>
  <c r="Q12" i="40" s="1"/>
  <c r="O94" i="32"/>
  <c r="U89" i="32" s="1"/>
  <c r="L12" i="40" s="1"/>
  <c r="W12" i="40"/>
  <c r="O87" i="32"/>
  <c r="U83" i="32" s="1"/>
  <c r="O94" i="31"/>
  <c r="U89" i="31" s="1"/>
  <c r="L22" i="40" s="1"/>
  <c r="O87" i="31"/>
  <c r="U83" i="31" s="1"/>
  <c r="R89" i="30"/>
  <c r="U93" i="30" s="1"/>
  <c r="Q27" i="40" s="1"/>
  <c r="C27" i="39"/>
  <c r="O94" i="30"/>
  <c r="U89" i="30" s="1"/>
  <c r="W27" i="40"/>
  <c r="W31" i="40"/>
  <c r="V28" i="41"/>
  <c r="W28" i="41" s="1"/>
  <c r="R89" i="29"/>
  <c r="U93" i="29" s="1"/>
  <c r="J31" i="39"/>
  <c r="C31" i="39"/>
  <c r="P5" i="39"/>
  <c r="W11" i="40"/>
  <c r="O94" i="27"/>
  <c r="U89" i="27" s="1"/>
  <c r="L10" i="40" s="1"/>
  <c r="O87" i="27"/>
  <c r="U83" i="27" s="1"/>
  <c r="O94" i="26"/>
  <c r="U89" i="26" s="1"/>
  <c r="L30" i="40" s="1"/>
  <c r="O87" i="26"/>
  <c r="U83" i="26" s="1"/>
  <c r="C30" i="39"/>
  <c r="R89" i="26"/>
  <c r="U93" i="26" s="1"/>
  <c r="Q30" i="40" s="1"/>
  <c r="O94" i="25"/>
  <c r="U89" i="25" s="1"/>
  <c r="L21" i="40" s="1"/>
  <c r="W21" i="40"/>
  <c r="O87" i="25"/>
  <c r="U83" i="25" s="1"/>
  <c r="C21" i="39"/>
  <c r="W26" i="40"/>
  <c r="R89" i="24"/>
  <c r="U93" i="24" s="1"/>
  <c r="C20" i="39"/>
  <c r="R89" i="23"/>
  <c r="U93" i="23" s="1"/>
  <c r="W20" i="40"/>
  <c r="C19" i="39"/>
  <c r="T28" i="40"/>
  <c r="W29" i="40"/>
  <c r="O94" i="21"/>
  <c r="U89" i="21" s="1"/>
  <c r="L29" i="40" s="1"/>
  <c r="C29" i="39"/>
  <c r="O28" i="39"/>
  <c r="O87" i="21"/>
  <c r="U83" i="21" s="1"/>
  <c r="M18" i="40"/>
  <c r="C18" i="39"/>
  <c r="R18" i="40"/>
  <c r="W9" i="40"/>
  <c r="R89" i="19"/>
  <c r="U93" i="19" s="1"/>
  <c r="C9" i="39"/>
  <c r="P23" i="39"/>
  <c r="C25" i="39"/>
  <c r="V23" i="41"/>
  <c r="J36" i="39"/>
  <c r="M36" i="39" s="1"/>
  <c r="O94" i="17"/>
  <c r="U89" i="17" s="1"/>
  <c r="L36" i="40" s="1"/>
  <c r="C36" i="39"/>
  <c r="O87" i="17"/>
  <c r="U83" i="17" s="1"/>
  <c r="W36" i="40"/>
  <c r="O94" i="16"/>
  <c r="U89" i="16" s="1"/>
  <c r="L35" i="40" s="1"/>
  <c r="R89" i="16"/>
  <c r="U93" i="16" s="1"/>
  <c r="Q35" i="40" s="1"/>
  <c r="O87" i="16"/>
  <c r="U83" i="16" s="1"/>
  <c r="C35" i="39"/>
  <c r="W17" i="40"/>
  <c r="C34" i="39"/>
  <c r="R89" i="14"/>
  <c r="U93" i="14" s="1"/>
  <c r="V32" i="41"/>
  <c r="V32" i="40"/>
  <c r="R89" i="13"/>
  <c r="U93" i="13" s="1"/>
  <c r="Q24" i="40" s="1"/>
  <c r="O23" i="39"/>
  <c r="T23" i="41"/>
  <c r="W23" i="41" s="1"/>
  <c r="O94" i="13"/>
  <c r="U89" i="13" s="1"/>
  <c r="L24" i="40" s="1"/>
  <c r="C24" i="39"/>
  <c r="O87" i="13"/>
  <c r="U83" i="13" s="1"/>
  <c r="J24" i="39"/>
  <c r="W24" i="40"/>
  <c r="T23" i="40"/>
  <c r="R89" i="12"/>
  <c r="U93" i="12" s="1"/>
  <c r="Q33" i="40" s="1"/>
  <c r="W33" i="40"/>
  <c r="T32" i="40"/>
  <c r="O32" i="39"/>
  <c r="T32" i="41"/>
  <c r="O94" i="12"/>
  <c r="U89" i="12" s="1"/>
  <c r="L33" i="40" s="1"/>
  <c r="O87" i="12"/>
  <c r="U83" i="12" s="1"/>
  <c r="W16" i="40"/>
  <c r="R89" i="11"/>
  <c r="U93" i="11" s="1"/>
  <c r="Q16" i="40" s="1"/>
  <c r="O87" i="11"/>
  <c r="U83" i="11" s="1"/>
  <c r="O94" i="11"/>
  <c r="U89" i="11" s="1"/>
  <c r="L16" i="40" s="1"/>
  <c r="W15" i="40"/>
  <c r="C15" i="39"/>
  <c r="R89" i="10"/>
  <c r="U93" i="10" s="1"/>
  <c r="R89" i="8"/>
  <c r="U93" i="8" s="1"/>
  <c r="W7" i="40"/>
  <c r="T6" i="40"/>
  <c r="O13" i="39"/>
  <c r="T13" i="40"/>
  <c r="R89" i="7"/>
  <c r="U93" i="7" s="1"/>
  <c r="Q14" i="40" s="1"/>
  <c r="T6" i="39"/>
  <c r="W6" i="39" s="1"/>
  <c r="R90" i="3"/>
  <c r="X83" i="3" s="1"/>
  <c r="V6" i="40" s="1"/>
  <c r="O94" i="9"/>
  <c r="U89" i="9" s="1"/>
  <c r="L8" i="40" s="1"/>
  <c r="M8" i="40" s="1"/>
  <c r="O87" i="9"/>
  <c r="U83" i="9" s="1"/>
  <c r="T15" i="41"/>
  <c r="R40" i="10"/>
  <c r="O94" i="3"/>
  <c r="U89" i="3" s="1"/>
  <c r="L6" i="40" s="1"/>
  <c r="M6" i="40" s="1"/>
  <c r="U95" i="3" l="1"/>
  <c r="AK19" i="40"/>
  <c r="U95" i="22"/>
  <c r="X95" i="22"/>
  <c r="AK11" i="44"/>
  <c r="AM29" i="43"/>
  <c r="U95" i="20"/>
  <c r="X95" i="20"/>
  <c r="X95" i="18"/>
  <c r="AK5" i="43"/>
  <c r="Q19" i="44"/>
  <c r="R19" i="44" s="1"/>
  <c r="AK19" i="44" s="1"/>
  <c r="U120" i="22"/>
  <c r="X120" i="22"/>
  <c r="F25" i="44"/>
  <c r="AK25" i="44" s="1"/>
  <c r="AM25" i="44" s="1"/>
  <c r="U4" i="44"/>
  <c r="W28" i="44"/>
  <c r="W23" i="44"/>
  <c r="D32" i="44"/>
  <c r="W13" i="44"/>
  <c r="U95" i="18"/>
  <c r="U95" i="28"/>
  <c r="X95" i="28"/>
  <c r="X95" i="15"/>
  <c r="J32" i="39"/>
  <c r="W23" i="39"/>
  <c r="W28" i="39"/>
  <c r="AK16" i="39"/>
  <c r="AM16" i="39" s="1"/>
  <c r="R28" i="39"/>
  <c r="D28" i="39"/>
  <c r="AM22" i="39"/>
  <c r="AK17" i="39"/>
  <c r="AM17" i="39" s="1"/>
  <c r="AK11" i="39"/>
  <c r="AM11" i="39" s="1"/>
  <c r="F28" i="43"/>
  <c r="AK28" i="43" s="1"/>
  <c r="W4" i="43"/>
  <c r="E4" i="43"/>
  <c r="F32" i="43"/>
  <c r="C4" i="43"/>
  <c r="Q13" i="43"/>
  <c r="R14" i="43"/>
  <c r="AK14" i="43" s="1"/>
  <c r="AM14" i="43" s="1"/>
  <c r="R29" i="40"/>
  <c r="D28" i="44"/>
  <c r="U4" i="39"/>
  <c r="U95" i="15"/>
  <c r="U70" i="12"/>
  <c r="D13" i="44"/>
  <c r="AK8" i="39"/>
  <c r="AM8" i="39" s="1"/>
  <c r="F14" i="41"/>
  <c r="AM11" i="44"/>
  <c r="Q23" i="44"/>
  <c r="R23" i="44" s="1"/>
  <c r="W32" i="39"/>
  <c r="X70" i="12"/>
  <c r="D5" i="39"/>
  <c r="J13" i="39"/>
  <c r="D13" i="39"/>
  <c r="D32" i="39"/>
  <c r="D23" i="39"/>
  <c r="L13" i="39"/>
  <c r="F25" i="41"/>
  <c r="AK25" i="41" s="1"/>
  <c r="W32" i="41"/>
  <c r="U45" i="31"/>
  <c r="X45" i="31"/>
  <c r="R23" i="39"/>
  <c r="U70" i="24"/>
  <c r="X70" i="24"/>
  <c r="M26" i="39"/>
  <c r="AK26" i="39" s="1"/>
  <c r="Q28" i="41"/>
  <c r="R29" i="41"/>
  <c r="T13" i="41"/>
  <c r="X33" i="10"/>
  <c r="V15" i="41" s="1"/>
  <c r="E8" i="40"/>
  <c r="X95" i="9"/>
  <c r="U95" i="9"/>
  <c r="Q7" i="40"/>
  <c r="X95" i="8"/>
  <c r="U95" i="8"/>
  <c r="Q15" i="40"/>
  <c r="X95" i="10"/>
  <c r="U95" i="10"/>
  <c r="E16" i="40"/>
  <c r="X95" i="11"/>
  <c r="U95" i="11"/>
  <c r="E33" i="40"/>
  <c r="U95" i="12"/>
  <c r="X95" i="12"/>
  <c r="J23" i="39"/>
  <c r="M24" i="39"/>
  <c r="E24" i="40"/>
  <c r="E23" i="40" s="1"/>
  <c r="X95" i="13"/>
  <c r="U95" i="13"/>
  <c r="Q34" i="40"/>
  <c r="R34" i="40" s="1"/>
  <c r="X95" i="14"/>
  <c r="U95" i="14"/>
  <c r="E35" i="40"/>
  <c r="X95" i="16"/>
  <c r="U95" i="16"/>
  <c r="E36" i="40"/>
  <c r="X95" i="17"/>
  <c r="U95" i="17"/>
  <c r="Q9" i="40"/>
  <c r="X95" i="19"/>
  <c r="U95" i="19"/>
  <c r="E29" i="40"/>
  <c r="X95" i="21"/>
  <c r="U95" i="21"/>
  <c r="Q20" i="40"/>
  <c r="U95" i="23"/>
  <c r="X95" i="23"/>
  <c r="Q26" i="40"/>
  <c r="X95" i="24"/>
  <c r="U95" i="24"/>
  <c r="E21" i="40"/>
  <c r="U95" i="25"/>
  <c r="X95" i="25"/>
  <c r="E30" i="40"/>
  <c r="X95" i="26"/>
  <c r="U95" i="26"/>
  <c r="E10" i="40"/>
  <c r="X95" i="27"/>
  <c r="U95" i="27"/>
  <c r="J28" i="39"/>
  <c r="M31" i="39"/>
  <c r="Q31" i="40"/>
  <c r="X95" i="29"/>
  <c r="U95" i="29"/>
  <c r="L27" i="40"/>
  <c r="U95" i="30"/>
  <c r="X95" i="30"/>
  <c r="E22" i="40"/>
  <c r="U95" i="31"/>
  <c r="X95" i="31"/>
  <c r="E12" i="40"/>
  <c r="X95" i="32"/>
  <c r="U95" i="32"/>
  <c r="J5" i="39"/>
  <c r="M6" i="39"/>
  <c r="AK6" i="39" s="1"/>
  <c r="AM6" i="39" s="1"/>
  <c r="U89" i="7"/>
  <c r="U43" i="10"/>
  <c r="Q15" i="41" s="1"/>
  <c r="R15" i="41" s="1"/>
  <c r="X95" i="3"/>
  <c r="C6" i="40"/>
  <c r="F6" i="40" s="1"/>
  <c r="E10" i="39"/>
  <c r="F10" i="39" s="1"/>
  <c r="AK10" i="39" s="1"/>
  <c r="X70" i="27"/>
  <c r="U70" i="27"/>
  <c r="L7" i="39"/>
  <c r="M7" i="39" s="1"/>
  <c r="AK7" i="39" s="1"/>
  <c r="X70" i="8"/>
  <c r="U70" i="8"/>
  <c r="M12" i="39"/>
  <c r="E12" i="39"/>
  <c r="F12" i="39" s="1"/>
  <c r="X70" i="32"/>
  <c r="U70" i="32"/>
  <c r="E22" i="44"/>
  <c r="F22" i="44" s="1"/>
  <c r="AK22" i="44" s="1"/>
  <c r="U120" i="31"/>
  <c r="X120" i="31"/>
  <c r="E31" i="39"/>
  <c r="F31" i="39" s="1"/>
  <c r="X70" i="29"/>
  <c r="U70" i="29"/>
  <c r="E31" i="44"/>
  <c r="F31" i="44" s="1"/>
  <c r="AK31" i="44" s="1"/>
  <c r="X120" i="29"/>
  <c r="U120" i="29"/>
  <c r="X45" i="27"/>
  <c r="U45" i="27"/>
  <c r="E30" i="39"/>
  <c r="F30" i="39" s="1"/>
  <c r="X70" i="26"/>
  <c r="U70" i="26"/>
  <c r="M30" i="39"/>
  <c r="R30" i="44"/>
  <c r="Q28" i="44"/>
  <c r="R28" i="44" s="1"/>
  <c r="E30" i="44"/>
  <c r="F30" i="44" s="1"/>
  <c r="X120" i="26"/>
  <c r="U120" i="26"/>
  <c r="M21" i="39"/>
  <c r="E21" i="39"/>
  <c r="F21" i="39" s="1"/>
  <c r="X70" i="25"/>
  <c r="U70" i="25"/>
  <c r="E21" i="44"/>
  <c r="F21" i="44" s="1"/>
  <c r="AK21" i="44" s="1"/>
  <c r="X120" i="25"/>
  <c r="U120" i="25"/>
  <c r="M26" i="44"/>
  <c r="L23" i="44"/>
  <c r="M23" i="44" s="1"/>
  <c r="M20" i="39"/>
  <c r="E20" i="44"/>
  <c r="F20" i="44" s="1"/>
  <c r="AK20" i="44" s="1"/>
  <c r="X120" i="23"/>
  <c r="U120" i="23"/>
  <c r="E20" i="39"/>
  <c r="F20" i="39" s="1"/>
  <c r="X70" i="23"/>
  <c r="U70" i="23"/>
  <c r="M19" i="39"/>
  <c r="E19" i="39"/>
  <c r="F19" i="39" s="1"/>
  <c r="U70" i="22"/>
  <c r="X70" i="22"/>
  <c r="E29" i="39"/>
  <c r="X70" i="21"/>
  <c r="U70" i="21"/>
  <c r="L28" i="44"/>
  <c r="M28" i="44" s="1"/>
  <c r="M29" i="44"/>
  <c r="L28" i="39"/>
  <c r="M29" i="39"/>
  <c r="X45" i="21"/>
  <c r="U45" i="21"/>
  <c r="E29" i="44"/>
  <c r="X120" i="21"/>
  <c r="U120" i="21"/>
  <c r="M18" i="39"/>
  <c r="E18" i="39"/>
  <c r="F18" i="39" s="1"/>
  <c r="X70" i="20"/>
  <c r="U70" i="20"/>
  <c r="M9" i="39"/>
  <c r="E9" i="39"/>
  <c r="X70" i="19"/>
  <c r="U70" i="19"/>
  <c r="E9" i="44"/>
  <c r="X120" i="19"/>
  <c r="U120" i="19"/>
  <c r="E25" i="39"/>
  <c r="F25" i="39" s="1"/>
  <c r="X70" i="18"/>
  <c r="U70" i="18"/>
  <c r="M25" i="39"/>
  <c r="X45" i="17"/>
  <c r="U45" i="17"/>
  <c r="E36" i="39"/>
  <c r="F36" i="39" s="1"/>
  <c r="AK36" i="39" s="1"/>
  <c r="U70" i="17"/>
  <c r="X70" i="17"/>
  <c r="M36" i="44"/>
  <c r="AK36" i="44" s="1"/>
  <c r="AM36" i="44" s="1"/>
  <c r="L32" i="44"/>
  <c r="E35" i="39"/>
  <c r="F35" i="39" s="1"/>
  <c r="X70" i="16"/>
  <c r="U70" i="16"/>
  <c r="M35" i="39"/>
  <c r="R35" i="44"/>
  <c r="AK35" i="44" s="1"/>
  <c r="AM35" i="44" s="1"/>
  <c r="Q32" i="44"/>
  <c r="R32" i="44" s="1"/>
  <c r="E17" i="44"/>
  <c r="F17" i="44" s="1"/>
  <c r="AK17" i="44" s="1"/>
  <c r="X120" i="15"/>
  <c r="U120" i="15"/>
  <c r="M34" i="39"/>
  <c r="E34" i="44"/>
  <c r="F34" i="44" s="1"/>
  <c r="AK34" i="44" s="1"/>
  <c r="X120" i="14"/>
  <c r="U120" i="14"/>
  <c r="E34" i="39"/>
  <c r="X70" i="14"/>
  <c r="U70" i="14"/>
  <c r="E24" i="39"/>
  <c r="U70" i="13"/>
  <c r="X70" i="13"/>
  <c r="E24" i="44"/>
  <c r="U120" i="13"/>
  <c r="X120" i="13"/>
  <c r="R33" i="39"/>
  <c r="Q32" i="39"/>
  <c r="R32" i="39" s="1"/>
  <c r="E33" i="44"/>
  <c r="U120" i="12"/>
  <c r="X120" i="12"/>
  <c r="L32" i="39"/>
  <c r="M32" i="39" s="1"/>
  <c r="M33" i="39"/>
  <c r="E16" i="44"/>
  <c r="F16" i="44" s="1"/>
  <c r="AK16" i="44" s="1"/>
  <c r="X120" i="11"/>
  <c r="U120" i="11"/>
  <c r="M15" i="39"/>
  <c r="E15" i="39"/>
  <c r="X70" i="10"/>
  <c r="U70" i="10"/>
  <c r="R15" i="44"/>
  <c r="AK15" i="44" s="1"/>
  <c r="AM15" i="44" s="1"/>
  <c r="R7" i="44"/>
  <c r="AK7" i="44" s="1"/>
  <c r="AM7" i="44" s="1"/>
  <c r="Q5" i="44"/>
  <c r="V14" i="39"/>
  <c r="X70" i="7"/>
  <c r="U70" i="7"/>
  <c r="M13" i="44"/>
  <c r="E14" i="44"/>
  <c r="U120" i="7"/>
  <c r="X120" i="7"/>
  <c r="V6" i="44"/>
  <c r="U120" i="3"/>
  <c r="X120" i="3"/>
  <c r="L5" i="44"/>
  <c r="M6" i="44"/>
  <c r="X45" i="32"/>
  <c r="U45" i="32"/>
  <c r="X45" i="29"/>
  <c r="U45" i="29"/>
  <c r="X45" i="19"/>
  <c r="U45" i="19"/>
  <c r="X45" i="14"/>
  <c r="U45" i="14"/>
  <c r="X45" i="25"/>
  <c r="U45" i="25"/>
  <c r="U45" i="15"/>
  <c r="X45" i="15"/>
  <c r="U45" i="30"/>
  <c r="X45" i="30"/>
  <c r="X45" i="12"/>
  <c r="U45" i="12"/>
  <c r="X45" i="16"/>
  <c r="U45" i="16"/>
  <c r="X45" i="22"/>
  <c r="AM19" i="41" s="1"/>
  <c r="U45" i="22"/>
  <c r="U45" i="8"/>
  <c r="X45" i="8"/>
  <c r="X45" i="18"/>
  <c r="U45" i="18"/>
  <c r="X45" i="11"/>
  <c r="U45" i="11"/>
  <c r="X45" i="9"/>
  <c r="U45" i="9"/>
  <c r="X45" i="26"/>
  <c r="U45" i="26"/>
  <c r="X45" i="20"/>
  <c r="U45" i="20"/>
  <c r="X70" i="30"/>
  <c r="L27" i="39"/>
  <c r="E27" i="39"/>
  <c r="F27" i="39" s="1"/>
  <c r="U70" i="30"/>
  <c r="E18" i="44"/>
  <c r="F18" i="44" s="1"/>
  <c r="AK18" i="44" s="1"/>
  <c r="X120" i="20"/>
  <c r="U120" i="20"/>
  <c r="Q13" i="39"/>
  <c r="R14" i="39"/>
  <c r="X45" i="7"/>
  <c r="U45" i="7"/>
  <c r="AK27" i="44"/>
  <c r="AM27" i="44" s="1"/>
  <c r="O5" i="39"/>
  <c r="AK26" i="44"/>
  <c r="AM26" i="44" s="1"/>
  <c r="AK8" i="44"/>
  <c r="AM8" i="44" s="1"/>
  <c r="M31" i="40"/>
  <c r="D23" i="44"/>
  <c r="R10" i="40"/>
  <c r="R22" i="40"/>
  <c r="M25" i="40"/>
  <c r="AK25" i="40" s="1"/>
  <c r="V23" i="40"/>
  <c r="W23" i="40" s="1"/>
  <c r="M9" i="40"/>
  <c r="H32" i="44"/>
  <c r="AK12" i="44"/>
  <c r="AM12" i="44" s="1"/>
  <c r="K5" i="44"/>
  <c r="R21" i="40"/>
  <c r="V28" i="40"/>
  <c r="W28" i="40" s="1"/>
  <c r="AK10" i="44"/>
  <c r="AM10" i="44" s="1"/>
  <c r="AK18" i="40"/>
  <c r="AM18" i="40" s="1"/>
  <c r="AK18" i="41"/>
  <c r="P4" i="39"/>
  <c r="R36" i="40"/>
  <c r="P4" i="44"/>
  <c r="C4" i="44"/>
  <c r="W5" i="44"/>
  <c r="T4" i="44"/>
  <c r="O5" i="44"/>
  <c r="C12" i="40"/>
  <c r="C22" i="40"/>
  <c r="E13" i="41"/>
  <c r="AK27" i="41"/>
  <c r="AK31" i="41"/>
  <c r="M11" i="40"/>
  <c r="AK11" i="40" s="1"/>
  <c r="AK11" i="41"/>
  <c r="AM11" i="41" s="1"/>
  <c r="C10" i="40"/>
  <c r="C30" i="40"/>
  <c r="C21" i="40"/>
  <c r="AK26" i="41"/>
  <c r="AM26" i="41" s="1"/>
  <c r="AK20" i="41"/>
  <c r="AM20" i="41" s="1"/>
  <c r="M20" i="40"/>
  <c r="L28" i="41"/>
  <c r="M28" i="41" s="1"/>
  <c r="C29" i="40"/>
  <c r="C28" i="39"/>
  <c r="C5" i="39"/>
  <c r="C36" i="40"/>
  <c r="C32" i="39"/>
  <c r="C35" i="40"/>
  <c r="M17" i="40"/>
  <c r="AK17" i="40" s="1"/>
  <c r="AK17" i="41"/>
  <c r="W32" i="40"/>
  <c r="W34" i="40"/>
  <c r="M34" i="40"/>
  <c r="E23" i="41"/>
  <c r="C24" i="40"/>
  <c r="C23" i="39"/>
  <c r="L23" i="41"/>
  <c r="M23" i="41" s="1"/>
  <c r="C33" i="40"/>
  <c r="L32" i="41"/>
  <c r="M32" i="41" s="1"/>
  <c r="C16" i="40"/>
  <c r="L13" i="41"/>
  <c r="M13" i="41" s="1"/>
  <c r="C13" i="39"/>
  <c r="V13" i="40"/>
  <c r="W13" i="40" s="1"/>
  <c r="C8" i="40"/>
  <c r="Q5" i="41"/>
  <c r="AK7" i="41"/>
  <c r="V5" i="41"/>
  <c r="V5" i="40"/>
  <c r="T5" i="41"/>
  <c r="F14" i="40"/>
  <c r="W14" i="40"/>
  <c r="T5" i="40"/>
  <c r="T5" i="39"/>
  <c r="W5" i="39" s="1"/>
  <c r="AM19" i="40" l="1"/>
  <c r="AM31" i="41"/>
  <c r="AM17" i="40"/>
  <c r="Q13" i="44"/>
  <c r="R13" i="44" s="1"/>
  <c r="AM25" i="40"/>
  <c r="AK20" i="39"/>
  <c r="F4" i="43"/>
  <c r="AK32" i="43"/>
  <c r="AM31" i="44"/>
  <c r="AM19" i="44"/>
  <c r="AM17" i="44"/>
  <c r="W4" i="44"/>
  <c r="AK30" i="44"/>
  <c r="AM30" i="44" s="1"/>
  <c r="AM16" i="44"/>
  <c r="AM20" i="44"/>
  <c r="AM11" i="40"/>
  <c r="AK35" i="39"/>
  <c r="AM35" i="39" s="1"/>
  <c r="AK19" i="39"/>
  <c r="AM19" i="39" s="1"/>
  <c r="AK31" i="39"/>
  <c r="AM31" i="39" s="1"/>
  <c r="AM26" i="39"/>
  <c r="AM18" i="41"/>
  <c r="U45" i="10"/>
  <c r="AM27" i="41"/>
  <c r="AM7" i="41"/>
  <c r="Q4" i="43"/>
  <c r="R13" i="43"/>
  <c r="R5" i="44"/>
  <c r="AM21" i="44"/>
  <c r="AM36" i="39"/>
  <c r="M13" i="39"/>
  <c r="D4" i="44"/>
  <c r="M32" i="44"/>
  <c r="L4" i="44"/>
  <c r="J4" i="39"/>
  <c r="M5" i="44"/>
  <c r="D4" i="39"/>
  <c r="AM7" i="39"/>
  <c r="AM20" i="39"/>
  <c r="AK33" i="39"/>
  <c r="AM33" i="39" s="1"/>
  <c r="AK18" i="39"/>
  <c r="AM18" i="39" s="1"/>
  <c r="AK21" i="39"/>
  <c r="AM21" i="39" s="1"/>
  <c r="AK12" i="39"/>
  <c r="AM12" i="39" s="1"/>
  <c r="AK25" i="39"/>
  <c r="AM25" i="39" s="1"/>
  <c r="AK30" i="39"/>
  <c r="AM30" i="39" s="1"/>
  <c r="AM25" i="41"/>
  <c r="AM17" i="41"/>
  <c r="X45" i="10"/>
  <c r="L5" i="39"/>
  <c r="M5" i="39" s="1"/>
  <c r="M28" i="39"/>
  <c r="W15" i="41"/>
  <c r="AK15" i="41" s="1"/>
  <c r="V13" i="41"/>
  <c r="V4" i="41" s="1"/>
  <c r="T4" i="41"/>
  <c r="W5" i="41"/>
  <c r="O4" i="39"/>
  <c r="R5" i="39"/>
  <c r="R13" i="39"/>
  <c r="Q4" i="39"/>
  <c r="AM18" i="44"/>
  <c r="M27" i="39"/>
  <c r="AK27" i="39" s="1"/>
  <c r="AM27" i="39" s="1"/>
  <c r="L23" i="39"/>
  <c r="M23" i="39" s="1"/>
  <c r="V5" i="44"/>
  <c r="V4" i="44" s="1"/>
  <c r="W6" i="44"/>
  <c r="AK6" i="44" s="1"/>
  <c r="AM6" i="44" s="1"/>
  <c r="E13" i="44"/>
  <c r="F13" i="44" s="1"/>
  <c r="AK13" i="44" s="1"/>
  <c r="F14" i="44"/>
  <c r="AK14" i="44" s="1"/>
  <c r="AM14" i="44" s="1"/>
  <c r="V13" i="39"/>
  <c r="W14" i="39"/>
  <c r="AK14" i="39" s="1"/>
  <c r="AM14" i="39" s="1"/>
  <c r="E13" i="39"/>
  <c r="F13" i="39" s="1"/>
  <c r="F15" i="39"/>
  <c r="AK15" i="39" s="1"/>
  <c r="AM15" i="39" s="1"/>
  <c r="E32" i="44"/>
  <c r="F32" i="44" s="1"/>
  <c r="F33" i="44"/>
  <c r="AK33" i="44" s="1"/>
  <c r="AM33" i="44" s="1"/>
  <c r="E23" i="44"/>
  <c r="F23" i="44" s="1"/>
  <c r="AK23" i="44" s="1"/>
  <c r="F24" i="44"/>
  <c r="AK24" i="44" s="1"/>
  <c r="AM24" i="44" s="1"/>
  <c r="E23" i="39"/>
  <c r="F23" i="39" s="1"/>
  <c r="F24" i="39"/>
  <c r="AK24" i="39" s="1"/>
  <c r="AM24" i="39" s="1"/>
  <c r="F34" i="39"/>
  <c r="AK34" i="39" s="1"/>
  <c r="AM34" i="39" s="1"/>
  <c r="E32" i="39"/>
  <c r="F32" i="39" s="1"/>
  <c r="AK32" i="39" s="1"/>
  <c r="AM34" i="44"/>
  <c r="F9" i="44"/>
  <c r="AK9" i="44" s="1"/>
  <c r="AM9" i="44" s="1"/>
  <c r="E5" i="44"/>
  <c r="E5" i="39"/>
  <c r="F9" i="39"/>
  <c r="AK9" i="39" s="1"/>
  <c r="AM9" i="39" s="1"/>
  <c r="E28" i="44"/>
  <c r="F28" i="44" s="1"/>
  <c r="AK28" i="44" s="1"/>
  <c r="F29" i="44"/>
  <c r="AK29" i="44" s="1"/>
  <c r="AM29" i="44" s="1"/>
  <c r="E28" i="39"/>
  <c r="F28" i="39" s="1"/>
  <c r="F29" i="39"/>
  <c r="AK29" i="39" s="1"/>
  <c r="AM29" i="39" s="1"/>
  <c r="AM22" i="44"/>
  <c r="AM10" i="39"/>
  <c r="L14" i="40"/>
  <c r="M14" i="40" s="1"/>
  <c r="X95" i="7"/>
  <c r="U95" i="7"/>
  <c r="Q5" i="40"/>
  <c r="Q28" i="40"/>
  <c r="W6" i="40"/>
  <c r="R20" i="40"/>
  <c r="AK20" i="40" s="1"/>
  <c r="AM20" i="40" s="1"/>
  <c r="R16" i="40"/>
  <c r="R35" i="40"/>
  <c r="K4" i="44"/>
  <c r="E32" i="40"/>
  <c r="H4" i="44"/>
  <c r="R27" i="40"/>
  <c r="R9" i="40"/>
  <c r="AK9" i="40" s="1"/>
  <c r="AM9" i="40" s="1"/>
  <c r="L23" i="40"/>
  <c r="M27" i="40"/>
  <c r="L28" i="40"/>
  <c r="Q13" i="40"/>
  <c r="L32" i="40"/>
  <c r="F36" i="40"/>
  <c r="M35" i="40"/>
  <c r="F21" i="40"/>
  <c r="AK34" i="40"/>
  <c r="AM34" i="40" s="1"/>
  <c r="Q32" i="40"/>
  <c r="E13" i="40"/>
  <c r="R15" i="40"/>
  <c r="AK15" i="40" s="1"/>
  <c r="AM15" i="40" s="1"/>
  <c r="F8" i="40"/>
  <c r="O4" i="44"/>
  <c r="AK34" i="41"/>
  <c r="AM34" i="41" s="1"/>
  <c r="AK10" i="41"/>
  <c r="AM10" i="41" s="1"/>
  <c r="F12" i="40"/>
  <c r="M12" i="40"/>
  <c r="AK12" i="41"/>
  <c r="AM12" i="41" s="1"/>
  <c r="R12" i="40"/>
  <c r="M22" i="40"/>
  <c r="F22" i="40"/>
  <c r="R31" i="40"/>
  <c r="AK31" i="40" s="1"/>
  <c r="AM31" i="40" s="1"/>
  <c r="F10" i="40"/>
  <c r="L5" i="40"/>
  <c r="M10" i="40"/>
  <c r="E28" i="40"/>
  <c r="O28" i="41"/>
  <c r="R28" i="41" s="1"/>
  <c r="M30" i="40"/>
  <c r="R30" i="40"/>
  <c r="O28" i="40"/>
  <c r="E28" i="41"/>
  <c r="F30" i="40"/>
  <c r="AK21" i="41"/>
  <c r="AM21" i="41" s="1"/>
  <c r="C13" i="40"/>
  <c r="M21" i="40"/>
  <c r="Q23" i="41"/>
  <c r="Q23" i="40"/>
  <c r="R26" i="40"/>
  <c r="AK26" i="40" s="1"/>
  <c r="AM26" i="40" s="1"/>
  <c r="H28" i="40"/>
  <c r="M29" i="40"/>
  <c r="C28" i="41"/>
  <c r="F29" i="40"/>
  <c r="C28" i="40"/>
  <c r="V4" i="40"/>
  <c r="AK9" i="41"/>
  <c r="AM9" i="41" s="1"/>
  <c r="M36" i="40"/>
  <c r="E32" i="41"/>
  <c r="F35" i="40"/>
  <c r="Q32" i="41"/>
  <c r="C23" i="40"/>
  <c r="F23" i="40" s="1"/>
  <c r="F24" i="40"/>
  <c r="H23" i="40"/>
  <c r="M24" i="40"/>
  <c r="C23" i="41"/>
  <c r="F23" i="41" s="1"/>
  <c r="O23" i="41"/>
  <c r="R24" i="40"/>
  <c r="O23" i="40"/>
  <c r="O32" i="40"/>
  <c r="R33" i="40"/>
  <c r="O32" i="41"/>
  <c r="C32" i="40"/>
  <c r="F33" i="40"/>
  <c r="H32" i="40"/>
  <c r="M33" i="40"/>
  <c r="C32" i="41"/>
  <c r="F16" i="40"/>
  <c r="M16" i="40"/>
  <c r="C13" i="41"/>
  <c r="F13" i="41" s="1"/>
  <c r="C4" i="39"/>
  <c r="L5" i="41"/>
  <c r="L4" i="41" s="1"/>
  <c r="AK8" i="41"/>
  <c r="AM8" i="41" s="1"/>
  <c r="O5" i="41"/>
  <c r="R5" i="41" s="1"/>
  <c r="R7" i="40"/>
  <c r="AK7" i="40" s="1"/>
  <c r="AM7" i="40" s="1"/>
  <c r="O5" i="40"/>
  <c r="H5" i="40"/>
  <c r="H5" i="41"/>
  <c r="E5" i="41"/>
  <c r="E5" i="40"/>
  <c r="AK14" i="41"/>
  <c r="AM14" i="41" s="1"/>
  <c r="Q13" i="41"/>
  <c r="R13" i="41" s="1"/>
  <c r="R14" i="40"/>
  <c r="O13" i="40"/>
  <c r="T4" i="40"/>
  <c r="W5" i="40"/>
  <c r="W4" i="40" s="1"/>
  <c r="T4" i="39"/>
  <c r="Q4" i="44" l="1"/>
  <c r="AK14" i="40"/>
  <c r="R4" i="43"/>
  <c r="AK4" i="43" s="1"/>
  <c r="AK13" i="43"/>
  <c r="L13" i="40"/>
  <c r="M13" i="40" s="1"/>
  <c r="AM14" i="40"/>
  <c r="M4" i="39"/>
  <c r="AK28" i="39"/>
  <c r="AK27" i="40"/>
  <c r="AM27" i="40" s="1"/>
  <c r="R28" i="40"/>
  <c r="R23" i="41"/>
  <c r="AK23" i="41" s="1"/>
  <c r="AK36" i="40"/>
  <c r="AM36" i="40" s="1"/>
  <c r="R32" i="41"/>
  <c r="AK32" i="44"/>
  <c r="R4" i="44"/>
  <c r="L4" i="39"/>
  <c r="R4" i="39"/>
  <c r="AK23" i="39"/>
  <c r="W13" i="41"/>
  <c r="W4" i="41" s="1"/>
  <c r="AM15" i="41"/>
  <c r="M5" i="41"/>
  <c r="M4" i="41" s="1"/>
  <c r="F32" i="41"/>
  <c r="F28" i="41"/>
  <c r="AK28" i="41" s="1"/>
  <c r="E4" i="39"/>
  <c r="F5" i="39"/>
  <c r="F4" i="39" s="1"/>
  <c r="E4" i="44"/>
  <c r="F4" i="44" s="1"/>
  <c r="F5" i="44"/>
  <c r="AK5" i="44" s="1"/>
  <c r="V4" i="39"/>
  <c r="W13" i="39"/>
  <c r="W4" i="39" s="1"/>
  <c r="R23" i="40"/>
  <c r="R5" i="40"/>
  <c r="F32" i="40"/>
  <c r="AK35" i="40"/>
  <c r="AM35" i="40" s="1"/>
  <c r="AK21" i="40"/>
  <c r="AM21" i="40" s="1"/>
  <c r="M4" i="44"/>
  <c r="M28" i="40"/>
  <c r="AK30" i="41"/>
  <c r="AM30" i="41" s="1"/>
  <c r="M23" i="40"/>
  <c r="AK23" i="40" s="1"/>
  <c r="AK12" i="40"/>
  <c r="AM12" i="40" s="1"/>
  <c r="AK10" i="40"/>
  <c r="AM10" i="40" s="1"/>
  <c r="F13" i="40"/>
  <c r="M32" i="40"/>
  <c r="E4" i="40"/>
  <c r="AK8" i="40"/>
  <c r="AM8" i="40" s="1"/>
  <c r="Q4" i="40"/>
  <c r="R32" i="40"/>
  <c r="AK16" i="40"/>
  <c r="AM16" i="40" s="1"/>
  <c r="AK22" i="41"/>
  <c r="AM22" i="41" s="1"/>
  <c r="AK16" i="41"/>
  <c r="AM16" i="41" s="1"/>
  <c r="AK29" i="41"/>
  <c r="AM29" i="41" s="1"/>
  <c r="O4" i="40"/>
  <c r="AK22" i="40"/>
  <c r="AM22" i="40" s="1"/>
  <c r="AK30" i="40"/>
  <c r="AM30" i="40" s="1"/>
  <c r="F28" i="40"/>
  <c r="AK29" i="40"/>
  <c r="AM29" i="40" s="1"/>
  <c r="Q4" i="41"/>
  <c r="E4" i="41"/>
  <c r="AK36" i="41"/>
  <c r="AM36" i="41" s="1"/>
  <c r="AK35" i="41"/>
  <c r="AM35" i="41" s="1"/>
  <c r="AK24" i="41"/>
  <c r="AM24" i="41" s="1"/>
  <c r="AK24" i="40"/>
  <c r="AM24" i="40" s="1"/>
  <c r="AK33" i="40"/>
  <c r="AM33" i="40" s="1"/>
  <c r="O4" i="41"/>
  <c r="AK33" i="41"/>
  <c r="AM33" i="41" s="1"/>
  <c r="C5" i="40"/>
  <c r="F5" i="40" s="1"/>
  <c r="AK6" i="40"/>
  <c r="AM6" i="40" s="1"/>
  <c r="H4" i="41"/>
  <c r="AK6" i="41"/>
  <c r="AM6" i="41" s="1"/>
  <c r="C5" i="41"/>
  <c r="F5" i="41" s="1"/>
  <c r="H4" i="40"/>
  <c r="M5" i="40"/>
  <c r="R13" i="40"/>
  <c r="L4" i="40" l="1"/>
  <c r="AK28" i="40"/>
  <c r="AK4" i="44"/>
  <c r="AK4" i="39"/>
  <c r="AK5" i="39"/>
  <c r="AK13" i="39"/>
  <c r="F4" i="40"/>
  <c r="AK32" i="40"/>
  <c r="M4" i="40"/>
  <c r="AK32" i="41"/>
  <c r="R4" i="41"/>
  <c r="C4" i="41"/>
  <c r="C4" i="40"/>
  <c r="AK13" i="41"/>
  <c r="R4" i="40"/>
  <c r="AK13" i="40"/>
  <c r="AK4" i="40" l="1"/>
  <c r="AK5" i="40"/>
  <c r="AK5" i="41"/>
  <c r="F4" i="41"/>
  <c r="AK4" i="41" s="1"/>
</calcChain>
</file>

<file path=xl/sharedStrings.xml><?xml version="1.0" encoding="utf-8"?>
<sst xmlns="http://schemas.openxmlformats.org/spreadsheetml/2006/main" count="10215" uniqueCount="157">
  <si>
    <t>Utilitário</t>
  </si>
  <si>
    <t>Automóveis</t>
  </si>
  <si>
    <t>Caminhonete</t>
  </si>
  <si>
    <t>Camioneta</t>
  </si>
  <si>
    <t>Caminhão</t>
  </si>
  <si>
    <t xml:space="preserve">Caminhão Trator </t>
  </si>
  <si>
    <t>Ônibus</t>
  </si>
  <si>
    <t>Micro ônibus</t>
  </si>
  <si>
    <t>Motocicleta</t>
  </si>
  <si>
    <t>Motoneta</t>
  </si>
  <si>
    <t>Total</t>
  </si>
  <si>
    <t>Flex</t>
  </si>
  <si>
    <t>Elétrico</t>
  </si>
  <si>
    <t>Gasolina</t>
  </si>
  <si>
    <t>Soma</t>
  </si>
  <si>
    <t>Álcool</t>
  </si>
  <si>
    <t>GNV</t>
  </si>
  <si>
    <t>Diesel</t>
  </si>
  <si>
    <t>Verificação</t>
  </si>
  <si>
    <t>Brasil</t>
  </si>
  <si>
    <t>Região Norte</t>
  </si>
  <si>
    <t>Acre</t>
  </si>
  <si>
    <t>Amapá</t>
  </si>
  <si>
    <t>Amazonas</t>
  </si>
  <si>
    <t>Pará</t>
  </si>
  <si>
    <t>Rondônia</t>
  </si>
  <si>
    <t>Roraima</t>
  </si>
  <si>
    <t>Tocantins</t>
  </si>
  <si>
    <t>Região Nordeste</t>
  </si>
  <si>
    <t>Alagoas</t>
  </si>
  <si>
    <t>Bahia</t>
  </si>
  <si>
    <t>Ceará</t>
  </si>
  <si>
    <t>Maranhão</t>
  </si>
  <si>
    <t>Paraíba</t>
  </si>
  <si>
    <t>Pernambuco</t>
  </si>
  <si>
    <t>Piauí</t>
  </si>
  <si>
    <t>Rio Grande do Norte</t>
  </si>
  <si>
    <t>Sergipe</t>
  </si>
  <si>
    <t>Região Sudeste</t>
  </si>
  <si>
    <t>Espírito Santo</t>
  </si>
  <si>
    <t>Minas Gerais</t>
  </si>
  <si>
    <t>Rio de Janeiro</t>
  </si>
  <si>
    <t>São Paulo</t>
  </si>
  <si>
    <t>Região Sul</t>
  </si>
  <si>
    <t>Paraná</t>
  </si>
  <si>
    <t>Rio Grande do Sul</t>
  </si>
  <si>
    <t>Santa Catarina</t>
  </si>
  <si>
    <t>Região Centro-Oeste</t>
  </si>
  <si>
    <t>Distrito Federal</t>
  </si>
  <si>
    <t>Goiás</t>
  </si>
  <si>
    <t>Mato Grosso</t>
  </si>
  <si>
    <t>Mato Grosso do Sul</t>
  </si>
  <si>
    <t>Tabela 1 - Frota por tipo de combustível</t>
  </si>
  <si>
    <t>ACRE</t>
  </si>
  <si>
    <t>ALAGOAS</t>
  </si>
  <si>
    <t>AMAPA</t>
  </si>
  <si>
    <t>AMAZONAS</t>
  </si>
  <si>
    <t>BAHIA</t>
  </si>
  <si>
    <t>CEARA</t>
  </si>
  <si>
    <t>DISTRITO FEDERAL</t>
  </si>
  <si>
    <t>ESPIRITO SANTO</t>
  </si>
  <si>
    <t>GOIAS</t>
  </si>
  <si>
    <t>MARANHAO</t>
  </si>
  <si>
    <t>MATO GROSSO</t>
  </si>
  <si>
    <t>MATO GROSSO DO SUL</t>
  </si>
  <si>
    <t>MINAS GERAIS</t>
  </si>
  <si>
    <t>PARA</t>
  </si>
  <si>
    <t>PARAIBA</t>
  </si>
  <si>
    <t>PARANA</t>
  </si>
  <si>
    <t>PERNAMBUCO</t>
  </si>
  <si>
    <t>PIAUI</t>
  </si>
  <si>
    <t>RIO DE JANEIRO</t>
  </si>
  <si>
    <t>RIO GRANDE DO NORTE</t>
  </si>
  <si>
    <t>RIO GRANDE DO SUL</t>
  </si>
  <si>
    <t>RONDONIA</t>
  </si>
  <si>
    <t>RORAIMA</t>
  </si>
  <si>
    <t>SANTA CATARINA</t>
  </si>
  <si>
    <t>SAO PAULO</t>
  </si>
  <si>
    <t>SERGIPE</t>
  </si>
  <si>
    <t>TOCANTINS</t>
  </si>
  <si>
    <t>Total Geral</t>
  </si>
  <si>
    <t>ALCOOL</t>
  </si>
  <si>
    <t>ALCOOL/GAS NATURAL COMBUSTIVEL</t>
  </si>
  <si>
    <t>ALCOOL/GAS NATURAL VEICULAR</t>
  </si>
  <si>
    <t>ALCOOL/GASOLINA</t>
  </si>
  <si>
    <t>DIESEL</t>
  </si>
  <si>
    <t>DIESEL/ELETRICO</t>
  </si>
  <si>
    <t>DIESEL/GAS NATURAL COMBUSTIVEL</t>
  </si>
  <si>
    <t>DIESEL/GAS NATURAL VEICULAR</t>
  </si>
  <si>
    <t>ELETRICO/FONTE EXTERNA</t>
  </si>
  <si>
    <t>ELETRICO/FONTE INTERNA</t>
  </si>
  <si>
    <t>ETANOL/ELETRICO</t>
  </si>
  <si>
    <t>GAS NATURAL VEICULAR</t>
  </si>
  <si>
    <t>GASOL/GAS NATURAL COMBUSTIVEL</t>
  </si>
  <si>
    <t>GASOLINA</t>
  </si>
  <si>
    <t>GASOLINA/ALCOOL/ELETRICO</t>
  </si>
  <si>
    <t>GASOLINA/ALCOOL/GAS NATURAL</t>
  </si>
  <si>
    <t>GASOLINA/ELETRICO</t>
  </si>
  <si>
    <t>GASOLINA/GAS NATURAL VEICULAR</t>
  </si>
  <si>
    <t>TOTAL GERAL</t>
  </si>
  <si>
    <t>Tabela 2 - Sintetização da Tabela 1</t>
  </si>
  <si>
    <t>ELÉTRICO</t>
  </si>
  <si>
    <t>Tabela 3 - Frota por tipo de veículo</t>
  </si>
  <si>
    <t>AUTOMOVEL</t>
  </si>
  <si>
    <t>CAMINHAO</t>
  </si>
  <si>
    <t>CAMINHAO TRATOR</t>
  </si>
  <si>
    <t>CAMINHONETE</t>
  </si>
  <si>
    <t>CAMIONETA</t>
  </si>
  <si>
    <t>MICROONIBUS</t>
  </si>
  <si>
    <t>MOTOCICLETA</t>
  </si>
  <si>
    <t>MOTONETA</t>
  </si>
  <si>
    <t>ONIBUS</t>
  </si>
  <si>
    <t>UTILITARIO</t>
  </si>
  <si>
    <t>Fator de Correção</t>
  </si>
  <si>
    <t>Tabela 4 - Compabilização da Tabela 3 pelo Fator de Correção</t>
  </si>
  <si>
    <t>Tabela 1 - Frota por tipo de 
combustível</t>
  </si>
  <si>
    <t>Grand Total</t>
  </si>
  <si>
    <t>Tabela 4 - Correção da Tabela 3 pelo Fator de Correção</t>
  </si>
  <si>
    <t>Tabela 5 - Proporção dos Combustíveis</t>
  </si>
  <si>
    <t>Tabela 7 - Veículos Elétricos</t>
  </si>
  <si>
    <t>Tabela 8 - Utilitários</t>
  </si>
  <si>
    <t>Tabela 10 - Camioneta e Caminhonetes</t>
  </si>
  <si>
    <t>Tabela 11 - Resumo</t>
  </si>
  <si>
    <t>Total de Veículos</t>
  </si>
  <si>
    <t>Automóveis + Utilitários</t>
  </si>
  <si>
    <t xml:space="preserve"> Camioneta + Caminhonetes</t>
  </si>
  <si>
    <t>Utilitário - Flex</t>
  </si>
  <si>
    <t>Camioneta - Diesel</t>
  </si>
  <si>
    <t>% Automóvel</t>
  </si>
  <si>
    <t>% Caminhonete</t>
  </si>
  <si>
    <t>Utilitário - Elétrico</t>
  </si>
  <si>
    <t>Camioneta - Elétrica</t>
  </si>
  <si>
    <t>Automóvel</t>
  </si>
  <si>
    <t>% Utilitário</t>
  </si>
  <si>
    <t>% Camioneta</t>
  </si>
  <si>
    <t>Utilitário - Gasolina</t>
  </si>
  <si>
    <t>Camioneta - Gasolina</t>
  </si>
  <si>
    <t>Utilitários - Flex</t>
  </si>
  <si>
    <t>Diesel Disponível</t>
  </si>
  <si>
    <t>Automóveis - Flex</t>
  </si>
  <si>
    <t>Caminhão - Diesel</t>
  </si>
  <si>
    <t>Tabela 6 - Quantidade real de veículos</t>
  </si>
  <si>
    <t>Caminhonete - Diesel</t>
  </si>
  <si>
    <t>Automóveis - Álcool</t>
  </si>
  <si>
    <t>Caminhão Trator - Diesel</t>
  </si>
  <si>
    <t>Utilitários - Gasolina</t>
  </si>
  <si>
    <t>Automóveis - GNV</t>
  </si>
  <si>
    <t>Automóvel - Elétrico</t>
  </si>
  <si>
    <t>Ônibus - Diesel</t>
  </si>
  <si>
    <t>Tabela 9 - Automóveis</t>
  </si>
  <si>
    <t>Caminhonete - Gasolina</t>
  </si>
  <si>
    <t>Automóveis - Gasolina</t>
  </si>
  <si>
    <t>Micro ônibus - Diesel</t>
  </si>
  <si>
    <t>Motocicleta - Gasolina</t>
  </si>
  <si>
    <t>Caminhonete - Elétrica</t>
  </si>
  <si>
    <t>Motoneta - Gasolina</t>
  </si>
  <si>
    <t>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</si>
</sst>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(* #,##0_);_(* \(#,##0\);_(* &quot;-&quot;??_);_(@_)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2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1"/>
      <color rgb="FF000000"/>
      <name val="Segoe UI"/>
      <family val="2"/>
    </font>
    <font>
      <sz val="11"/>
      <color rgb="FF00000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164" fontId="16" fillId="0" borderId="0" applyFont="0" applyFill="0" applyBorder="0" applyAlignment="0" applyProtection="0"/>
  </cellStyleXfs>
  <cellXfs count="105">
    <xf numFmtId="0" fontId="0" fillId="0" borderId="0" xfId="0"/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9" fontId="0" fillId="0" borderId="0" xfId="2" applyFont="1"/>
    <xf numFmtId="0" fontId="0" fillId="3" borderId="0" xfId="0" applyFill="1"/>
    <xf numFmtId="0" fontId="4" fillId="0" borderId="0" xfId="0" applyFont="1"/>
    <xf numFmtId="0" fontId="4" fillId="0" borderId="1" xfId="0" applyFont="1" applyBorder="1"/>
    <xf numFmtId="0" fontId="4" fillId="0" borderId="0" xfId="0" applyFont="1" applyAlignment="1">
      <alignment horizontal="left"/>
    </xf>
    <xf numFmtId="0" fontId="2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10" fillId="0" borderId="0" xfId="2" applyFont="1"/>
    <xf numFmtId="0" fontId="11" fillId="0" borderId="0" xfId="0" applyFont="1"/>
    <xf numFmtId="0" fontId="6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/>
    </xf>
    <xf numFmtId="9" fontId="0" fillId="0" borderId="0" xfId="2" applyFont="1" applyAlignment="1">
      <alignment horizontal="center"/>
    </xf>
    <xf numFmtId="9" fontId="7" fillId="0" borderId="0" xfId="2" applyFont="1" applyBorder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/>
    </xf>
    <xf numFmtId="3" fontId="2" fillId="0" borderId="3" xfId="0" applyNumberFormat="1" applyFont="1" applyBorder="1" applyAlignment="1">
      <alignment horizontal="center" vertical="center"/>
    </xf>
    <xf numFmtId="0" fontId="3" fillId="0" borderId="1" xfId="0" applyFont="1" applyBorder="1"/>
    <xf numFmtId="0" fontId="0" fillId="4" borderId="0" xfId="0" applyFill="1"/>
    <xf numFmtId="0" fontId="17" fillId="3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5" fillId="4" borderId="0" xfId="0" applyFont="1" applyFill="1"/>
    <xf numFmtId="0" fontId="15" fillId="4" borderId="0" xfId="0" applyFont="1" applyFill="1" applyAlignment="1">
      <alignment horizontal="left"/>
    </xf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20" fillId="0" borderId="0" xfId="0" applyFont="1"/>
    <xf numFmtId="0" fontId="19" fillId="0" borderId="0" xfId="0" applyFont="1" applyAlignment="1">
      <alignment horizontal="left"/>
    </xf>
    <xf numFmtId="3" fontId="7" fillId="0" borderId="0" xfId="0" applyNumberFormat="1" applyFont="1" applyAlignment="1">
      <alignment horizontal="center" vertical="center"/>
    </xf>
    <xf numFmtId="0" fontId="21" fillId="0" borderId="0" xfId="0" applyFont="1"/>
    <xf numFmtId="0" fontId="22" fillId="5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23" fillId="0" borderId="3" xfId="0" applyNumberFormat="1" applyFont="1" applyBorder="1" applyAlignment="1">
      <alignment horizontal="center" vertical="center"/>
    </xf>
    <xf numFmtId="0" fontId="23" fillId="0" borderId="0" xfId="0" applyFont="1"/>
    <xf numFmtId="165" fontId="8" fillId="0" borderId="1" xfId="1" applyNumberFormat="1" applyFont="1" applyFill="1" applyBorder="1" applyAlignment="1">
      <alignment horizontal="center" vertical="center"/>
    </xf>
    <xf numFmtId="0" fontId="24" fillId="0" borderId="0" xfId="0" applyFont="1"/>
    <xf numFmtId="165" fontId="8" fillId="2" borderId="1" xfId="1" applyNumberFormat="1" applyFont="1" applyFill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/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2" xfId="0" applyFont="1" applyBorder="1" applyAlignment="1">
      <alignment horizontal="left"/>
    </xf>
    <xf numFmtId="0" fontId="4" fillId="0" borderId="3" xfId="0" applyFont="1" applyBorder="1"/>
    <xf numFmtId="3" fontId="8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9" fontId="8" fillId="0" borderId="1" xfId="2" applyFont="1" applyBorder="1" applyAlignment="1">
      <alignment horizontal="center" vertical="center"/>
    </xf>
    <xf numFmtId="9" fontId="8" fillId="0" borderId="0" xfId="2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1" fontId="25" fillId="0" borderId="0" xfId="0" applyNumberFormat="1" applyFont="1" applyAlignment="1">
      <alignment horizontal="center" vertical="center"/>
    </xf>
    <xf numFmtId="3" fontId="25" fillId="0" borderId="1" xfId="0" applyNumberFormat="1" applyFont="1" applyBorder="1" applyAlignment="1">
      <alignment horizontal="center"/>
    </xf>
    <xf numFmtId="1" fontId="25" fillId="0" borderId="1" xfId="0" applyNumberFormat="1" applyFont="1" applyBorder="1" applyAlignment="1">
      <alignment horizontal="center"/>
    </xf>
    <xf numFmtId="9" fontId="24" fillId="3" borderId="1" xfId="2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9" fontId="25" fillId="0" borderId="0" xfId="2" applyFont="1" applyBorder="1" applyAlignment="1">
      <alignment horizontal="center" vertical="center"/>
    </xf>
    <xf numFmtId="1" fontId="25" fillId="2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9" fontId="8" fillId="3" borderId="0" xfId="2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" fontId="23" fillId="0" borderId="0" xfId="0" applyNumberFormat="1" applyFont="1"/>
    <xf numFmtId="0" fontId="25" fillId="0" borderId="0" xfId="0" applyFont="1" applyAlignment="1">
      <alignment horizontal="center"/>
    </xf>
    <xf numFmtId="9" fontId="23" fillId="0" borderId="1" xfId="2" applyFont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65" fontId="0" fillId="0" borderId="0" xfId="1" applyNumberFormat="1" applyFont="1" applyFill="1"/>
    <xf numFmtId="0" fontId="26" fillId="2" borderId="0" xfId="0" applyFont="1" applyFill="1" applyAlignment="1">
      <alignment horizontal="center"/>
    </xf>
    <xf numFmtId="165" fontId="8" fillId="3" borderId="1" xfId="1" applyNumberFormat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left"/>
    </xf>
    <xf numFmtId="0" fontId="2" fillId="2" borderId="1" xfId="0" applyFont="1" applyFill="1" applyBorder="1"/>
    <xf numFmtId="165" fontId="4" fillId="0" borderId="0" xfId="0" applyNumberFormat="1" applyFont="1"/>
    <xf numFmtId="0" fontId="2" fillId="2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</cellXfs>
  <cellStyles count="6">
    <cellStyle name="Comma" xfId="1" builtinId="3"/>
    <cellStyle name="Normal" xfId="0" builtinId="0"/>
    <cellStyle name="Normal 2" xfId="3" xr:uid="{00000000-0005-0000-0000-000001000000}"/>
    <cellStyle name="Percent" xfId="2" builtinId="5"/>
    <cellStyle name="Porcentagem 2" xfId="4" xr:uid="{00000000-0005-0000-0000-000003000000}"/>
    <cellStyle name="Vírgula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201082</xdr:colOff>
      <xdr:row>49</xdr:row>
      <xdr:rowOff>201083</xdr:rowOff>
    </xdr:from>
    <xdr:to>
      <xdr:col>8</xdr:col>
      <xdr:colOff>486833</xdr:colOff>
      <xdr:row>52</xdr:row>
      <xdr:rowOff>42333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2561165" y="9863666"/>
          <a:ext cx="5365751" cy="4445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rgbClr val="FF0000"/>
              </a:solidFill>
            </a:rPr>
            <a:t>Comparado os dados da Tabela 1 e 3, há uma pequena diferença que precisa ser corrigida pelo Fator</a:t>
          </a:r>
          <a:r>
            <a:rPr lang="pt-BR" sz="1100" baseline="0">
              <a:solidFill>
                <a:srgbClr val="FF0000"/>
              </a:solidFill>
            </a:rPr>
            <a:t> de correção ao lado</a:t>
          </a:r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48685</xdr:colOff>
      <xdr:row>26</xdr:row>
      <xdr:rowOff>82552</xdr:rowOff>
    </xdr:from>
    <xdr:to>
      <xdr:col>6</xdr:col>
      <xdr:colOff>429684</xdr:colOff>
      <xdr:row>45</xdr:row>
      <xdr:rowOff>63500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662518" y="283635"/>
          <a:ext cx="4540249" cy="3801532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 rot="10800000">
          <a:off x="8116359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 rot="10800000">
          <a:off x="8135409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0</xdr:colOff>
      <xdr:row>51</xdr:row>
      <xdr:rowOff>0</xdr:rowOff>
    </xdr:from>
    <xdr:to>
      <xdr:col>6</xdr:col>
      <xdr:colOff>380999</xdr:colOff>
      <xdr:row>69</xdr:row>
      <xdr:rowOff>182031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 txBox="1"/>
      </xdr:nvSpPr>
      <xdr:spPr>
        <a:xfrm>
          <a:off x="613833" y="5207000"/>
          <a:ext cx="4540249" cy="380153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+ Diesel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endParaRPr lang="pt-BR">
            <a:effectLst/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 rot="10800000">
          <a:off x="8177742" y="6835775"/>
          <a:ext cx="236008" cy="430741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8" name="Seta: Dobrada para Cima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/>
      </xdr:nvSpPr>
      <xdr:spPr>
        <a:xfrm rot="10800000">
          <a:off x="817774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539749</xdr:colOff>
      <xdr:row>76</xdr:row>
      <xdr:rowOff>158750</xdr:rowOff>
    </xdr:from>
    <xdr:to>
      <xdr:col>6</xdr:col>
      <xdr:colOff>306915</xdr:colOff>
      <xdr:row>95</xdr:row>
      <xdr:rowOff>129114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 txBox="1"/>
      </xdr:nvSpPr>
      <xdr:spPr>
        <a:xfrm>
          <a:off x="539749" y="10361083"/>
          <a:ext cx="4540249" cy="380153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+Diesel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0</xdr:colOff>
      <xdr:row>102</xdr:row>
      <xdr:rowOff>0</xdr:rowOff>
    </xdr:from>
    <xdr:to>
      <xdr:col>6</xdr:col>
      <xdr:colOff>380999</xdr:colOff>
      <xdr:row>120</xdr:row>
      <xdr:rowOff>182031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 txBox="1"/>
      </xdr:nvSpPr>
      <xdr:spPr>
        <a:xfrm>
          <a:off x="613833" y="15419917"/>
          <a:ext cx="4540249" cy="380153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endParaRPr lang="pt-BR" strike="sngStrike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38102</xdr:colOff>
      <xdr:row>3</xdr:row>
      <xdr:rowOff>19051</xdr:rowOff>
    </xdr:from>
    <xdr:to>
      <xdr:col>6</xdr:col>
      <xdr:colOff>419101</xdr:colOff>
      <xdr:row>22</xdr:row>
      <xdr:rowOff>42334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 txBox="1"/>
      </xdr:nvSpPr>
      <xdr:spPr>
        <a:xfrm>
          <a:off x="647702" y="619126"/>
          <a:ext cx="4524374" cy="3823758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+Diesel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1" name="Seta: Dobrada para Cima 2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/>
      </xdr:nvSpPr>
      <xdr:spPr>
        <a:xfrm rot="10800000">
          <a:off x="8116359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>
        <a:xfrm rot="10800000">
          <a:off x="8116359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/>
      </xdr:nvSpPr>
      <xdr:spPr>
        <a:xfrm rot="10800000">
          <a:off x="8272992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5" name="Seta: Dobrada para Cim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/>
      </xdr:nvSpPr>
      <xdr:spPr>
        <a:xfrm rot="10800000">
          <a:off x="8272992" y="6835775"/>
          <a:ext cx="236008" cy="430741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38102</xdr:colOff>
      <xdr:row>3</xdr:row>
      <xdr:rowOff>19051</xdr:rowOff>
    </xdr:from>
    <xdr:to>
      <xdr:col>6</xdr:col>
      <xdr:colOff>419101</xdr:colOff>
      <xdr:row>22</xdr:row>
      <xdr:rowOff>42334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 txBox="1"/>
      </xdr:nvSpPr>
      <xdr:spPr>
        <a:xfrm>
          <a:off x="647702" y="619126"/>
          <a:ext cx="4524374" cy="3823758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baseline="0">
              <a:solidFill>
                <a:sysClr val="windowText" lastClr="000000"/>
              </a:solidFill>
            </a:rPr>
            <a:t>Gasolina </a:t>
          </a:r>
          <a:endParaRPr lang="pt-BR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ysClr val="windowText" lastClr="000000"/>
              </a:solidFill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1" name="Seta: Dobrada para Cima 2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SpPr/>
      </xdr:nvSpPr>
      <xdr:spPr>
        <a:xfrm rot="10800000">
          <a:off x="8163984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582083</xdr:colOff>
      <xdr:row>102</xdr:row>
      <xdr:rowOff>31751</xdr:rowOff>
    </xdr:from>
    <xdr:to>
      <xdr:col>6</xdr:col>
      <xdr:colOff>349249</xdr:colOff>
      <xdr:row>121</xdr:row>
      <xdr:rowOff>55034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 txBox="1"/>
      </xdr:nvSpPr>
      <xdr:spPr>
        <a:xfrm>
          <a:off x="582083" y="20478751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baseline="0">
              <a:solidFill>
                <a:sysClr val="windowText" lastClr="000000"/>
              </a:solidFill>
            </a:rPr>
            <a:t>Gasolina </a:t>
          </a:r>
          <a:endParaRPr lang="pt-BR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ysClr val="windowText" lastClr="000000"/>
              </a:solidFill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99484</xdr:colOff>
      <xdr:row>76</xdr:row>
      <xdr:rowOff>141818</xdr:rowOff>
    </xdr:from>
    <xdr:to>
      <xdr:col>6</xdr:col>
      <xdr:colOff>480483</xdr:colOff>
      <xdr:row>95</xdr:row>
      <xdr:rowOff>165101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SpPr txBox="1"/>
      </xdr:nvSpPr>
      <xdr:spPr>
        <a:xfrm>
          <a:off x="713317" y="15371235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ysClr val="windowText" lastClr="000000"/>
              </a:solidFill>
            </a:rPr>
            <a:t>Gasolina </a:t>
          </a:r>
          <a:endParaRPr lang="pt-BR" strike="sng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ysClr val="windowText" lastClr="000000"/>
              </a:solidFill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124884</xdr:colOff>
      <xdr:row>51</xdr:row>
      <xdr:rowOff>61385</xdr:rowOff>
    </xdr:from>
    <xdr:to>
      <xdr:col>6</xdr:col>
      <xdr:colOff>505883</xdr:colOff>
      <xdr:row>70</xdr:row>
      <xdr:rowOff>84667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SpPr txBox="1"/>
      </xdr:nvSpPr>
      <xdr:spPr>
        <a:xfrm>
          <a:off x="738717" y="10295468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ysClr val="windowText" lastClr="000000"/>
              </a:solidFill>
            </a:rPr>
            <a:t>Gasolina </a:t>
          </a:r>
          <a:endParaRPr lang="pt-BR" strike="sng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ysClr val="windowText" lastClr="000000"/>
              </a:solidFill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76201</xdr:colOff>
      <xdr:row>26</xdr:row>
      <xdr:rowOff>76201</xdr:rowOff>
    </xdr:from>
    <xdr:to>
      <xdr:col>6</xdr:col>
      <xdr:colOff>457200</xdr:colOff>
      <xdr:row>45</xdr:row>
      <xdr:rowOff>99483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SpPr txBox="1"/>
      </xdr:nvSpPr>
      <xdr:spPr>
        <a:xfrm>
          <a:off x="690034" y="5293784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ysClr val="windowText" lastClr="000000"/>
              </a:solidFill>
            </a:rPr>
            <a:t>Gasolina </a:t>
          </a:r>
          <a:endParaRPr lang="pt-BR" strike="sng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ysClr val="windowText" lastClr="000000"/>
              </a:solidFill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/>
      </xdr:nvSpPr>
      <xdr:spPr>
        <a:xfrm rot="10800000">
          <a:off x="8259234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/>
      </xdr:nvSpPr>
      <xdr:spPr>
        <a:xfrm rot="10800000">
          <a:off x="8272992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5" name="Seta: Dobrada para Cima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/>
      </xdr:nvSpPr>
      <xdr:spPr>
        <a:xfrm rot="10800000">
          <a:off x="8272992" y="6835775"/>
          <a:ext cx="236008" cy="430741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1" name="Seta: Dobrada para Cima 2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/>
      </xdr:nvSpPr>
      <xdr:spPr>
        <a:xfrm rot="10800000">
          <a:off x="8259234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31751</xdr:colOff>
      <xdr:row>102</xdr:row>
      <xdr:rowOff>10584</xdr:rowOff>
    </xdr:from>
    <xdr:to>
      <xdr:col>6</xdr:col>
      <xdr:colOff>412750</xdr:colOff>
      <xdr:row>121</xdr:row>
      <xdr:rowOff>33867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 txBox="1"/>
      </xdr:nvSpPr>
      <xdr:spPr>
        <a:xfrm>
          <a:off x="645584" y="20457584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baseline="0">
              <a:solidFill>
                <a:sysClr val="windowText" lastClr="000000"/>
              </a:solidFill>
            </a:rPr>
            <a:t>Gasolina </a:t>
          </a:r>
          <a:endParaRPr lang="pt-BR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ysClr val="windowText" lastClr="000000"/>
              </a:solidFill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57150</xdr:colOff>
      <xdr:row>76</xdr:row>
      <xdr:rowOff>67734</xdr:rowOff>
    </xdr:from>
    <xdr:to>
      <xdr:col>6</xdr:col>
      <xdr:colOff>438149</xdr:colOff>
      <xdr:row>95</xdr:row>
      <xdr:rowOff>91017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 txBox="1"/>
      </xdr:nvSpPr>
      <xdr:spPr>
        <a:xfrm>
          <a:off x="670983" y="15297151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baseline="0">
              <a:solidFill>
                <a:sysClr val="windowText" lastClr="000000"/>
              </a:solidFill>
            </a:rPr>
            <a:t>Gasolina </a:t>
          </a:r>
          <a:endParaRPr lang="pt-BR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ysClr val="windowText" lastClr="000000"/>
              </a:solidFill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29635</xdr:colOff>
      <xdr:row>51</xdr:row>
      <xdr:rowOff>61384</xdr:rowOff>
    </xdr:from>
    <xdr:to>
      <xdr:col>6</xdr:col>
      <xdr:colOff>410634</xdr:colOff>
      <xdr:row>70</xdr:row>
      <xdr:rowOff>84666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SpPr txBox="1"/>
      </xdr:nvSpPr>
      <xdr:spPr>
        <a:xfrm>
          <a:off x="643468" y="10295467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baseline="0">
              <a:solidFill>
                <a:sysClr val="windowText" lastClr="000000"/>
              </a:solidFill>
            </a:rPr>
            <a:t>Gasolina </a:t>
          </a:r>
          <a:endParaRPr lang="pt-BR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ysClr val="windowText" lastClr="000000"/>
              </a:solidFill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2118</xdr:colOff>
      <xdr:row>26</xdr:row>
      <xdr:rowOff>171451</xdr:rowOff>
    </xdr:from>
    <xdr:to>
      <xdr:col>6</xdr:col>
      <xdr:colOff>383117</xdr:colOff>
      <xdr:row>45</xdr:row>
      <xdr:rowOff>194733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SpPr txBox="1"/>
      </xdr:nvSpPr>
      <xdr:spPr>
        <a:xfrm>
          <a:off x="615951" y="5389034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baseline="0">
              <a:solidFill>
                <a:sysClr val="windowText" lastClr="000000"/>
              </a:solidFill>
            </a:rPr>
            <a:t>Gasolina </a:t>
          </a:r>
          <a:endParaRPr lang="pt-BR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ysClr val="windowText" lastClr="000000"/>
              </a:solidFill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588435</xdr:colOff>
      <xdr:row>2</xdr:row>
      <xdr:rowOff>112184</xdr:rowOff>
    </xdr:from>
    <xdr:to>
      <xdr:col>6</xdr:col>
      <xdr:colOff>355601</xdr:colOff>
      <xdr:row>21</xdr:row>
      <xdr:rowOff>135467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SpPr txBox="1"/>
      </xdr:nvSpPr>
      <xdr:spPr>
        <a:xfrm>
          <a:off x="588435" y="514351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baseline="0">
              <a:solidFill>
                <a:sysClr val="windowText" lastClr="000000"/>
              </a:solidFill>
            </a:rPr>
            <a:t>Gasolina </a:t>
          </a:r>
          <a:endParaRPr lang="pt-BR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ysClr val="windowText" lastClr="000000"/>
              </a:solidFill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/>
      </xdr:nvSpPr>
      <xdr:spPr>
        <a:xfrm rot="10800000">
          <a:off x="8259234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/>
      </xdr:nvSpPr>
      <xdr:spPr>
        <a:xfrm rot="10800000">
          <a:off x="8272992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5" name="Seta: Dobrada para Cima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/>
      </xdr:nvSpPr>
      <xdr:spPr>
        <a:xfrm rot="10800000">
          <a:off x="8272992" y="6835775"/>
          <a:ext cx="236008" cy="430741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SpPr/>
      </xdr:nvSpPr>
      <xdr:spPr>
        <a:xfrm rot="10800000">
          <a:off x="8272992" y="6835775"/>
          <a:ext cx="236008" cy="430741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7" name="Seta: Dobrada para Cima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SpPr/>
      </xdr:nvSpPr>
      <xdr:spPr>
        <a:xfrm rot="10800000">
          <a:off x="8272992" y="6835775"/>
          <a:ext cx="236008" cy="430741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8" name="Seta: Dobrada para Cima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9" name="Seta: Dobrada para Cima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4" name="Seta: Dobrada para Cima 2">
          <a:extLst>
            <a:ext uri="{FF2B5EF4-FFF2-40B4-BE49-F238E27FC236}">
              <a16:creationId xmlns:a16="http://schemas.microsoft.com/office/drawing/2014/main" id="{00000000-0008-0000-1100-00000E000000}"/>
            </a:ext>
          </a:extLst>
        </xdr:cNvPr>
        <xdr:cNvSpPr/>
      </xdr:nvSpPr>
      <xdr:spPr>
        <a:xfrm rot="10800000">
          <a:off x="8116359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21167</xdr:colOff>
      <xdr:row>101</xdr:row>
      <xdr:rowOff>179917</xdr:rowOff>
    </xdr:from>
    <xdr:to>
      <xdr:col>6</xdr:col>
      <xdr:colOff>402166</xdr:colOff>
      <xdr:row>121</xdr:row>
      <xdr:rowOff>2117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1100-00000F000000}"/>
            </a:ext>
          </a:extLst>
        </xdr:cNvPr>
        <xdr:cNvSpPr txBox="1"/>
      </xdr:nvSpPr>
      <xdr:spPr>
        <a:xfrm>
          <a:off x="635000" y="20425834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baseline="0">
              <a:solidFill>
                <a:sysClr val="windowText" lastClr="000000"/>
              </a:solidFill>
            </a:rPr>
            <a:t>Gasolina </a:t>
          </a:r>
          <a:endParaRPr lang="pt-BR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ysClr val="windowText" lastClr="000000"/>
              </a:solidFill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35983</xdr:colOff>
      <xdr:row>76</xdr:row>
      <xdr:rowOff>131233</xdr:rowOff>
    </xdr:from>
    <xdr:to>
      <xdr:col>6</xdr:col>
      <xdr:colOff>416982</xdr:colOff>
      <xdr:row>95</xdr:row>
      <xdr:rowOff>154516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1100-000010000000}"/>
            </a:ext>
          </a:extLst>
        </xdr:cNvPr>
        <xdr:cNvSpPr txBox="1"/>
      </xdr:nvSpPr>
      <xdr:spPr>
        <a:xfrm>
          <a:off x="649816" y="15360650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baseline="0">
              <a:solidFill>
                <a:sysClr val="windowText" lastClr="000000"/>
              </a:solidFill>
            </a:rPr>
            <a:t>Gasolina </a:t>
          </a:r>
          <a:endParaRPr lang="pt-BR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ysClr val="windowText" lastClr="000000"/>
              </a:solidFill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29633</xdr:colOff>
      <xdr:row>51</xdr:row>
      <xdr:rowOff>93134</xdr:rowOff>
    </xdr:from>
    <xdr:to>
      <xdr:col>6</xdr:col>
      <xdr:colOff>410632</xdr:colOff>
      <xdr:row>70</xdr:row>
      <xdr:rowOff>116416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1100-000011000000}"/>
            </a:ext>
          </a:extLst>
        </xdr:cNvPr>
        <xdr:cNvSpPr txBox="1"/>
      </xdr:nvSpPr>
      <xdr:spPr>
        <a:xfrm>
          <a:off x="643466" y="10327217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baseline="0">
              <a:solidFill>
                <a:sysClr val="windowText" lastClr="000000"/>
              </a:solidFill>
            </a:rPr>
            <a:t>Gasolina </a:t>
          </a:r>
          <a:endParaRPr lang="pt-BR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ysClr val="windowText" lastClr="000000"/>
              </a:solidFill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2117</xdr:colOff>
      <xdr:row>26</xdr:row>
      <xdr:rowOff>12701</xdr:rowOff>
    </xdr:from>
    <xdr:to>
      <xdr:col>6</xdr:col>
      <xdr:colOff>383116</xdr:colOff>
      <xdr:row>45</xdr:row>
      <xdr:rowOff>35983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1100-000012000000}"/>
            </a:ext>
          </a:extLst>
        </xdr:cNvPr>
        <xdr:cNvSpPr txBox="1"/>
      </xdr:nvSpPr>
      <xdr:spPr>
        <a:xfrm>
          <a:off x="615950" y="5230284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baseline="0">
              <a:solidFill>
                <a:sysClr val="windowText" lastClr="000000"/>
              </a:solidFill>
            </a:rPr>
            <a:t>Gasolina </a:t>
          </a:r>
          <a:endParaRPr lang="pt-BR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ysClr val="windowText" lastClr="000000"/>
              </a:solidFill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609601</xdr:colOff>
      <xdr:row>2</xdr:row>
      <xdr:rowOff>112184</xdr:rowOff>
    </xdr:from>
    <xdr:to>
      <xdr:col>6</xdr:col>
      <xdr:colOff>376767</xdr:colOff>
      <xdr:row>21</xdr:row>
      <xdr:rowOff>135467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00000000-0008-0000-1100-000013000000}"/>
            </a:ext>
          </a:extLst>
        </xdr:cNvPr>
        <xdr:cNvSpPr txBox="1"/>
      </xdr:nvSpPr>
      <xdr:spPr>
        <a:xfrm>
          <a:off x="609601" y="514351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ysClr val="windowText" lastClr="000000"/>
              </a:solidFill>
            </a:rPr>
            <a:t>Gasolina </a:t>
          </a:r>
          <a:endParaRPr lang="pt-BR" strike="sng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ysClr val="windowText" lastClr="000000"/>
              </a:solidFill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/>
      </xdr:nvSpPr>
      <xdr:spPr>
        <a:xfrm rot="10800000">
          <a:off x="8259234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SpPr/>
      </xdr:nvSpPr>
      <xdr:spPr>
        <a:xfrm rot="10800000">
          <a:off x="8272992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5" name="Seta: Dobrada para Cima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SpPr/>
      </xdr:nvSpPr>
      <xdr:spPr>
        <a:xfrm rot="10800000">
          <a:off x="8272992" y="6835775"/>
          <a:ext cx="236008" cy="430741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1" name="Seta: Dobrada para Cima 2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SpPr/>
      </xdr:nvSpPr>
      <xdr:spPr>
        <a:xfrm rot="10800000">
          <a:off x="8259234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52916</xdr:colOff>
      <xdr:row>2</xdr:row>
      <xdr:rowOff>42332</xdr:rowOff>
    </xdr:from>
    <xdr:to>
      <xdr:col>6</xdr:col>
      <xdr:colOff>433915</xdr:colOff>
      <xdr:row>21</xdr:row>
      <xdr:rowOff>65615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SpPr txBox="1"/>
      </xdr:nvSpPr>
      <xdr:spPr>
        <a:xfrm>
          <a:off x="666749" y="444499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ysClr val="windowText" lastClr="000000"/>
              </a:solidFill>
            </a:rPr>
            <a:t>Gasolina </a:t>
          </a:r>
          <a:endParaRPr lang="pt-BR" strike="sng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ysClr val="windowText" lastClr="000000"/>
              </a:solidFill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88899</xdr:colOff>
      <xdr:row>26</xdr:row>
      <xdr:rowOff>88899</xdr:rowOff>
    </xdr:from>
    <xdr:to>
      <xdr:col>6</xdr:col>
      <xdr:colOff>469898</xdr:colOff>
      <xdr:row>45</xdr:row>
      <xdr:rowOff>112181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SpPr txBox="1"/>
      </xdr:nvSpPr>
      <xdr:spPr>
        <a:xfrm>
          <a:off x="702732" y="5306482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ysClr val="windowText" lastClr="000000"/>
              </a:solidFill>
            </a:rPr>
            <a:t> </a:t>
          </a:r>
          <a:endParaRPr lang="pt-BR" strike="sng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103716</xdr:colOff>
      <xdr:row>51</xdr:row>
      <xdr:rowOff>40216</xdr:rowOff>
    </xdr:from>
    <xdr:to>
      <xdr:col>6</xdr:col>
      <xdr:colOff>484715</xdr:colOff>
      <xdr:row>70</xdr:row>
      <xdr:rowOff>63498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1200-00000E000000}"/>
            </a:ext>
          </a:extLst>
        </xdr:cNvPr>
        <xdr:cNvSpPr txBox="1"/>
      </xdr:nvSpPr>
      <xdr:spPr>
        <a:xfrm>
          <a:off x="717549" y="10274299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ysClr val="windowText" lastClr="000000"/>
              </a:solidFill>
            </a:rPr>
            <a:t> </a:t>
          </a:r>
          <a:endParaRPr lang="pt-BR" strike="sng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150282</xdr:colOff>
      <xdr:row>76</xdr:row>
      <xdr:rowOff>55031</xdr:rowOff>
    </xdr:from>
    <xdr:to>
      <xdr:col>6</xdr:col>
      <xdr:colOff>531281</xdr:colOff>
      <xdr:row>95</xdr:row>
      <xdr:rowOff>78314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1200-00000F000000}"/>
            </a:ext>
          </a:extLst>
        </xdr:cNvPr>
        <xdr:cNvSpPr txBox="1"/>
      </xdr:nvSpPr>
      <xdr:spPr>
        <a:xfrm>
          <a:off x="764115" y="15284448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ysClr val="windowText" lastClr="000000"/>
              </a:solidFill>
            </a:rPr>
            <a:t> </a:t>
          </a:r>
          <a:endParaRPr lang="pt-BR" strike="sng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196849</xdr:colOff>
      <xdr:row>101</xdr:row>
      <xdr:rowOff>101598</xdr:rowOff>
    </xdr:from>
    <xdr:to>
      <xdr:col>6</xdr:col>
      <xdr:colOff>577848</xdr:colOff>
      <xdr:row>120</xdr:row>
      <xdr:rowOff>124881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1200-000010000000}"/>
            </a:ext>
          </a:extLst>
        </xdr:cNvPr>
        <xdr:cNvSpPr txBox="1"/>
      </xdr:nvSpPr>
      <xdr:spPr>
        <a:xfrm>
          <a:off x="810682" y="20347515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ysClr val="windowText" lastClr="000000"/>
              </a:solidFill>
            </a:rPr>
            <a:t> </a:t>
          </a:r>
          <a:endParaRPr lang="pt-BR" strike="sng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/>
      </xdr:nvSpPr>
      <xdr:spPr>
        <a:xfrm rot="10800000">
          <a:off x="8259234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5" name="Seta: Dobrada para Cima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SpPr/>
      </xdr:nvSpPr>
      <xdr:spPr>
        <a:xfrm rot="10800000">
          <a:off x="8272992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SpPr/>
      </xdr:nvSpPr>
      <xdr:spPr>
        <a:xfrm rot="10800000">
          <a:off x="8272992" y="6835775"/>
          <a:ext cx="236008" cy="430741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7" name="Seta: Dobrada para Cima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1" name="Seta: Dobrada para Cima 2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SpPr/>
      </xdr:nvSpPr>
      <xdr:spPr>
        <a:xfrm rot="10800000">
          <a:off x="8259234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63501</xdr:colOff>
      <xdr:row>102</xdr:row>
      <xdr:rowOff>74084</xdr:rowOff>
    </xdr:from>
    <xdr:to>
      <xdr:col>6</xdr:col>
      <xdr:colOff>444500</xdr:colOff>
      <xdr:row>121</xdr:row>
      <xdr:rowOff>97367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SpPr txBox="1"/>
      </xdr:nvSpPr>
      <xdr:spPr>
        <a:xfrm>
          <a:off x="677334" y="20521084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ysClr val="windowText" lastClr="000000"/>
              </a:solidFill>
            </a:rPr>
            <a:t> </a:t>
          </a:r>
          <a:endParaRPr lang="pt-BR" strike="sng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78317</xdr:colOff>
      <xdr:row>76</xdr:row>
      <xdr:rowOff>4233</xdr:rowOff>
    </xdr:from>
    <xdr:to>
      <xdr:col>6</xdr:col>
      <xdr:colOff>459316</xdr:colOff>
      <xdr:row>95</xdr:row>
      <xdr:rowOff>27516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SpPr txBox="1"/>
      </xdr:nvSpPr>
      <xdr:spPr>
        <a:xfrm>
          <a:off x="692150" y="15233650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ysClr val="windowText" lastClr="000000"/>
              </a:solidFill>
            </a:rPr>
            <a:t> </a:t>
          </a:r>
          <a:endParaRPr lang="pt-BR" strike="sng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82550</xdr:colOff>
      <xdr:row>50</xdr:row>
      <xdr:rowOff>188384</xdr:rowOff>
    </xdr:from>
    <xdr:to>
      <xdr:col>6</xdr:col>
      <xdr:colOff>463549</xdr:colOff>
      <xdr:row>70</xdr:row>
      <xdr:rowOff>21166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1300-00000E000000}"/>
            </a:ext>
          </a:extLst>
        </xdr:cNvPr>
        <xdr:cNvSpPr txBox="1"/>
      </xdr:nvSpPr>
      <xdr:spPr>
        <a:xfrm>
          <a:off x="696383" y="10231967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ysClr val="windowText" lastClr="000000"/>
              </a:solidFill>
            </a:rPr>
            <a:t> </a:t>
          </a:r>
          <a:endParaRPr lang="pt-BR" strike="sng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55033</xdr:colOff>
      <xdr:row>26</xdr:row>
      <xdr:rowOff>107952</xdr:rowOff>
    </xdr:from>
    <xdr:to>
      <xdr:col>6</xdr:col>
      <xdr:colOff>436032</xdr:colOff>
      <xdr:row>45</xdr:row>
      <xdr:rowOff>131234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1300-00000F000000}"/>
            </a:ext>
          </a:extLst>
        </xdr:cNvPr>
        <xdr:cNvSpPr txBox="1"/>
      </xdr:nvSpPr>
      <xdr:spPr>
        <a:xfrm>
          <a:off x="668866" y="5325535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ysClr val="windowText" lastClr="000000"/>
              </a:solidFill>
            </a:rPr>
            <a:t> </a:t>
          </a:r>
          <a:endParaRPr lang="pt-BR" strike="sng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59266</xdr:colOff>
      <xdr:row>1</xdr:row>
      <xdr:rowOff>165103</xdr:rowOff>
    </xdr:from>
    <xdr:to>
      <xdr:col>6</xdr:col>
      <xdr:colOff>440265</xdr:colOff>
      <xdr:row>20</xdr:row>
      <xdr:rowOff>188385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1300-000010000000}"/>
            </a:ext>
          </a:extLst>
        </xdr:cNvPr>
        <xdr:cNvSpPr txBox="1"/>
      </xdr:nvSpPr>
      <xdr:spPr>
        <a:xfrm>
          <a:off x="673099" y="366186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ysClr val="windowText" lastClr="000000"/>
              </a:solidFill>
            </a:rPr>
            <a:t> </a:t>
          </a:r>
          <a:endParaRPr lang="pt-BR" strike="sng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/>
      </xdr:nvSpPr>
      <xdr:spPr>
        <a:xfrm rot="10800000">
          <a:off x="8259234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SpPr/>
      </xdr:nvSpPr>
      <xdr:spPr>
        <a:xfrm rot="10800000">
          <a:off x="8272992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5" name="Seta: Dobrada para Cima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SpPr/>
      </xdr:nvSpPr>
      <xdr:spPr>
        <a:xfrm rot="10800000">
          <a:off x="8272992" y="6835775"/>
          <a:ext cx="236008" cy="430741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1" name="Seta: Dobrada para Cima 2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SpPr/>
      </xdr:nvSpPr>
      <xdr:spPr>
        <a:xfrm rot="10800000">
          <a:off x="8259234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</xdr:colOff>
      <xdr:row>101</xdr:row>
      <xdr:rowOff>42334</xdr:rowOff>
    </xdr:from>
    <xdr:to>
      <xdr:col>6</xdr:col>
      <xdr:colOff>381000</xdr:colOff>
      <xdr:row>120</xdr:row>
      <xdr:rowOff>65617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SpPr txBox="1"/>
      </xdr:nvSpPr>
      <xdr:spPr>
        <a:xfrm>
          <a:off x="613834" y="20288251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ysClr val="windowText" lastClr="000000"/>
              </a:solidFill>
            </a:rPr>
            <a:t> </a:t>
          </a:r>
          <a:endParaRPr lang="pt-BR" strike="sng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67735</xdr:colOff>
      <xdr:row>76</xdr:row>
      <xdr:rowOff>57151</xdr:rowOff>
    </xdr:from>
    <xdr:to>
      <xdr:col>6</xdr:col>
      <xdr:colOff>448734</xdr:colOff>
      <xdr:row>95</xdr:row>
      <xdr:rowOff>80434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1400-00000D000000}"/>
            </a:ext>
          </a:extLst>
        </xdr:cNvPr>
        <xdr:cNvSpPr txBox="1"/>
      </xdr:nvSpPr>
      <xdr:spPr>
        <a:xfrm>
          <a:off x="681568" y="15286568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ysClr val="windowText" lastClr="000000"/>
              </a:solidFill>
            </a:rPr>
            <a:t> </a:t>
          </a:r>
          <a:endParaRPr lang="pt-BR" strike="sng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19052</xdr:colOff>
      <xdr:row>51</xdr:row>
      <xdr:rowOff>29634</xdr:rowOff>
    </xdr:from>
    <xdr:to>
      <xdr:col>6</xdr:col>
      <xdr:colOff>400051</xdr:colOff>
      <xdr:row>70</xdr:row>
      <xdr:rowOff>52916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1400-00000E000000}"/>
            </a:ext>
          </a:extLst>
        </xdr:cNvPr>
        <xdr:cNvSpPr txBox="1"/>
      </xdr:nvSpPr>
      <xdr:spPr>
        <a:xfrm>
          <a:off x="632885" y="10263717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ysClr val="windowText" lastClr="000000"/>
              </a:solidFill>
            </a:rPr>
            <a:t> </a:t>
          </a:r>
          <a:endParaRPr lang="pt-BR" strike="sng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12702</xdr:colOff>
      <xdr:row>26</xdr:row>
      <xdr:rowOff>118535</xdr:rowOff>
    </xdr:from>
    <xdr:to>
      <xdr:col>6</xdr:col>
      <xdr:colOff>393701</xdr:colOff>
      <xdr:row>45</xdr:row>
      <xdr:rowOff>141817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1400-00000F000000}"/>
            </a:ext>
          </a:extLst>
        </xdr:cNvPr>
        <xdr:cNvSpPr txBox="1"/>
      </xdr:nvSpPr>
      <xdr:spPr>
        <a:xfrm>
          <a:off x="626535" y="5336118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ysClr val="windowText" lastClr="000000"/>
              </a:solidFill>
            </a:rPr>
            <a:t> </a:t>
          </a:r>
          <a:endParaRPr lang="pt-BR" strike="sng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0</xdr:col>
      <xdr:colOff>588435</xdr:colOff>
      <xdr:row>2</xdr:row>
      <xdr:rowOff>143935</xdr:rowOff>
    </xdr:from>
    <xdr:to>
      <xdr:col>6</xdr:col>
      <xdr:colOff>355601</xdr:colOff>
      <xdr:row>21</xdr:row>
      <xdr:rowOff>167218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1400-000010000000}"/>
            </a:ext>
          </a:extLst>
        </xdr:cNvPr>
        <xdr:cNvSpPr txBox="1"/>
      </xdr:nvSpPr>
      <xdr:spPr>
        <a:xfrm>
          <a:off x="588435" y="546102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ysClr val="windowText" lastClr="000000"/>
              </a:solidFill>
            </a:rPr>
            <a:t> </a:t>
          </a:r>
          <a:endParaRPr lang="pt-BR" strike="sng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SpPr/>
      </xdr:nvSpPr>
      <xdr:spPr>
        <a:xfrm rot="10800000">
          <a:off x="8259234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SpPr/>
      </xdr:nvSpPr>
      <xdr:spPr>
        <a:xfrm rot="10800000">
          <a:off x="8272992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5" name="Seta: Dobrada para Cima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SpPr/>
      </xdr:nvSpPr>
      <xdr:spPr>
        <a:xfrm rot="10800000">
          <a:off x="8272992" y="6835775"/>
          <a:ext cx="236008" cy="430741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1" name="Seta: Dobrada para Cima 2">
          <a:extLst>
            <a:ext uri="{FF2B5EF4-FFF2-40B4-BE49-F238E27FC236}">
              <a16:creationId xmlns:a16="http://schemas.microsoft.com/office/drawing/2014/main" id="{00000000-0008-0000-1500-00000B000000}"/>
            </a:ext>
          </a:extLst>
        </xdr:cNvPr>
        <xdr:cNvSpPr/>
      </xdr:nvSpPr>
      <xdr:spPr>
        <a:xfrm rot="10800000">
          <a:off x="8259234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63500</xdr:colOff>
      <xdr:row>101</xdr:row>
      <xdr:rowOff>0</xdr:rowOff>
    </xdr:from>
    <xdr:to>
      <xdr:col>6</xdr:col>
      <xdr:colOff>444499</xdr:colOff>
      <xdr:row>120</xdr:row>
      <xdr:rowOff>23283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1500-00000C000000}"/>
            </a:ext>
          </a:extLst>
        </xdr:cNvPr>
        <xdr:cNvSpPr txBox="1"/>
      </xdr:nvSpPr>
      <xdr:spPr>
        <a:xfrm>
          <a:off x="677333" y="20245917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strike="noStrike" baseline="0">
              <a:solidFill>
                <a:sysClr val="windowText" lastClr="000000"/>
              </a:solidFill>
            </a:rPr>
            <a:t> </a:t>
          </a:r>
          <a:endParaRPr lang="pt-BR" strike="no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78317</xdr:colOff>
      <xdr:row>76</xdr:row>
      <xdr:rowOff>35984</xdr:rowOff>
    </xdr:from>
    <xdr:to>
      <xdr:col>6</xdr:col>
      <xdr:colOff>459316</xdr:colOff>
      <xdr:row>95</xdr:row>
      <xdr:rowOff>59267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1500-00000D000000}"/>
            </a:ext>
          </a:extLst>
        </xdr:cNvPr>
        <xdr:cNvSpPr txBox="1"/>
      </xdr:nvSpPr>
      <xdr:spPr>
        <a:xfrm>
          <a:off x="692150" y="15265401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strike="noStrike" baseline="0">
              <a:solidFill>
                <a:sysClr val="windowText" lastClr="000000"/>
              </a:solidFill>
            </a:rPr>
            <a:t> </a:t>
          </a:r>
          <a:endParaRPr lang="pt-BR" strike="no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82550</xdr:colOff>
      <xdr:row>50</xdr:row>
      <xdr:rowOff>188385</xdr:rowOff>
    </xdr:from>
    <xdr:to>
      <xdr:col>6</xdr:col>
      <xdr:colOff>463549</xdr:colOff>
      <xdr:row>70</xdr:row>
      <xdr:rowOff>21167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1500-00000E000000}"/>
            </a:ext>
          </a:extLst>
        </xdr:cNvPr>
        <xdr:cNvSpPr txBox="1"/>
      </xdr:nvSpPr>
      <xdr:spPr>
        <a:xfrm>
          <a:off x="696383" y="10231968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strike="noStrike" baseline="0">
              <a:solidFill>
                <a:sysClr val="windowText" lastClr="000000"/>
              </a:solidFill>
            </a:rPr>
            <a:t> </a:t>
          </a:r>
          <a:endParaRPr lang="pt-BR" strike="no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76199</xdr:colOff>
      <xdr:row>26</xdr:row>
      <xdr:rowOff>139702</xdr:rowOff>
    </xdr:from>
    <xdr:to>
      <xdr:col>6</xdr:col>
      <xdr:colOff>457198</xdr:colOff>
      <xdr:row>45</xdr:row>
      <xdr:rowOff>162984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1500-00000F000000}"/>
            </a:ext>
          </a:extLst>
        </xdr:cNvPr>
        <xdr:cNvSpPr txBox="1"/>
      </xdr:nvSpPr>
      <xdr:spPr>
        <a:xfrm>
          <a:off x="690032" y="5357285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strike="noStrike" baseline="0">
              <a:solidFill>
                <a:sysClr val="windowText" lastClr="000000"/>
              </a:solidFill>
            </a:rPr>
            <a:t> </a:t>
          </a:r>
          <a:endParaRPr lang="pt-BR" strike="no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48683</xdr:colOff>
      <xdr:row>2</xdr:row>
      <xdr:rowOff>38101</xdr:rowOff>
    </xdr:from>
    <xdr:to>
      <xdr:col>6</xdr:col>
      <xdr:colOff>429682</xdr:colOff>
      <xdr:row>21</xdr:row>
      <xdr:rowOff>61384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1500-000010000000}"/>
            </a:ext>
          </a:extLst>
        </xdr:cNvPr>
        <xdr:cNvSpPr txBox="1"/>
      </xdr:nvSpPr>
      <xdr:spPr>
        <a:xfrm>
          <a:off x="662516" y="440268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strike="noStrike" baseline="0">
              <a:solidFill>
                <a:sysClr val="windowText" lastClr="000000"/>
              </a:solidFill>
            </a:rPr>
            <a:t> </a:t>
          </a:r>
          <a:endParaRPr lang="pt-BR" strike="no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SpPr/>
      </xdr:nvSpPr>
      <xdr:spPr>
        <a:xfrm rot="10800000">
          <a:off x="8259234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SpPr/>
      </xdr:nvSpPr>
      <xdr:spPr>
        <a:xfrm rot="10800000">
          <a:off x="8272992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5" name="Seta: Dobrada para Cima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SpPr/>
      </xdr:nvSpPr>
      <xdr:spPr>
        <a:xfrm rot="10800000">
          <a:off x="8272992" y="6835775"/>
          <a:ext cx="236008" cy="430741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1" name="Seta: Dobrada para Cima 2">
          <a:extLst>
            <a:ext uri="{FF2B5EF4-FFF2-40B4-BE49-F238E27FC236}">
              <a16:creationId xmlns:a16="http://schemas.microsoft.com/office/drawing/2014/main" id="{00000000-0008-0000-1600-00000B000000}"/>
            </a:ext>
          </a:extLst>
        </xdr:cNvPr>
        <xdr:cNvSpPr/>
      </xdr:nvSpPr>
      <xdr:spPr>
        <a:xfrm rot="10800000">
          <a:off x="8259234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52917</xdr:colOff>
      <xdr:row>101</xdr:row>
      <xdr:rowOff>84667</xdr:rowOff>
    </xdr:from>
    <xdr:to>
      <xdr:col>6</xdr:col>
      <xdr:colOff>433916</xdr:colOff>
      <xdr:row>120</xdr:row>
      <xdr:rowOff>107950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1600-00000C000000}"/>
            </a:ext>
          </a:extLst>
        </xdr:cNvPr>
        <xdr:cNvSpPr txBox="1"/>
      </xdr:nvSpPr>
      <xdr:spPr>
        <a:xfrm>
          <a:off x="666750" y="20330584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strike="noStrike" baseline="0">
              <a:solidFill>
                <a:sysClr val="windowText" lastClr="000000"/>
              </a:solidFill>
            </a:rPr>
            <a:t> </a:t>
          </a:r>
          <a:endParaRPr lang="pt-BR" strike="no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4234</xdr:colOff>
      <xdr:row>77</xdr:row>
      <xdr:rowOff>4234</xdr:rowOff>
    </xdr:from>
    <xdr:to>
      <xdr:col>6</xdr:col>
      <xdr:colOff>385233</xdr:colOff>
      <xdr:row>96</xdr:row>
      <xdr:rowOff>27517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1600-00000D000000}"/>
            </a:ext>
          </a:extLst>
        </xdr:cNvPr>
        <xdr:cNvSpPr txBox="1"/>
      </xdr:nvSpPr>
      <xdr:spPr>
        <a:xfrm>
          <a:off x="618067" y="15434734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strike="noStrike" baseline="0">
              <a:solidFill>
                <a:sysClr val="windowText" lastClr="000000"/>
              </a:solidFill>
            </a:rPr>
            <a:t> </a:t>
          </a:r>
          <a:endParaRPr lang="pt-BR" strike="no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0</xdr:col>
      <xdr:colOff>569384</xdr:colOff>
      <xdr:row>51</xdr:row>
      <xdr:rowOff>19052</xdr:rowOff>
    </xdr:from>
    <xdr:to>
      <xdr:col>6</xdr:col>
      <xdr:colOff>336550</xdr:colOff>
      <xdr:row>70</xdr:row>
      <xdr:rowOff>42334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1600-00000E000000}"/>
            </a:ext>
          </a:extLst>
        </xdr:cNvPr>
        <xdr:cNvSpPr txBox="1"/>
      </xdr:nvSpPr>
      <xdr:spPr>
        <a:xfrm>
          <a:off x="569384" y="10253135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strike="noStrike" baseline="0">
              <a:solidFill>
                <a:sysClr val="windowText" lastClr="000000"/>
              </a:solidFill>
            </a:rPr>
            <a:t> </a:t>
          </a:r>
          <a:endParaRPr lang="pt-BR" strike="no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0</xdr:col>
      <xdr:colOff>573617</xdr:colOff>
      <xdr:row>26</xdr:row>
      <xdr:rowOff>107952</xdr:rowOff>
    </xdr:from>
    <xdr:to>
      <xdr:col>6</xdr:col>
      <xdr:colOff>340783</xdr:colOff>
      <xdr:row>45</xdr:row>
      <xdr:rowOff>131234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1600-00000F000000}"/>
            </a:ext>
          </a:extLst>
        </xdr:cNvPr>
        <xdr:cNvSpPr txBox="1"/>
      </xdr:nvSpPr>
      <xdr:spPr>
        <a:xfrm>
          <a:off x="573617" y="5325535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strike="noStrike" baseline="0">
              <a:solidFill>
                <a:sysClr val="windowText" lastClr="000000"/>
              </a:solidFill>
            </a:rPr>
            <a:t> </a:t>
          </a:r>
          <a:endParaRPr lang="pt-BR" strike="no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0</xdr:col>
      <xdr:colOff>535517</xdr:colOff>
      <xdr:row>2</xdr:row>
      <xdr:rowOff>59268</xdr:rowOff>
    </xdr:from>
    <xdr:to>
      <xdr:col>6</xdr:col>
      <xdr:colOff>302683</xdr:colOff>
      <xdr:row>21</xdr:row>
      <xdr:rowOff>82551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1600-000010000000}"/>
            </a:ext>
          </a:extLst>
        </xdr:cNvPr>
        <xdr:cNvSpPr txBox="1"/>
      </xdr:nvSpPr>
      <xdr:spPr>
        <a:xfrm>
          <a:off x="535517" y="461435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strike="noStrike" baseline="0">
              <a:solidFill>
                <a:sysClr val="windowText" lastClr="000000"/>
              </a:solidFill>
            </a:rPr>
            <a:t> </a:t>
          </a:r>
          <a:endParaRPr lang="pt-BR" strike="no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SpPr/>
      </xdr:nvSpPr>
      <xdr:spPr>
        <a:xfrm rot="10800000">
          <a:off x="8259234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SpPr/>
      </xdr:nvSpPr>
      <xdr:spPr>
        <a:xfrm rot="10800000">
          <a:off x="8272992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5" name="Seta: Dobrada para Cima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SpPr/>
      </xdr:nvSpPr>
      <xdr:spPr>
        <a:xfrm rot="10800000">
          <a:off x="8272992" y="6835775"/>
          <a:ext cx="236008" cy="430741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1" name="Seta: Dobrada para Cima 2">
          <a:extLst>
            <a:ext uri="{FF2B5EF4-FFF2-40B4-BE49-F238E27FC236}">
              <a16:creationId xmlns:a16="http://schemas.microsoft.com/office/drawing/2014/main" id="{00000000-0008-0000-1700-00000B000000}"/>
            </a:ext>
          </a:extLst>
        </xdr:cNvPr>
        <xdr:cNvSpPr/>
      </xdr:nvSpPr>
      <xdr:spPr>
        <a:xfrm rot="10800000">
          <a:off x="8259234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63501</xdr:colOff>
      <xdr:row>101</xdr:row>
      <xdr:rowOff>127000</xdr:rowOff>
    </xdr:from>
    <xdr:to>
      <xdr:col>6</xdr:col>
      <xdr:colOff>444500</xdr:colOff>
      <xdr:row>120</xdr:row>
      <xdr:rowOff>150283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1700-00000C000000}"/>
            </a:ext>
          </a:extLst>
        </xdr:cNvPr>
        <xdr:cNvSpPr txBox="1"/>
      </xdr:nvSpPr>
      <xdr:spPr>
        <a:xfrm>
          <a:off x="677334" y="20372917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ysClr val="windowText" lastClr="000000"/>
              </a:solidFill>
            </a:rPr>
            <a:t> </a:t>
          </a:r>
          <a:endParaRPr lang="pt-BR" strike="sng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57151</xdr:colOff>
      <xdr:row>76</xdr:row>
      <xdr:rowOff>67733</xdr:rowOff>
    </xdr:from>
    <xdr:to>
      <xdr:col>6</xdr:col>
      <xdr:colOff>438150</xdr:colOff>
      <xdr:row>95</xdr:row>
      <xdr:rowOff>91016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1700-00000D000000}"/>
            </a:ext>
          </a:extLst>
        </xdr:cNvPr>
        <xdr:cNvSpPr txBox="1"/>
      </xdr:nvSpPr>
      <xdr:spPr>
        <a:xfrm>
          <a:off x="670984" y="15297150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noStrike" baseline="0">
              <a:solidFill>
                <a:sysClr val="windowText" lastClr="000000"/>
              </a:solidFill>
            </a:rPr>
            <a:t> </a:t>
          </a:r>
          <a:endParaRPr lang="pt-BR" strike="no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103718</xdr:colOff>
      <xdr:row>51</xdr:row>
      <xdr:rowOff>103717</xdr:rowOff>
    </xdr:from>
    <xdr:to>
      <xdr:col>6</xdr:col>
      <xdr:colOff>484717</xdr:colOff>
      <xdr:row>70</xdr:row>
      <xdr:rowOff>126999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1700-00000F000000}"/>
            </a:ext>
          </a:extLst>
        </xdr:cNvPr>
        <xdr:cNvSpPr txBox="1"/>
      </xdr:nvSpPr>
      <xdr:spPr>
        <a:xfrm>
          <a:off x="717551" y="10337800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noStrike" baseline="0">
              <a:solidFill>
                <a:sysClr val="windowText" lastClr="000000"/>
              </a:solidFill>
            </a:rPr>
            <a:t> </a:t>
          </a:r>
          <a:endParaRPr lang="pt-BR" strike="no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97368</xdr:colOff>
      <xdr:row>26</xdr:row>
      <xdr:rowOff>107952</xdr:rowOff>
    </xdr:from>
    <xdr:to>
      <xdr:col>6</xdr:col>
      <xdr:colOff>478367</xdr:colOff>
      <xdr:row>45</xdr:row>
      <xdr:rowOff>131234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1700-000010000000}"/>
            </a:ext>
          </a:extLst>
        </xdr:cNvPr>
        <xdr:cNvSpPr txBox="1"/>
      </xdr:nvSpPr>
      <xdr:spPr>
        <a:xfrm>
          <a:off x="711201" y="5325535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noStrike" baseline="0">
              <a:solidFill>
                <a:sysClr val="windowText" lastClr="000000"/>
              </a:solidFill>
            </a:rPr>
            <a:t> </a:t>
          </a:r>
          <a:endParaRPr lang="pt-BR" strike="no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59267</xdr:colOff>
      <xdr:row>2</xdr:row>
      <xdr:rowOff>6352</xdr:rowOff>
    </xdr:from>
    <xdr:to>
      <xdr:col>6</xdr:col>
      <xdr:colOff>440266</xdr:colOff>
      <xdr:row>21</xdr:row>
      <xdr:rowOff>29635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1700-000011000000}"/>
            </a:ext>
          </a:extLst>
        </xdr:cNvPr>
        <xdr:cNvSpPr txBox="1"/>
      </xdr:nvSpPr>
      <xdr:spPr>
        <a:xfrm>
          <a:off x="673100" y="408519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noStrike" baseline="0">
              <a:solidFill>
                <a:sysClr val="windowText" lastClr="000000"/>
              </a:solidFill>
            </a:rPr>
            <a:t> </a:t>
          </a:r>
          <a:endParaRPr lang="pt-BR" strike="no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328082</xdr:colOff>
      <xdr:row>49</xdr:row>
      <xdr:rowOff>201082</xdr:rowOff>
    </xdr:from>
    <xdr:to>
      <xdr:col>8</xdr:col>
      <xdr:colOff>613833</xdr:colOff>
      <xdr:row>52</xdr:row>
      <xdr:rowOff>42332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688165" y="9863665"/>
          <a:ext cx="5365751" cy="4445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rgbClr val="FF0000"/>
              </a:solidFill>
            </a:rPr>
            <a:t>Comparado os dados da Tabela 1 e 3, há uma pequena diferença que precisa ser corrigida pelo Fator</a:t>
          </a:r>
          <a:r>
            <a:rPr lang="pt-BR" sz="1100" baseline="0">
              <a:solidFill>
                <a:srgbClr val="FF0000"/>
              </a:solidFill>
            </a:rPr>
            <a:t> de correção ao lado</a:t>
          </a:r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SpPr/>
      </xdr:nvSpPr>
      <xdr:spPr>
        <a:xfrm rot="10800000">
          <a:off x="8259234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SpPr/>
      </xdr:nvSpPr>
      <xdr:spPr>
        <a:xfrm rot="10800000">
          <a:off x="8272992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5" name="Seta: Dobrada para Cima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SpPr/>
      </xdr:nvSpPr>
      <xdr:spPr>
        <a:xfrm rot="10800000">
          <a:off x="8272992" y="6835775"/>
          <a:ext cx="236008" cy="430741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18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1" name="Seta: Dobrada para Cima 2">
          <a:extLst>
            <a:ext uri="{FF2B5EF4-FFF2-40B4-BE49-F238E27FC236}">
              <a16:creationId xmlns:a16="http://schemas.microsoft.com/office/drawing/2014/main" id="{00000000-0008-0000-1800-00000B000000}"/>
            </a:ext>
          </a:extLst>
        </xdr:cNvPr>
        <xdr:cNvSpPr/>
      </xdr:nvSpPr>
      <xdr:spPr>
        <a:xfrm rot="10800000">
          <a:off x="8259234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84667</xdr:colOff>
      <xdr:row>101</xdr:row>
      <xdr:rowOff>84667</xdr:rowOff>
    </xdr:from>
    <xdr:to>
      <xdr:col>6</xdr:col>
      <xdr:colOff>465666</xdr:colOff>
      <xdr:row>120</xdr:row>
      <xdr:rowOff>107950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1800-00000C000000}"/>
            </a:ext>
          </a:extLst>
        </xdr:cNvPr>
        <xdr:cNvSpPr txBox="1"/>
      </xdr:nvSpPr>
      <xdr:spPr>
        <a:xfrm>
          <a:off x="698500" y="20330584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noStrike" baseline="0">
              <a:solidFill>
                <a:sysClr val="windowText" lastClr="000000"/>
              </a:solidFill>
            </a:rPr>
            <a:t> </a:t>
          </a:r>
          <a:endParaRPr lang="pt-BR" strike="no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78317</xdr:colOff>
      <xdr:row>76</xdr:row>
      <xdr:rowOff>67734</xdr:rowOff>
    </xdr:from>
    <xdr:to>
      <xdr:col>6</xdr:col>
      <xdr:colOff>459316</xdr:colOff>
      <xdr:row>95</xdr:row>
      <xdr:rowOff>91017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1800-00000D000000}"/>
            </a:ext>
          </a:extLst>
        </xdr:cNvPr>
        <xdr:cNvSpPr txBox="1"/>
      </xdr:nvSpPr>
      <xdr:spPr>
        <a:xfrm>
          <a:off x="692150" y="15297151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noStrike" baseline="0">
              <a:solidFill>
                <a:sysClr val="windowText" lastClr="000000"/>
              </a:solidFill>
            </a:rPr>
            <a:t> </a:t>
          </a:r>
          <a:endParaRPr lang="pt-BR" strike="no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82551</xdr:colOff>
      <xdr:row>51</xdr:row>
      <xdr:rowOff>19051</xdr:rowOff>
    </xdr:from>
    <xdr:to>
      <xdr:col>6</xdr:col>
      <xdr:colOff>463550</xdr:colOff>
      <xdr:row>70</xdr:row>
      <xdr:rowOff>42333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1800-00000E000000}"/>
            </a:ext>
          </a:extLst>
        </xdr:cNvPr>
        <xdr:cNvSpPr txBox="1"/>
      </xdr:nvSpPr>
      <xdr:spPr>
        <a:xfrm>
          <a:off x="696384" y="10253134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ysClr val="windowText" lastClr="000000"/>
              </a:solidFill>
            </a:rPr>
            <a:t> </a:t>
          </a:r>
          <a:endParaRPr lang="pt-BR" strike="sng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65617</xdr:colOff>
      <xdr:row>26</xdr:row>
      <xdr:rowOff>150284</xdr:rowOff>
    </xdr:from>
    <xdr:to>
      <xdr:col>6</xdr:col>
      <xdr:colOff>446616</xdr:colOff>
      <xdr:row>45</xdr:row>
      <xdr:rowOff>173566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1800-00000F000000}"/>
            </a:ext>
          </a:extLst>
        </xdr:cNvPr>
        <xdr:cNvSpPr txBox="1"/>
      </xdr:nvSpPr>
      <xdr:spPr>
        <a:xfrm>
          <a:off x="679450" y="5367867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ysClr val="windowText" lastClr="000000"/>
              </a:solidFill>
            </a:rPr>
            <a:t> </a:t>
          </a:r>
          <a:endParaRPr lang="pt-BR" strike="sng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48685</xdr:colOff>
      <xdr:row>2</xdr:row>
      <xdr:rowOff>80434</xdr:rowOff>
    </xdr:from>
    <xdr:to>
      <xdr:col>6</xdr:col>
      <xdr:colOff>429684</xdr:colOff>
      <xdr:row>21</xdr:row>
      <xdr:rowOff>103717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1800-000010000000}"/>
            </a:ext>
          </a:extLst>
        </xdr:cNvPr>
        <xdr:cNvSpPr txBox="1"/>
      </xdr:nvSpPr>
      <xdr:spPr>
        <a:xfrm>
          <a:off x="662518" y="482601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ysClr val="windowText" lastClr="000000"/>
              </a:solidFill>
            </a:rPr>
            <a:t> </a:t>
          </a:r>
          <a:endParaRPr lang="pt-BR" strike="sngStrike" baseline="0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SpPr/>
      </xdr:nvSpPr>
      <xdr:spPr>
        <a:xfrm rot="10800000">
          <a:off x="8259234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SpPr/>
      </xdr:nvSpPr>
      <xdr:spPr>
        <a:xfrm rot="10800000">
          <a:off x="8272992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5" name="Seta: Dobrada para Cima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SpPr/>
      </xdr:nvSpPr>
      <xdr:spPr>
        <a:xfrm rot="10800000">
          <a:off x="8272992" y="6835775"/>
          <a:ext cx="236008" cy="430741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1" name="Seta: Dobrada para Cima 2">
          <a:extLst>
            <a:ext uri="{FF2B5EF4-FFF2-40B4-BE49-F238E27FC236}">
              <a16:creationId xmlns:a16="http://schemas.microsoft.com/office/drawing/2014/main" id="{00000000-0008-0000-1900-00000B000000}"/>
            </a:ext>
          </a:extLst>
        </xdr:cNvPr>
        <xdr:cNvSpPr/>
      </xdr:nvSpPr>
      <xdr:spPr>
        <a:xfrm rot="10800000">
          <a:off x="8259234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21167</xdr:colOff>
      <xdr:row>101</xdr:row>
      <xdr:rowOff>137584</xdr:rowOff>
    </xdr:from>
    <xdr:to>
      <xdr:col>6</xdr:col>
      <xdr:colOff>402166</xdr:colOff>
      <xdr:row>120</xdr:row>
      <xdr:rowOff>160867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1900-00000C000000}"/>
            </a:ext>
          </a:extLst>
        </xdr:cNvPr>
        <xdr:cNvSpPr txBox="1"/>
      </xdr:nvSpPr>
      <xdr:spPr>
        <a:xfrm>
          <a:off x="635000" y="20383501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noStrike" baseline="0">
              <a:solidFill>
                <a:sysClr val="windowText" lastClr="000000"/>
              </a:solidFill>
            </a:rPr>
            <a:t> </a:t>
          </a:r>
          <a:endParaRPr lang="pt-BR" strike="no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14817</xdr:colOff>
      <xdr:row>76</xdr:row>
      <xdr:rowOff>120650</xdr:rowOff>
    </xdr:from>
    <xdr:to>
      <xdr:col>6</xdr:col>
      <xdr:colOff>395816</xdr:colOff>
      <xdr:row>95</xdr:row>
      <xdr:rowOff>143933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1900-00000D000000}"/>
            </a:ext>
          </a:extLst>
        </xdr:cNvPr>
        <xdr:cNvSpPr txBox="1"/>
      </xdr:nvSpPr>
      <xdr:spPr>
        <a:xfrm>
          <a:off x="628650" y="15350067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noStrike" baseline="0">
              <a:solidFill>
                <a:sysClr val="windowText" lastClr="000000"/>
              </a:solidFill>
            </a:rPr>
            <a:t> </a:t>
          </a:r>
          <a:endParaRPr lang="pt-BR" strike="no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8467</xdr:colOff>
      <xdr:row>51</xdr:row>
      <xdr:rowOff>19051</xdr:rowOff>
    </xdr:from>
    <xdr:to>
      <xdr:col>6</xdr:col>
      <xdr:colOff>389466</xdr:colOff>
      <xdr:row>70</xdr:row>
      <xdr:rowOff>42333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1900-00000E000000}"/>
            </a:ext>
          </a:extLst>
        </xdr:cNvPr>
        <xdr:cNvSpPr txBox="1"/>
      </xdr:nvSpPr>
      <xdr:spPr>
        <a:xfrm>
          <a:off x="622300" y="10253134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noStrike" baseline="0">
              <a:solidFill>
                <a:sysClr val="windowText" lastClr="000000"/>
              </a:solidFill>
            </a:rPr>
            <a:t> </a:t>
          </a:r>
          <a:endParaRPr lang="pt-BR" strike="no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2117</xdr:colOff>
      <xdr:row>26</xdr:row>
      <xdr:rowOff>86784</xdr:rowOff>
    </xdr:from>
    <xdr:to>
      <xdr:col>6</xdr:col>
      <xdr:colOff>383116</xdr:colOff>
      <xdr:row>45</xdr:row>
      <xdr:rowOff>110066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1900-00000F000000}"/>
            </a:ext>
          </a:extLst>
        </xdr:cNvPr>
        <xdr:cNvSpPr txBox="1"/>
      </xdr:nvSpPr>
      <xdr:spPr>
        <a:xfrm>
          <a:off x="615950" y="5304367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noStrike" baseline="0">
              <a:solidFill>
                <a:sysClr val="windowText" lastClr="000000"/>
              </a:solidFill>
            </a:rPr>
            <a:t> </a:t>
          </a:r>
          <a:endParaRPr lang="pt-BR" strike="no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0</xdr:col>
      <xdr:colOff>577849</xdr:colOff>
      <xdr:row>2</xdr:row>
      <xdr:rowOff>101600</xdr:rowOff>
    </xdr:from>
    <xdr:to>
      <xdr:col>6</xdr:col>
      <xdr:colOff>345015</xdr:colOff>
      <xdr:row>21</xdr:row>
      <xdr:rowOff>124883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1900-000010000000}"/>
            </a:ext>
          </a:extLst>
        </xdr:cNvPr>
        <xdr:cNvSpPr txBox="1"/>
      </xdr:nvSpPr>
      <xdr:spPr>
        <a:xfrm>
          <a:off x="577849" y="503767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noStrike" baseline="0">
              <a:solidFill>
                <a:sysClr val="windowText" lastClr="000000"/>
              </a:solidFill>
            </a:rPr>
            <a:t> </a:t>
          </a:r>
          <a:endParaRPr lang="pt-BR" strike="no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SpPr/>
      </xdr:nvSpPr>
      <xdr:spPr>
        <a:xfrm rot="10800000">
          <a:off x="8259234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SpPr/>
      </xdr:nvSpPr>
      <xdr:spPr>
        <a:xfrm rot="10800000">
          <a:off x="8272992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5" name="Seta: Dobrada para Cima 4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SpPr/>
      </xdr:nvSpPr>
      <xdr:spPr>
        <a:xfrm rot="10800000">
          <a:off x="8272992" y="6835775"/>
          <a:ext cx="236008" cy="430741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9" name="Seta: Dobrada para Cima 8">
          <a:extLst>
            <a:ext uri="{FF2B5EF4-FFF2-40B4-BE49-F238E27FC236}">
              <a16:creationId xmlns:a16="http://schemas.microsoft.com/office/drawing/2014/main" id="{00000000-0008-0000-1A00-000009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1" name="Seta: Dobrada para Cima 2">
          <a:extLst>
            <a:ext uri="{FF2B5EF4-FFF2-40B4-BE49-F238E27FC236}">
              <a16:creationId xmlns:a16="http://schemas.microsoft.com/office/drawing/2014/main" id="{00000000-0008-0000-1A00-00000B000000}"/>
            </a:ext>
          </a:extLst>
        </xdr:cNvPr>
        <xdr:cNvSpPr/>
      </xdr:nvSpPr>
      <xdr:spPr>
        <a:xfrm rot="10800000">
          <a:off x="8259234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42334</xdr:colOff>
      <xdr:row>101</xdr:row>
      <xdr:rowOff>179918</xdr:rowOff>
    </xdr:from>
    <xdr:to>
      <xdr:col>6</xdr:col>
      <xdr:colOff>423333</xdr:colOff>
      <xdr:row>121</xdr:row>
      <xdr:rowOff>2118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1A00-00000C000000}"/>
            </a:ext>
          </a:extLst>
        </xdr:cNvPr>
        <xdr:cNvSpPr txBox="1"/>
      </xdr:nvSpPr>
      <xdr:spPr>
        <a:xfrm>
          <a:off x="656167" y="20425835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noStrike" baseline="0">
              <a:solidFill>
                <a:sysClr val="windowText" lastClr="000000"/>
              </a:solidFill>
            </a:rPr>
            <a:t> </a:t>
          </a:r>
          <a:endParaRPr lang="pt-BR" strike="no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25401</xdr:colOff>
      <xdr:row>75</xdr:row>
      <xdr:rowOff>141817</xdr:rowOff>
    </xdr:from>
    <xdr:to>
      <xdr:col>6</xdr:col>
      <xdr:colOff>406400</xdr:colOff>
      <xdr:row>94</xdr:row>
      <xdr:rowOff>175683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1A00-00000D000000}"/>
            </a:ext>
          </a:extLst>
        </xdr:cNvPr>
        <xdr:cNvSpPr txBox="1"/>
      </xdr:nvSpPr>
      <xdr:spPr>
        <a:xfrm>
          <a:off x="639234" y="15180734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noStrike" baseline="0">
              <a:solidFill>
                <a:sysClr val="windowText" lastClr="000000"/>
              </a:solidFill>
            </a:rPr>
            <a:t> </a:t>
          </a:r>
          <a:endParaRPr lang="pt-BR" strike="no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29634</xdr:colOff>
      <xdr:row>50</xdr:row>
      <xdr:rowOff>156635</xdr:rowOff>
    </xdr:from>
    <xdr:to>
      <xdr:col>6</xdr:col>
      <xdr:colOff>410633</xdr:colOff>
      <xdr:row>69</xdr:row>
      <xdr:rowOff>190501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1A00-00000E000000}"/>
            </a:ext>
          </a:extLst>
        </xdr:cNvPr>
        <xdr:cNvSpPr txBox="1"/>
      </xdr:nvSpPr>
      <xdr:spPr>
        <a:xfrm>
          <a:off x="643467" y="10200218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noStrike" baseline="0">
              <a:solidFill>
                <a:sysClr val="windowText" lastClr="000000"/>
              </a:solidFill>
            </a:rPr>
            <a:t> </a:t>
          </a:r>
          <a:endParaRPr lang="pt-BR" strike="no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76202</xdr:colOff>
      <xdr:row>26</xdr:row>
      <xdr:rowOff>192618</xdr:rowOff>
    </xdr:from>
    <xdr:to>
      <xdr:col>6</xdr:col>
      <xdr:colOff>457201</xdr:colOff>
      <xdr:row>46</xdr:row>
      <xdr:rowOff>14817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1A00-00000F000000}"/>
            </a:ext>
          </a:extLst>
        </xdr:cNvPr>
        <xdr:cNvSpPr txBox="1"/>
      </xdr:nvSpPr>
      <xdr:spPr>
        <a:xfrm>
          <a:off x="690035" y="5410201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noStrike" baseline="0">
              <a:solidFill>
                <a:sysClr val="windowText" lastClr="000000"/>
              </a:solidFill>
            </a:rPr>
            <a:t> </a:t>
          </a:r>
          <a:endParaRPr lang="pt-BR" strike="no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133352</xdr:colOff>
      <xdr:row>2</xdr:row>
      <xdr:rowOff>112184</xdr:rowOff>
    </xdr:from>
    <xdr:to>
      <xdr:col>6</xdr:col>
      <xdr:colOff>514351</xdr:colOff>
      <xdr:row>21</xdr:row>
      <xdr:rowOff>135467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1A00-000010000000}"/>
            </a:ext>
          </a:extLst>
        </xdr:cNvPr>
        <xdr:cNvSpPr txBox="1"/>
      </xdr:nvSpPr>
      <xdr:spPr>
        <a:xfrm>
          <a:off x="747185" y="514351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noStrike" baseline="0">
              <a:solidFill>
                <a:sysClr val="windowText" lastClr="000000"/>
              </a:solidFill>
            </a:rPr>
            <a:t> </a:t>
          </a:r>
          <a:endParaRPr lang="pt-BR" strike="no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SpPr/>
      </xdr:nvSpPr>
      <xdr:spPr>
        <a:xfrm rot="10800000">
          <a:off x="8259234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SpPr/>
      </xdr:nvSpPr>
      <xdr:spPr>
        <a:xfrm rot="10800000">
          <a:off x="8272992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5" name="Seta: Dobrada para Cima 4">
          <a:extLst>
            <a:ext uri="{FF2B5EF4-FFF2-40B4-BE49-F238E27FC236}">
              <a16:creationId xmlns:a16="http://schemas.microsoft.com/office/drawing/2014/main" id="{00000000-0008-0000-1B00-000005000000}"/>
            </a:ext>
          </a:extLst>
        </xdr:cNvPr>
        <xdr:cNvSpPr/>
      </xdr:nvSpPr>
      <xdr:spPr>
        <a:xfrm rot="10800000">
          <a:off x="8272992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1B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1" name="Seta: Dobrada para Cima 2">
          <a:extLst>
            <a:ext uri="{FF2B5EF4-FFF2-40B4-BE49-F238E27FC236}">
              <a16:creationId xmlns:a16="http://schemas.microsoft.com/office/drawing/2014/main" id="{00000000-0008-0000-1B00-00000B000000}"/>
            </a:ext>
          </a:extLst>
        </xdr:cNvPr>
        <xdr:cNvSpPr/>
      </xdr:nvSpPr>
      <xdr:spPr>
        <a:xfrm rot="10800000">
          <a:off x="8259234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63501</xdr:colOff>
      <xdr:row>101</xdr:row>
      <xdr:rowOff>95251</xdr:rowOff>
    </xdr:from>
    <xdr:to>
      <xdr:col>6</xdr:col>
      <xdr:colOff>444500</xdr:colOff>
      <xdr:row>120</xdr:row>
      <xdr:rowOff>118534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1B00-00000C000000}"/>
            </a:ext>
          </a:extLst>
        </xdr:cNvPr>
        <xdr:cNvSpPr txBox="1"/>
      </xdr:nvSpPr>
      <xdr:spPr>
        <a:xfrm>
          <a:off x="677334" y="20341168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noStrike" baseline="0">
              <a:solidFill>
                <a:sysClr val="windowText" lastClr="000000"/>
              </a:solidFill>
            </a:rPr>
            <a:t> </a:t>
          </a:r>
          <a:endParaRPr lang="pt-BR" strike="no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67734</xdr:colOff>
      <xdr:row>76</xdr:row>
      <xdr:rowOff>120650</xdr:rowOff>
    </xdr:from>
    <xdr:to>
      <xdr:col>6</xdr:col>
      <xdr:colOff>448733</xdr:colOff>
      <xdr:row>95</xdr:row>
      <xdr:rowOff>143933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1B00-00000D000000}"/>
            </a:ext>
          </a:extLst>
        </xdr:cNvPr>
        <xdr:cNvSpPr txBox="1"/>
      </xdr:nvSpPr>
      <xdr:spPr>
        <a:xfrm>
          <a:off x="681567" y="15350067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noStrike" baseline="0">
              <a:solidFill>
                <a:sysClr val="windowText" lastClr="000000"/>
              </a:solidFill>
            </a:rPr>
            <a:t> </a:t>
          </a:r>
          <a:endParaRPr lang="pt-BR" strike="no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40217</xdr:colOff>
      <xdr:row>51</xdr:row>
      <xdr:rowOff>40217</xdr:rowOff>
    </xdr:from>
    <xdr:to>
      <xdr:col>6</xdr:col>
      <xdr:colOff>421216</xdr:colOff>
      <xdr:row>70</xdr:row>
      <xdr:rowOff>63499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1B00-00000E000000}"/>
            </a:ext>
          </a:extLst>
        </xdr:cNvPr>
        <xdr:cNvSpPr txBox="1"/>
      </xdr:nvSpPr>
      <xdr:spPr>
        <a:xfrm>
          <a:off x="654050" y="10274300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noStrike" baseline="0">
              <a:solidFill>
                <a:sysClr val="windowText" lastClr="000000"/>
              </a:solidFill>
            </a:rPr>
            <a:t> </a:t>
          </a:r>
          <a:endParaRPr lang="pt-BR" strike="no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33867</xdr:colOff>
      <xdr:row>26</xdr:row>
      <xdr:rowOff>118533</xdr:rowOff>
    </xdr:from>
    <xdr:to>
      <xdr:col>6</xdr:col>
      <xdr:colOff>414866</xdr:colOff>
      <xdr:row>45</xdr:row>
      <xdr:rowOff>141815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1B00-00000F000000}"/>
            </a:ext>
          </a:extLst>
        </xdr:cNvPr>
        <xdr:cNvSpPr txBox="1"/>
      </xdr:nvSpPr>
      <xdr:spPr>
        <a:xfrm>
          <a:off x="647700" y="5336116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noStrike" baseline="0">
              <a:solidFill>
                <a:sysClr val="windowText" lastClr="000000"/>
              </a:solidFill>
            </a:rPr>
            <a:t> </a:t>
          </a:r>
          <a:endParaRPr lang="pt-BR" strike="no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16934</xdr:colOff>
      <xdr:row>1</xdr:row>
      <xdr:rowOff>196850</xdr:rowOff>
    </xdr:from>
    <xdr:to>
      <xdr:col>6</xdr:col>
      <xdr:colOff>397933</xdr:colOff>
      <xdr:row>21</xdr:row>
      <xdr:rowOff>19049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1B00-000010000000}"/>
            </a:ext>
          </a:extLst>
        </xdr:cNvPr>
        <xdr:cNvSpPr txBox="1"/>
      </xdr:nvSpPr>
      <xdr:spPr>
        <a:xfrm>
          <a:off x="630767" y="397933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strike="noStrike" baseline="0">
              <a:solidFill>
                <a:sysClr val="windowText" lastClr="000000"/>
              </a:solidFill>
            </a:rPr>
            <a:t> </a:t>
          </a:r>
          <a:endParaRPr lang="pt-BR" strike="noStrike">
            <a:solidFill>
              <a:sysClr val="windowText" lastClr="00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SpPr/>
      </xdr:nvSpPr>
      <xdr:spPr>
        <a:xfrm rot="10800000">
          <a:off x="8259234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SpPr/>
      </xdr:nvSpPr>
      <xdr:spPr>
        <a:xfrm rot="10800000">
          <a:off x="8272992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5" name="Seta: Dobrada para Cima 4">
          <a:extLst>
            <a:ext uri="{FF2B5EF4-FFF2-40B4-BE49-F238E27FC236}">
              <a16:creationId xmlns:a16="http://schemas.microsoft.com/office/drawing/2014/main" id="{00000000-0008-0000-1C00-000005000000}"/>
            </a:ext>
          </a:extLst>
        </xdr:cNvPr>
        <xdr:cNvSpPr/>
      </xdr:nvSpPr>
      <xdr:spPr>
        <a:xfrm rot="10800000">
          <a:off x="8272992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1C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1" name="Seta: Dobrada para Cima 2">
          <a:extLst>
            <a:ext uri="{FF2B5EF4-FFF2-40B4-BE49-F238E27FC236}">
              <a16:creationId xmlns:a16="http://schemas.microsoft.com/office/drawing/2014/main" id="{00000000-0008-0000-1C00-00000B000000}"/>
            </a:ext>
          </a:extLst>
        </xdr:cNvPr>
        <xdr:cNvSpPr/>
      </xdr:nvSpPr>
      <xdr:spPr>
        <a:xfrm rot="10800000">
          <a:off x="8259234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105834</xdr:colOff>
      <xdr:row>101</xdr:row>
      <xdr:rowOff>148166</xdr:rowOff>
    </xdr:from>
    <xdr:to>
      <xdr:col>6</xdr:col>
      <xdr:colOff>486833</xdr:colOff>
      <xdr:row>120</xdr:row>
      <xdr:rowOff>171449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1C00-00000C000000}"/>
            </a:ext>
          </a:extLst>
        </xdr:cNvPr>
        <xdr:cNvSpPr txBox="1"/>
      </xdr:nvSpPr>
      <xdr:spPr>
        <a:xfrm>
          <a:off x="719667" y="20394083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88900</xdr:colOff>
      <xdr:row>76</xdr:row>
      <xdr:rowOff>99482</xdr:rowOff>
    </xdr:from>
    <xdr:to>
      <xdr:col>6</xdr:col>
      <xdr:colOff>469899</xdr:colOff>
      <xdr:row>95</xdr:row>
      <xdr:rowOff>122765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1C00-00000D000000}"/>
            </a:ext>
          </a:extLst>
        </xdr:cNvPr>
        <xdr:cNvSpPr txBox="1"/>
      </xdr:nvSpPr>
      <xdr:spPr>
        <a:xfrm>
          <a:off x="702733" y="15328899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82550</xdr:colOff>
      <xdr:row>51</xdr:row>
      <xdr:rowOff>40216</xdr:rowOff>
    </xdr:from>
    <xdr:to>
      <xdr:col>6</xdr:col>
      <xdr:colOff>463549</xdr:colOff>
      <xdr:row>70</xdr:row>
      <xdr:rowOff>63498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1C00-00000E000000}"/>
            </a:ext>
          </a:extLst>
        </xdr:cNvPr>
        <xdr:cNvSpPr txBox="1"/>
      </xdr:nvSpPr>
      <xdr:spPr>
        <a:xfrm>
          <a:off x="696383" y="10274299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12701</xdr:colOff>
      <xdr:row>26</xdr:row>
      <xdr:rowOff>192616</xdr:rowOff>
    </xdr:from>
    <xdr:to>
      <xdr:col>6</xdr:col>
      <xdr:colOff>393700</xdr:colOff>
      <xdr:row>46</xdr:row>
      <xdr:rowOff>14815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1C00-00000F000000}"/>
            </a:ext>
          </a:extLst>
        </xdr:cNvPr>
        <xdr:cNvSpPr txBox="1"/>
      </xdr:nvSpPr>
      <xdr:spPr>
        <a:xfrm>
          <a:off x="626534" y="5410199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0</xdr:col>
      <xdr:colOff>609601</xdr:colOff>
      <xdr:row>2</xdr:row>
      <xdr:rowOff>80432</xdr:rowOff>
    </xdr:from>
    <xdr:to>
      <xdr:col>6</xdr:col>
      <xdr:colOff>376767</xdr:colOff>
      <xdr:row>21</xdr:row>
      <xdr:rowOff>103715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1C00-000010000000}"/>
            </a:ext>
          </a:extLst>
        </xdr:cNvPr>
        <xdr:cNvSpPr txBox="1"/>
      </xdr:nvSpPr>
      <xdr:spPr>
        <a:xfrm>
          <a:off x="609601" y="482599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SpPr/>
      </xdr:nvSpPr>
      <xdr:spPr>
        <a:xfrm rot="10800000">
          <a:off x="8259234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SpPr/>
      </xdr:nvSpPr>
      <xdr:spPr>
        <a:xfrm rot="10800000">
          <a:off x="8272992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5" name="Seta: Dobrada para Cima 4">
          <a:extLst>
            <a:ext uri="{FF2B5EF4-FFF2-40B4-BE49-F238E27FC236}">
              <a16:creationId xmlns:a16="http://schemas.microsoft.com/office/drawing/2014/main" id="{00000000-0008-0000-1D00-000005000000}"/>
            </a:ext>
          </a:extLst>
        </xdr:cNvPr>
        <xdr:cNvSpPr/>
      </xdr:nvSpPr>
      <xdr:spPr>
        <a:xfrm rot="10800000">
          <a:off x="8272992" y="6835775"/>
          <a:ext cx="236008" cy="430741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1D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1" name="Seta: Dobrada para Cima 2">
          <a:extLst>
            <a:ext uri="{FF2B5EF4-FFF2-40B4-BE49-F238E27FC236}">
              <a16:creationId xmlns:a16="http://schemas.microsoft.com/office/drawing/2014/main" id="{00000000-0008-0000-1D00-00000B000000}"/>
            </a:ext>
          </a:extLst>
        </xdr:cNvPr>
        <xdr:cNvSpPr/>
      </xdr:nvSpPr>
      <xdr:spPr>
        <a:xfrm rot="10800000">
          <a:off x="8259234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63499</xdr:colOff>
      <xdr:row>102</xdr:row>
      <xdr:rowOff>31750</xdr:rowOff>
    </xdr:from>
    <xdr:to>
      <xdr:col>6</xdr:col>
      <xdr:colOff>444498</xdr:colOff>
      <xdr:row>121</xdr:row>
      <xdr:rowOff>55033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1D00-00000C000000}"/>
            </a:ext>
          </a:extLst>
        </xdr:cNvPr>
        <xdr:cNvSpPr txBox="1"/>
      </xdr:nvSpPr>
      <xdr:spPr>
        <a:xfrm>
          <a:off x="677332" y="20478750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99482</xdr:colOff>
      <xdr:row>76</xdr:row>
      <xdr:rowOff>78317</xdr:rowOff>
    </xdr:from>
    <xdr:to>
      <xdr:col>6</xdr:col>
      <xdr:colOff>480481</xdr:colOff>
      <xdr:row>95</xdr:row>
      <xdr:rowOff>101600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1D00-00000D000000}"/>
            </a:ext>
          </a:extLst>
        </xdr:cNvPr>
        <xdr:cNvSpPr txBox="1"/>
      </xdr:nvSpPr>
      <xdr:spPr>
        <a:xfrm>
          <a:off x="713315" y="15307734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50798</xdr:colOff>
      <xdr:row>51</xdr:row>
      <xdr:rowOff>156634</xdr:rowOff>
    </xdr:from>
    <xdr:to>
      <xdr:col>6</xdr:col>
      <xdr:colOff>431797</xdr:colOff>
      <xdr:row>70</xdr:row>
      <xdr:rowOff>179916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1D00-00000E000000}"/>
            </a:ext>
          </a:extLst>
        </xdr:cNvPr>
        <xdr:cNvSpPr txBox="1"/>
      </xdr:nvSpPr>
      <xdr:spPr>
        <a:xfrm>
          <a:off x="664631" y="10390717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0</xdr:col>
      <xdr:colOff>605364</xdr:colOff>
      <xdr:row>26</xdr:row>
      <xdr:rowOff>97367</xdr:rowOff>
    </xdr:from>
    <xdr:to>
      <xdr:col>6</xdr:col>
      <xdr:colOff>372530</xdr:colOff>
      <xdr:row>45</xdr:row>
      <xdr:rowOff>120649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1D00-00000F000000}"/>
            </a:ext>
          </a:extLst>
        </xdr:cNvPr>
        <xdr:cNvSpPr txBox="1"/>
      </xdr:nvSpPr>
      <xdr:spPr>
        <a:xfrm>
          <a:off x="605364" y="5314950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16931</xdr:colOff>
      <xdr:row>2</xdr:row>
      <xdr:rowOff>27517</xdr:rowOff>
    </xdr:from>
    <xdr:to>
      <xdr:col>6</xdr:col>
      <xdr:colOff>397930</xdr:colOff>
      <xdr:row>21</xdr:row>
      <xdr:rowOff>50800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1D00-000010000000}"/>
            </a:ext>
          </a:extLst>
        </xdr:cNvPr>
        <xdr:cNvSpPr txBox="1"/>
      </xdr:nvSpPr>
      <xdr:spPr>
        <a:xfrm>
          <a:off x="630764" y="429684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SpPr/>
      </xdr:nvSpPr>
      <xdr:spPr>
        <a:xfrm rot="10800000">
          <a:off x="8259234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1E00-000004000000}"/>
            </a:ext>
          </a:extLst>
        </xdr:cNvPr>
        <xdr:cNvSpPr/>
      </xdr:nvSpPr>
      <xdr:spPr>
        <a:xfrm rot="10800000">
          <a:off x="8272992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5" name="Seta: Dobrada para Cima 4">
          <a:extLst>
            <a:ext uri="{FF2B5EF4-FFF2-40B4-BE49-F238E27FC236}">
              <a16:creationId xmlns:a16="http://schemas.microsoft.com/office/drawing/2014/main" id="{00000000-0008-0000-1E00-000005000000}"/>
            </a:ext>
          </a:extLst>
        </xdr:cNvPr>
        <xdr:cNvSpPr/>
      </xdr:nvSpPr>
      <xdr:spPr>
        <a:xfrm rot="10800000">
          <a:off x="8272992" y="6835775"/>
          <a:ext cx="236008" cy="430741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1E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1" name="Seta: Dobrada para Cima 2">
          <a:extLst>
            <a:ext uri="{FF2B5EF4-FFF2-40B4-BE49-F238E27FC236}">
              <a16:creationId xmlns:a16="http://schemas.microsoft.com/office/drawing/2014/main" id="{00000000-0008-0000-1E00-00000B000000}"/>
            </a:ext>
          </a:extLst>
        </xdr:cNvPr>
        <xdr:cNvSpPr/>
      </xdr:nvSpPr>
      <xdr:spPr>
        <a:xfrm rot="10800000">
          <a:off x="8259234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21168</xdr:colOff>
      <xdr:row>101</xdr:row>
      <xdr:rowOff>116417</xdr:rowOff>
    </xdr:from>
    <xdr:to>
      <xdr:col>6</xdr:col>
      <xdr:colOff>402167</xdr:colOff>
      <xdr:row>120</xdr:row>
      <xdr:rowOff>139700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1E00-00000C000000}"/>
            </a:ext>
          </a:extLst>
        </xdr:cNvPr>
        <xdr:cNvSpPr txBox="1"/>
      </xdr:nvSpPr>
      <xdr:spPr>
        <a:xfrm>
          <a:off x="635001" y="20341167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4235</xdr:colOff>
      <xdr:row>76</xdr:row>
      <xdr:rowOff>141817</xdr:rowOff>
    </xdr:from>
    <xdr:to>
      <xdr:col>6</xdr:col>
      <xdr:colOff>385234</xdr:colOff>
      <xdr:row>95</xdr:row>
      <xdr:rowOff>165100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1E00-00000D000000}"/>
            </a:ext>
          </a:extLst>
        </xdr:cNvPr>
        <xdr:cNvSpPr txBox="1"/>
      </xdr:nvSpPr>
      <xdr:spPr>
        <a:xfrm>
          <a:off x="618068" y="15350067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0</xdr:col>
      <xdr:colOff>601135</xdr:colOff>
      <xdr:row>51</xdr:row>
      <xdr:rowOff>61383</xdr:rowOff>
    </xdr:from>
    <xdr:to>
      <xdr:col>6</xdr:col>
      <xdr:colOff>368301</xdr:colOff>
      <xdr:row>70</xdr:row>
      <xdr:rowOff>84666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1E00-00000E000000}"/>
            </a:ext>
          </a:extLst>
        </xdr:cNvPr>
        <xdr:cNvSpPr txBox="1"/>
      </xdr:nvSpPr>
      <xdr:spPr>
        <a:xfrm>
          <a:off x="601135" y="10274300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2119</xdr:colOff>
      <xdr:row>26</xdr:row>
      <xdr:rowOff>129117</xdr:rowOff>
    </xdr:from>
    <xdr:to>
      <xdr:col>6</xdr:col>
      <xdr:colOff>383118</xdr:colOff>
      <xdr:row>45</xdr:row>
      <xdr:rowOff>152399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1E00-00000F000000}"/>
            </a:ext>
          </a:extLst>
        </xdr:cNvPr>
        <xdr:cNvSpPr txBox="1"/>
      </xdr:nvSpPr>
      <xdr:spPr>
        <a:xfrm>
          <a:off x="615952" y="5346700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0</xdr:col>
      <xdr:colOff>609602</xdr:colOff>
      <xdr:row>2</xdr:row>
      <xdr:rowOff>80433</xdr:rowOff>
    </xdr:from>
    <xdr:to>
      <xdr:col>6</xdr:col>
      <xdr:colOff>376768</xdr:colOff>
      <xdr:row>21</xdr:row>
      <xdr:rowOff>103716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1E00-000010000000}"/>
            </a:ext>
          </a:extLst>
        </xdr:cNvPr>
        <xdr:cNvSpPr txBox="1"/>
      </xdr:nvSpPr>
      <xdr:spPr>
        <a:xfrm>
          <a:off x="609602" y="482600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SpPr/>
      </xdr:nvSpPr>
      <xdr:spPr>
        <a:xfrm rot="10800000">
          <a:off x="8259234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1F00-000004000000}"/>
            </a:ext>
          </a:extLst>
        </xdr:cNvPr>
        <xdr:cNvSpPr/>
      </xdr:nvSpPr>
      <xdr:spPr>
        <a:xfrm rot="10800000">
          <a:off x="8272992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5" name="Seta: Dobrada para Cima 4">
          <a:extLst>
            <a:ext uri="{FF2B5EF4-FFF2-40B4-BE49-F238E27FC236}">
              <a16:creationId xmlns:a16="http://schemas.microsoft.com/office/drawing/2014/main" id="{00000000-0008-0000-1F00-000005000000}"/>
            </a:ext>
          </a:extLst>
        </xdr:cNvPr>
        <xdr:cNvSpPr/>
      </xdr:nvSpPr>
      <xdr:spPr>
        <a:xfrm rot="10800000">
          <a:off x="8272992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1F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1" name="Seta: Dobrada para Cima 2">
          <a:extLst>
            <a:ext uri="{FF2B5EF4-FFF2-40B4-BE49-F238E27FC236}">
              <a16:creationId xmlns:a16="http://schemas.microsoft.com/office/drawing/2014/main" id="{00000000-0008-0000-1F00-00000B000000}"/>
            </a:ext>
          </a:extLst>
        </xdr:cNvPr>
        <xdr:cNvSpPr/>
      </xdr:nvSpPr>
      <xdr:spPr>
        <a:xfrm rot="10800000">
          <a:off x="8259234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63500</xdr:colOff>
      <xdr:row>101</xdr:row>
      <xdr:rowOff>169334</xdr:rowOff>
    </xdr:from>
    <xdr:to>
      <xdr:col>6</xdr:col>
      <xdr:colOff>444499</xdr:colOff>
      <xdr:row>120</xdr:row>
      <xdr:rowOff>192617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1F00-00000E000000}"/>
            </a:ext>
          </a:extLst>
        </xdr:cNvPr>
        <xdr:cNvSpPr txBox="1"/>
      </xdr:nvSpPr>
      <xdr:spPr>
        <a:xfrm>
          <a:off x="677333" y="20415251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120650</xdr:colOff>
      <xdr:row>76</xdr:row>
      <xdr:rowOff>173567</xdr:rowOff>
    </xdr:from>
    <xdr:to>
      <xdr:col>6</xdr:col>
      <xdr:colOff>501649</xdr:colOff>
      <xdr:row>95</xdr:row>
      <xdr:rowOff>196850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1F00-000010000000}"/>
            </a:ext>
          </a:extLst>
        </xdr:cNvPr>
        <xdr:cNvSpPr txBox="1"/>
      </xdr:nvSpPr>
      <xdr:spPr>
        <a:xfrm>
          <a:off x="734483" y="15402984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103716</xdr:colOff>
      <xdr:row>51</xdr:row>
      <xdr:rowOff>93134</xdr:rowOff>
    </xdr:from>
    <xdr:to>
      <xdr:col>6</xdr:col>
      <xdr:colOff>484715</xdr:colOff>
      <xdr:row>70</xdr:row>
      <xdr:rowOff>116416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1F00-000011000000}"/>
            </a:ext>
          </a:extLst>
        </xdr:cNvPr>
        <xdr:cNvSpPr txBox="1"/>
      </xdr:nvSpPr>
      <xdr:spPr>
        <a:xfrm>
          <a:off x="717549" y="10327217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65615</xdr:colOff>
      <xdr:row>26</xdr:row>
      <xdr:rowOff>65618</xdr:rowOff>
    </xdr:from>
    <xdr:to>
      <xdr:col>6</xdr:col>
      <xdr:colOff>446614</xdr:colOff>
      <xdr:row>45</xdr:row>
      <xdr:rowOff>88900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1F00-000012000000}"/>
            </a:ext>
          </a:extLst>
        </xdr:cNvPr>
        <xdr:cNvSpPr txBox="1"/>
      </xdr:nvSpPr>
      <xdr:spPr>
        <a:xfrm>
          <a:off x="679448" y="5283201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69849</xdr:colOff>
      <xdr:row>2</xdr:row>
      <xdr:rowOff>69850</xdr:rowOff>
    </xdr:from>
    <xdr:to>
      <xdr:col>6</xdr:col>
      <xdr:colOff>450848</xdr:colOff>
      <xdr:row>21</xdr:row>
      <xdr:rowOff>93133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00000000-0008-0000-1F00-000013000000}"/>
            </a:ext>
          </a:extLst>
        </xdr:cNvPr>
        <xdr:cNvSpPr txBox="1"/>
      </xdr:nvSpPr>
      <xdr:spPr>
        <a:xfrm>
          <a:off x="683682" y="472017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SpPr/>
      </xdr:nvSpPr>
      <xdr:spPr>
        <a:xfrm rot="10800000">
          <a:off x="8259234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2000-000004000000}"/>
            </a:ext>
          </a:extLst>
        </xdr:cNvPr>
        <xdr:cNvSpPr/>
      </xdr:nvSpPr>
      <xdr:spPr>
        <a:xfrm rot="10800000">
          <a:off x="8272992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5" name="Seta: Dobrada para Cima 4">
          <a:extLst>
            <a:ext uri="{FF2B5EF4-FFF2-40B4-BE49-F238E27FC236}">
              <a16:creationId xmlns:a16="http://schemas.microsoft.com/office/drawing/2014/main" id="{00000000-0008-0000-2000-000005000000}"/>
            </a:ext>
          </a:extLst>
        </xdr:cNvPr>
        <xdr:cNvSpPr/>
      </xdr:nvSpPr>
      <xdr:spPr>
        <a:xfrm rot="10800000">
          <a:off x="8272992" y="6835775"/>
          <a:ext cx="236008" cy="430741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20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1" name="Seta: Dobrada para Cima 2">
          <a:extLst>
            <a:ext uri="{FF2B5EF4-FFF2-40B4-BE49-F238E27FC236}">
              <a16:creationId xmlns:a16="http://schemas.microsoft.com/office/drawing/2014/main" id="{00000000-0008-0000-2000-00000B000000}"/>
            </a:ext>
          </a:extLst>
        </xdr:cNvPr>
        <xdr:cNvSpPr/>
      </xdr:nvSpPr>
      <xdr:spPr>
        <a:xfrm rot="10800000">
          <a:off x="8259234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74083</xdr:colOff>
      <xdr:row>101</xdr:row>
      <xdr:rowOff>158749</xdr:rowOff>
    </xdr:from>
    <xdr:to>
      <xdr:col>6</xdr:col>
      <xdr:colOff>455082</xdr:colOff>
      <xdr:row>120</xdr:row>
      <xdr:rowOff>182031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2000-00000C000000}"/>
            </a:ext>
          </a:extLst>
        </xdr:cNvPr>
        <xdr:cNvSpPr txBox="1"/>
      </xdr:nvSpPr>
      <xdr:spPr>
        <a:xfrm>
          <a:off x="687916" y="20394082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57150</xdr:colOff>
      <xdr:row>76</xdr:row>
      <xdr:rowOff>120649</xdr:rowOff>
    </xdr:from>
    <xdr:to>
      <xdr:col>6</xdr:col>
      <xdr:colOff>438149</xdr:colOff>
      <xdr:row>95</xdr:row>
      <xdr:rowOff>143931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2000-00000D000000}"/>
            </a:ext>
          </a:extLst>
        </xdr:cNvPr>
        <xdr:cNvSpPr txBox="1"/>
      </xdr:nvSpPr>
      <xdr:spPr>
        <a:xfrm>
          <a:off x="670983" y="15339482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40216</xdr:colOff>
      <xdr:row>51</xdr:row>
      <xdr:rowOff>124882</xdr:rowOff>
    </xdr:from>
    <xdr:to>
      <xdr:col>6</xdr:col>
      <xdr:colOff>421215</xdr:colOff>
      <xdr:row>70</xdr:row>
      <xdr:rowOff>148165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2000-00000E000000}"/>
            </a:ext>
          </a:extLst>
        </xdr:cNvPr>
        <xdr:cNvSpPr txBox="1"/>
      </xdr:nvSpPr>
      <xdr:spPr>
        <a:xfrm>
          <a:off x="654049" y="10348382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44450</xdr:colOff>
      <xdr:row>26</xdr:row>
      <xdr:rowOff>97366</xdr:rowOff>
    </xdr:from>
    <xdr:to>
      <xdr:col>6</xdr:col>
      <xdr:colOff>425449</xdr:colOff>
      <xdr:row>45</xdr:row>
      <xdr:rowOff>120649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2000-00000F000000}"/>
            </a:ext>
          </a:extLst>
        </xdr:cNvPr>
        <xdr:cNvSpPr txBox="1"/>
      </xdr:nvSpPr>
      <xdr:spPr>
        <a:xfrm>
          <a:off x="658283" y="5304366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48683</xdr:colOff>
      <xdr:row>2</xdr:row>
      <xdr:rowOff>80432</xdr:rowOff>
    </xdr:from>
    <xdr:to>
      <xdr:col>6</xdr:col>
      <xdr:colOff>429682</xdr:colOff>
      <xdr:row>21</xdr:row>
      <xdr:rowOff>103715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2000-000010000000}"/>
            </a:ext>
          </a:extLst>
        </xdr:cNvPr>
        <xdr:cNvSpPr txBox="1"/>
      </xdr:nvSpPr>
      <xdr:spPr>
        <a:xfrm>
          <a:off x="662516" y="482599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SpPr/>
      </xdr:nvSpPr>
      <xdr:spPr>
        <a:xfrm rot="10800000">
          <a:off x="8259234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2100-000004000000}"/>
            </a:ext>
          </a:extLst>
        </xdr:cNvPr>
        <xdr:cNvSpPr/>
      </xdr:nvSpPr>
      <xdr:spPr>
        <a:xfrm rot="10800000">
          <a:off x="8272992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5" name="Seta: Dobrada para Cima 4">
          <a:extLst>
            <a:ext uri="{FF2B5EF4-FFF2-40B4-BE49-F238E27FC236}">
              <a16:creationId xmlns:a16="http://schemas.microsoft.com/office/drawing/2014/main" id="{00000000-0008-0000-2100-000005000000}"/>
            </a:ext>
          </a:extLst>
        </xdr:cNvPr>
        <xdr:cNvSpPr/>
      </xdr:nvSpPr>
      <xdr:spPr>
        <a:xfrm rot="10800000">
          <a:off x="8272992" y="6835775"/>
          <a:ext cx="236008" cy="430741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21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1" name="Seta: Dobrada para Cima 2">
          <a:extLst>
            <a:ext uri="{FF2B5EF4-FFF2-40B4-BE49-F238E27FC236}">
              <a16:creationId xmlns:a16="http://schemas.microsoft.com/office/drawing/2014/main" id="{00000000-0008-0000-2100-00000B000000}"/>
            </a:ext>
          </a:extLst>
        </xdr:cNvPr>
        <xdr:cNvSpPr/>
      </xdr:nvSpPr>
      <xdr:spPr>
        <a:xfrm rot="10800000">
          <a:off x="8259234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10584</xdr:colOff>
      <xdr:row>101</xdr:row>
      <xdr:rowOff>52917</xdr:rowOff>
    </xdr:from>
    <xdr:to>
      <xdr:col>6</xdr:col>
      <xdr:colOff>391583</xdr:colOff>
      <xdr:row>120</xdr:row>
      <xdr:rowOff>76200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2100-00000C000000}"/>
            </a:ext>
          </a:extLst>
        </xdr:cNvPr>
        <xdr:cNvSpPr txBox="1"/>
      </xdr:nvSpPr>
      <xdr:spPr>
        <a:xfrm>
          <a:off x="624417" y="20298834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25400</xdr:colOff>
      <xdr:row>76</xdr:row>
      <xdr:rowOff>78317</xdr:rowOff>
    </xdr:from>
    <xdr:to>
      <xdr:col>6</xdr:col>
      <xdr:colOff>406399</xdr:colOff>
      <xdr:row>95</xdr:row>
      <xdr:rowOff>101600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2100-00000D000000}"/>
            </a:ext>
          </a:extLst>
        </xdr:cNvPr>
        <xdr:cNvSpPr txBox="1"/>
      </xdr:nvSpPr>
      <xdr:spPr>
        <a:xfrm>
          <a:off x="639233" y="15307734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124884</xdr:colOff>
      <xdr:row>52</xdr:row>
      <xdr:rowOff>50801</xdr:rowOff>
    </xdr:from>
    <xdr:to>
      <xdr:col>6</xdr:col>
      <xdr:colOff>505883</xdr:colOff>
      <xdr:row>71</xdr:row>
      <xdr:rowOff>74084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2100-00000E000000}"/>
            </a:ext>
          </a:extLst>
        </xdr:cNvPr>
        <xdr:cNvSpPr txBox="1"/>
      </xdr:nvSpPr>
      <xdr:spPr>
        <a:xfrm>
          <a:off x="738717" y="10485968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76201</xdr:colOff>
      <xdr:row>26</xdr:row>
      <xdr:rowOff>86784</xdr:rowOff>
    </xdr:from>
    <xdr:to>
      <xdr:col>6</xdr:col>
      <xdr:colOff>457200</xdr:colOff>
      <xdr:row>45</xdr:row>
      <xdr:rowOff>110066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2100-00000F000000}"/>
            </a:ext>
          </a:extLst>
        </xdr:cNvPr>
        <xdr:cNvSpPr txBox="1"/>
      </xdr:nvSpPr>
      <xdr:spPr>
        <a:xfrm>
          <a:off x="690034" y="5304367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48684</xdr:colOff>
      <xdr:row>2</xdr:row>
      <xdr:rowOff>133351</xdr:rowOff>
    </xdr:from>
    <xdr:to>
      <xdr:col>6</xdr:col>
      <xdr:colOff>429683</xdr:colOff>
      <xdr:row>21</xdr:row>
      <xdr:rowOff>156634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2100-000010000000}"/>
            </a:ext>
          </a:extLst>
        </xdr:cNvPr>
        <xdr:cNvSpPr txBox="1"/>
      </xdr:nvSpPr>
      <xdr:spPr>
        <a:xfrm>
          <a:off x="662517" y="535518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243415</xdr:colOff>
      <xdr:row>49</xdr:row>
      <xdr:rowOff>201083</xdr:rowOff>
    </xdr:from>
    <xdr:to>
      <xdr:col>8</xdr:col>
      <xdr:colOff>529166</xdr:colOff>
      <xdr:row>52</xdr:row>
      <xdr:rowOff>42333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2603498" y="9863666"/>
          <a:ext cx="5365751" cy="4445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rgbClr val="FF0000"/>
              </a:solidFill>
            </a:rPr>
            <a:t>Comparado os dados da Tabela 1 e 3, há uma pequena diferença que precisa ser corrigida pelo Fator</a:t>
          </a:r>
          <a:r>
            <a:rPr lang="pt-BR" sz="1100" baseline="0">
              <a:solidFill>
                <a:srgbClr val="FF0000"/>
              </a:solidFill>
            </a:rPr>
            <a:t> de correção ao lado</a:t>
          </a:r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SpPr/>
      </xdr:nvSpPr>
      <xdr:spPr>
        <a:xfrm rot="10800000">
          <a:off x="8259234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2200-000004000000}"/>
            </a:ext>
          </a:extLst>
        </xdr:cNvPr>
        <xdr:cNvSpPr/>
      </xdr:nvSpPr>
      <xdr:spPr>
        <a:xfrm rot="10800000">
          <a:off x="8272992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5" name="Seta: Dobrada para Cima 4">
          <a:extLst>
            <a:ext uri="{FF2B5EF4-FFF2-40B4-BE49-F238E27FC236}">
              <a16:creationId xmlns:a16="http://schemas.microsoft.com/office/drawing/2014/main" id="{00000000-0008-0000-2200-000005000000}"/>
            </a:ext>
          </a:extLst>
        </xdr:cNvPr>
        <xdr:cNvSpPr/>
      </xdr:nvSpPr>
      <xdr:spPr>
        <a:xfrm rot="10800000">
          <a:off x="8272992" y="6835775"/>
          <a:ext cx="236008" cy="430741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22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2" name="Seta: Dobrada para Cima 2">
          <a:extLst>
            <a:ext uri="{FF2B5EF4-FFF2-40B4-BE49-F238E27FC236}">
              <a16:creationId xmlns:a16="http://schemas.microsoft.com/office/drawing/2014/main" id="{00000000-0008-0000-2200-00000C000000}"/>
            </a:ext>
          </a:extLst>
        </xdr:cNvPr>
        <xdr:cNvSpPr/>
      </xdr:nvSpPr>
      <xdr:spPr>
        <a:xfrm rot="10800000">
          <a:off x="8259234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21167</xdr:colOff>
      <xdr:row>101</xdr:row>
      <xdr:rowOff>84667</xdr:rowOff>
    </xdr:from>
    <xdr:to>
      <xdr:col>6</xdr:col>
      <xdr:colOff>402166</xdr:colOff>
      <xdr:row>120</xdr:row>
      <xdr:rowOff>107950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2200-00000D000000}"/>
            </a:ext>
          </a:extLst>
        </xdr:cNvPr>
        <xdr:cNvSpPr txBox="1"/>
      </xdr:nvSpPr>
      <xdr:spPr>
        <a:xfrm>
          <a:off x="635000" y="20330584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0</xdr:col>
      <xdr:colOff>596899</xdr:colOff>
      <xdr:row>76</xdr:row>
      <xdr:rowOff>110067</xdr:rowOff>
    </xdr:from>
    <xdr:to>
      <xdr:col>6</xdr:col>
      <xdr:colOff>364065</xdr:colOff>
      <xdr:row>95</xdr:row>
      <xdr:rowOff>133350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2200-00000E000000}"/>
            </a:ext>
          </a:extLst>
        </xdr:cNvPr>
        <xdr:cNvSpPr txBox="1"/>
      </xdr:nvSpPr>
      <xdr:spPr>
        <a:xfrm>
          <a:off x="596899" y="15339484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19049</xdr:colOff>
      <xdr:row>51</xdr:row>
      <xdr:rowOff>71968</xdr:rowOff>
    </xdr:from>
    <xdr:to>
      <xdr:col>6</xdr:col>
      <xdr:colOff>400048</xdr:colOff>
      <xdr:row>70</xdr:row>
      <xdr:rowOff>95250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2200-00000F000000}"/>
            </a:ext>
          </a:extLst>
        </xdr:cNvPr>
        <xdr:cNvSpPr txBox="1"/>
      </xdr:nvSpPr>
      <xdr:spPr>
        <a:xfrm>
          <a:off x="632882" y="10306051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44450</xdr:colOff>
      <xdr:row>26</xdr:row>
      <xdr:rowOff>65618</xdr:rowOff>
    </xdr:from>
    <xdr:to>
      <xdr:col>6</xdr:col>
      <xdr:colOff>425449</xdr:colOff>
      <xdr:row>45</xdr:row>
      <xdr:rowOff>88900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2200-000010000000}"/>
            </a:ext>
          </a:extLst>
        </xdr:cNvPr>
        <xdr:cNvSpPr txBox="1"/>
      </xdr:nvSpPr>
      <xdr:spPr>
        <a:xfrm>
          <a:off x="658283" y="5283201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16934</xdr:colOff>
      <xdr:row>2</xdr:row>
      <xdr:rowOff>80434</xdr:rowOff>
    </xdr:from>
    <xdr:to>
      <xdr:col>6</xdr:col>
      <xdr:colOff>397933</xdr:colOff>
      <xdr:row>21</xdr:row>
      <xdr:rowOff>103717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2200-000011000000}"/>
            </a:ext>
          </a:extLst>
        </xdr:cNvPr>
        <xdr:cNvSpPr txBox="1"/>
      </xdr:nvSpPr>
      <xdr:spPr>
        <a:xfrm>
          <a:off x="630767" y="482601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SpPr/>
      </xdr:nvSpPr>
      <xdr:spPr>
        <a:xfrm rot="10800000">
          <a:off x="8259234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2300-000004000000}"/>
            </a:ext>
          </a:extLst>
        </xdr:cNvPr>
        <xdr:cNvSpPr/>
      </xdr:nvSpPr>
      <xdr:spPr>
        <a:xfrm rot="10800000">
          <a:off x="8272992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5" name="Seta: Dobrada para Cima 4">
          <a:extLst>
            <a:ext uri="{FF2B5EF4-FFF2-40B4-BE49-F238E27FC236}">
              <a16:creationId xmlns:a16="http://schemas.microsoft.com/office/drawing/2014/main" id="{00000000-0008-0000-2300-000005000000}"/>
            </a:ext>
          </a:extLst>
        </xdr:cNvPr>
        <xdr:cNvSpPr/>
      </xdr:nvSpPr>
      <xdr:spPr>
        <a:xfrm rot="10800000">
          <a:off x="8272992" y="6835775"/>
          <a:ext cx="236008" cy="430741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23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1" name="Seta: Dobrada para Cima 2">
          <a:extLst>
            <a:ext uri="{FF2B5EF4-FFF2-40B4-BE49-F238E27FC236}">
              <a16:creationId xmlns:a16="http://schemas.microsoft.com/office/drawing/2014/main" id="{00000000-0008-0000-2300-00000B000000}"/>
            </a:ext>
          </a:extLst>
        </xdr:cNvPr>
        <xdr:cNvSpPr/>
      </xdr:nvSpPr>
      <xdr:spPr>
        <a:xfrm rot="10800000">
          <a:off x="8259234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582083</xdr:colOff>
      <xdr:row>101</xdr:row>
      <xdr:rowOff>95250</xdr:rowOff>
    </xdr:from>
    <xdr:to>
      <xdr:col>6</xdr:col>
      <xdr:colOff>349249</xdr:colOff>
      <xdr:row>120</xdr:row>
      <xdr:rowOff>118533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2300-00000C000000}"/>
            </a:ext>
          </a:extLst>
        </xdr:cNvPr>
        <xdr:cNvSpPr txBox="1"/>
      </xdr:nvSpPr>
      <xdr:spPr>
        <a:xfrm>
          <a:off x="582083" y="20341167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0</xdr:col>
      <xdr:colOff>586316</xdr:colOff>
      <xdr:row>76</xdr:row>
      <xdr:rowOff>184151</xdr:rowOff>
    </xdr:from>
    <xdr:to>
      <xdr:col>6</xdr:col>
      <xdr:colOff>353482</xdr:colOff>
      <xdr:row>96</xdr:row>
      <xdr:rowOff>6351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2300-00000D000000}"/>
            </a:ext>
          </a:extLst>
        </xdr:cNvPr>
        <xdr:cNvSpPr txBox="1"/>
      </xdr:nvSpPr>
      <xdr:spPr>
        <a:xfrm>
          <a:off x="586316" y="15413568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0</xdr:col>
      <xdr:colOff>611716</xdr:colOff>
      <xdr:row>51</xdr:row>
      <xdr:rowOff>146051</xdr:rowOff>
    </xdr:from>
    <xdr:to>
      <xdr:col>6</xdr:col>
      <xdr:colOff>378882</xdr:colOff>
      <xdr:row>70</xdr:row>
      <xdr:rowOff>169333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2300-00000E000000}"/>
            </a:ext>
          </a:extLst>
        </xdr:cNvPr>
        <xdr:cNvSpPr txBox="1"/>
      </xdr:nvSpPr>
      <xdr:spPr>
        <a:xfrm>
          <a:off x="611716" y="10380134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0</xdr:col>
      <xdr:colOff>584199</xdr:colOff>
      <xdr:row>27</xdr:row>
      <xdr:rowOff>2116</xdr:rowOff>
    </xdr:from>
    <xdr:to>
      <xdr:col>6</xdr:col>
      <xdr:colOff>351365</xdr:colOff>
      <xdr:row>46</xdr:row>
      <xdr:rowOff>25399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2300-00000F000000}"/>
            </a:ext>
          </a:extLst>
        </xdr:cNvPr>
        <xdr:cNvSpPr txBox="1"/>
      </xdr:nvSpPr>
      <xdr:spPr>
        <a:xfrm>
          <a:off x="584199" y="5420783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0</xdr:col>
      <xdr:colOff>577848</xdr:colOff>
      <xdr:row>2</xdr:row>
      <xdr:rowOff>112182</xdr:rowOff>
    </xdr:from>
    <xdr:to>
      <xdr:col>6</xdr:col>
      <xdr:colOff>345014</xdr:colOff>
      <xdr:row>21</xdr:row>
      <xdr:rowOff>135465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2300-000010000000}"/>
            </a:ext>
          </a:extLst>
        </xdr:cNvPr>
        <xdr:cNvSpPr txBox="1"/>
      </xdr:nvSpPr>
      <xdr:spPr>
        <a:xfrm>
          <a:off x="577848" y="514349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SpPr/>
      </xdr:nvSpPr>
      <xdr:spPr>
        <a:xfrm rot="10800000">
          <a:off x="8259234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SpPr/>
      </xdr:nvSpPr>
      <xdr:spPr>
        <a:xfrm rot="10800000">
          <a:off x="8272992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5" name="Seta: Dobrada para Cima 4">
          <a:extLst>
            <a:ext uri="{FF2B5EF4-FFF2-40B4-BE49-F238E27FC236}">
              <a16:creationId xmlns:a16="http://schemas.microsoft.com/office/drawing/2014/main" id="{00000000-0008-0000-2400-000005000000}"/>
            </a:ext>
          </a:extLst>
        </xdr:cNvPr>
        <xdr:cNvSpPr/>
      </xdr:nvSpPr>
      <xdr:spPr>
        <a:xfrm rot="10800000">
          <a:off x="8272992" y="6835775"/>
          <a:ext cx="236008" cy="430741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2400-000006000000}"/>
            </a:ext>
          </a:extLst>
        </xdr:cNvPr>
        <xdr:cNvSpPr/>
      </xdr:nvSpPr>
      <xdr:spPr>
        <a:xfrm rot="10800000">
          <a:off x="8272992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1" name="Seta: Dobrada para Cima 2">
          <a:extLst>
            <a:ext uri="{FF2B5EF4-FFF2-40B4-BE49-F238E27FC236}">
              <a16:creationId xmlns:a16="http://schemas.microsoft.com/office/drawing/2014/main" id="{00000000-0008-0000-2400-00000B000000}"/>
            </a:ext>
          </a:extLst>
        </xdr:cNvPr>
        <xdr:cNvSpPr/>
      </xdr:nvSpPr>
      <xdr:spPr>
        <a:xfrm rot="10800000">
          <a:off x="8259234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116417</xdr:colOff>
      <xdr:row>102</xdr:row>
      <xdr:rowOff>0</xdr:rowOff>
    </xdr:from>
    <xdr:to>
      <xdr:col>6</xdr:col>
      <xdr:colOff>497416</xdr:colOff>
      <xdr:row>121</xdr:row>
      <xdr:rowOff>23283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2400-00000C000000}"/>
            </a:ext>
          </a:extLst>
        </xdr:cNvPr>
        <xdr:cNvSpPr txBox="1"/>
      </xdr:nvSpPr>
      <xdr:spPr>
        <a:xfrm>
          <a:off x="730250" y="20447000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258234</xdr:colOff>
      <xdr:row>76</xdr:row>
      <xdr:rowOff>67733</xdr:rowOff>
    </xdr:from>
    <xdr:to>
      <xdr:col>6</xdr:col>
      <xdr:colOff>639233</xdr:colOff>
      <xdr:row>95</xdr:row>
      <xdr:rowOff>91016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2400-00000D000000}"/>
            </a:ext>
          </a:extLst>
        </xdr:cNvPr>
        <xdr:cNvSpPr txBox="1"/>
      </xdr:nvSpPr>
      <xdr:spPr>
        <a:xfrm>
          <a:off x="872067" y="15297150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220134</xdr:colOff>
      <xdr:row>51</xdr:row>
      <xdr:rowOff>29633</xdr:rowOff>
    </xdr:from>
    <xdr:to>
      <xdr:col>6</xdr:col>
      <xdr:colOff>601133</xdr:colOff>
      <xdr:row>70</xdr:row>
      <xdr:rowOff>52915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2400-00000E000000}"/>
            </a:ext>
          </a:extLst>
        </xdr:cNvPr>
        <xdr:cNvSpPr txBox="1"/>
      </xdr:nvSpPr>
      <xdr:spPr>
        <a:xfrm>
          <a:off x="833967" y="10263716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171450</xdr:colOff>
      <xdr:row>26</xdr:row>
      <xdr:rowOff>86784</xdr:rowOff>
    </xdr:from>
    <xdr:to>
      <xdr:col>6</xdr:col>
      <xdr:colOff>552449</xdr:colOff>
      <xdr:row>45</xdr:row>
      <xdr:rowOff>110066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2400-00000F000000}"/>
            </a:ext>
          </a:extLst>
        </xdr:cNvPr>
        <xdr:cNvSpPr txBox="1"/>
      </xdr:nvSpPr>
      <xdr:spPr>
        <a:xfrm>
          <a:off x="785283" y="5304367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  <xdr:twoCellAnchor>
    <xdr:from>
      <xdr:col>1</xdr:col>
      <xdr:colOff>143934</xdr:colOff>
      <xdr:row>2</xdr:row>
      <xdr:rowOff>38099</xdr:rowOff>
    </xdr:from>
    <xdr:to>
      <xdr:col>6</xdr:col>
      <xdr:colOff>524933</xdr:colOff>
      <xdr:row>21</xdr:row>
      <xdr:rowOff>61382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2400-000010000000}"/>
            </a:ext>
          </a:extLst>
        </xdr:cNvPr>
        <xdr:cNvSpPr txBox="1"/>
      </xdr:nvSpPr>
      <xdr:spPr>
        <a:xfrm>
          <a:off x="757767" y="440266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pPr marL="0" indent="0"/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232831</xdr:colOff>
      <xdr:row>49</xdr:row>
      <xdr:rowOff>190499</xdr:rowOff>
    </xdr:from>
    <xdr:to>
      <xdr:col>8</xdr:col>
      <xdr:colOff>518582</xdr:colOff>
      <xdr:row>52</xdr:row>
      <xdr:rowOff>31749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2592914" y="9853082"/>
          <a:ext cx="5365751" cy="4445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rgbClr val="FF0000"/>
              </a:solidFill>
            </a:rPr>
            <a:t>Comparado os dados da Tabela 1 e 3, há uma pequena diferença que precisa ser corrigida pelo Fator</a:t>
          </a:r>
          <a:r>
            <a:rPr lang="pt-BR" sz="1100" baseline="0">
              <a:solidFill>
                <a:srgbClr val="FF0000"/>
              </a:solidFill>
            </a:rPr>
            <a:t> de correção ao lado</a:t>
          </a:r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285748</xdr:colOff>
      <xdr:row>49</xdr:row>
      <xdr:rowOff>179916</xdr:rowOff>
    </xdr:from>
    <xdr:to>
      <xdr:col>8</xdr:col>
      <xdr:colOff>571499</xdr:colOff>
      <xdr:row>52</xdr:row>
      <xdr:rowOff>21166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2645831" y="9842499"/>
          <a:ext cx="5365751" cy="4445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rgbClr val="FF0000"/>
              </a:solidFill>
            </a:rPr>
            <a:t>Comparado os dados da Tabela 1 e 3, há uma pequena diferença que precisa ser corrigida pelo Fator</a:t>
          </a:r>
          <a:r>
            <a:rPr lang="pt-BR" sz="1100" baseline="0">
              <a:solidFill>
                <a:srgbClr val="FF0000"/>
              </a:solidFill>
            </a:rPr>
            <a:t> de correção ao lado</a:t>
          </a:r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38102</xdr:colOff>
      <xdr:row>26</xdr:row>
      <xdr:rowOff>156633</xdr:rowOff>
    </xdr:from>
    <xdr:to>
      <xdr:col>6</xdr:col>
      <xdr:colOff>419101</xdr:colOff>
      <xdr:row>45</xdr:row>
      <xdr:rowOff>84667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651935" y="558800"/>
          <a:ext cx="4540249" cy="37486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u="none" strike="sngStrike" baseline="0">
              <a:solidFill>
                <a:schemeClr val="tx1"/>
              </a:solidFill>
            </a:rPr>
            <a:t>Gasolina</a:t>
          </a:r>
          <a:r>
            <a:rPr lang="pt-BR" sz="1100" u="none" baseline="0">
              <a:solidFill>
                <a:schemeClr val="tx1"/>
              </a:solidFill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360628</xdr:colOff>
      <xdr:row>34</xdr:row>
      <xdr:rowOff>20108</xdr:rowOff>
    </xdr:from>
    <xdr:to>
      <xdr:col>9</xdr:col>
      <xdr:colOff>596636</xdr:colOff>
      <xdr:row>36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/>
      </xdr:nvSpPr>
      <xdr:spPr>
        <a:xfrm rot="10800000">
          <a:off x="8147316" y="2044171"/>
          <a:ext cx="236008" cy="433387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2" name="Seta: Dobrada para Cima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10800000">
          <a:off x="8135409" y="182985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84667</xdr:colOff>
      <xdr:row>51</xdr:row>
      <xdr:rowOff>127000</xdr:rowOff>
    </xdr:from>
    <xdr:to>
      <xdr:col>6</xdr:col>
      <xdr:colOff>465666</xdr:colOff>
      <xdr:row>70</xdr:row>
      <xdr:rowOff>171449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/>
      </xdr:nvSpPr>
      <xdr:spPr>
        <a:xfrm>
          <a:off x="698500" y="5323417"/>
          <a:ext cx="4540249" cy="3865032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+Elétrico + </a:t>
          </a:r>
          <a:r>
            <a:rPr lang="pt-BR" sz="1100" u="none" strike="sngStrike" baseline="0">
              <a:solidFill>
                <a:schemeClr val="tx1"/>
              </a:solidFill>
            </a:rPr>
            <a:t>Gasolina</a:t>
          </a:r>
          <a:r>
            <a:rPr lang="pt-BR" sz="1100" u="none" baseline="0">
              <a:solidFill>
                <a:schemeClr val="tx1"/>
              </a:solidFill>
            </a:rPr>
            <a:t>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 rot="10800000">
          <a:off x="8135409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7" name="Seta: Dobrada para Cima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 rot="10800000">
          <a:off x="8135409" y="120216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0</xdr:colOff>
      <xdr:row>77</xdr:row>
      <xdr:rowOff>0</xdr:rowOff>
    </xdr:from>
    <xdr:to>
      <xdr:col>6</xdr:col>
      <xdr:colOff>380999</xdr:colOff>
      <xdr:row>96</xdr:row>
      <xdr:rowOff>44449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/>
      </xdr:nvSpPr>
      <xdr:spPr>
        <a:xfrm>
          <a:off x="613833" y="10593917"/>
          <a:ext cx="4540249" cy="3865032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 + Álcool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0</xdr:colOff>
      <xdr:row>101</xdr:row>
      <xdr:rowOff>0</xdr:rowOff>
    </xdr:from>
    <xdr:to>
      <xdr:col>6</xdr:col>
      <xdr:colOff>380999</xdr:colOff>
      <xdr:row>120</xdr:row>
      <xdr:rowOff>44449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/>
      </xdr:nvSpPr>
      <xdr:spPr>
        <a:xfrm>
          <a:off x="613833" y="15197667"/>
          <a:ext cx="4540249" cy="3865032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 + Álcool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</a:t>
          </a:r>
          <a:r>
            <a:rPr lang="pt-BR" sz="1100" b="1" baseline="0">
              <a:solidFill>
                <a:sysClr val="windowText" lastClr="000000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ysClr val="windowText" lastClr="000000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38102</xdr:colOff>
      <xdr:row>3</xdr:row>
      <xdr:rowOff>19051</xdr:rowOff>
    </xdr:from>
    <xdr:to>
      <xdr:col>6</xdr:col>
      <xdr:colOff>419101</xdr:colOff>
      <xdr:row>22</xdr:row>
      <xdr:rowOff>42334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 txBox="1"/>
      </xdr:nvSpPr>
      <xdr:spPr>
        <a:xfrm>
          <a:off x="647702" y="619126"/>
          <a:ext cx="4524374" cy="3823758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Flex+ Álcool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tx1"/>
              </a:solidFill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1" name="Seta: Dobrada para Cima 2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/>
      </xdr:nvSpPr>
      <xdr:spPr>
        <a:xfrm rot="10800000">
          <a:off x="8116359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38102</xdr:colOff>
      <xdr:row>27</xdr:row>
      <xdr:rowOff>19051</xdr:rowOff>
    </xdr:from>
    <xdr:to>
      <xdr:col>6</xdr:col>
      <xdr:colOff>419101</xdr:colOff>
      <xdr:row>46</xdr:row>
      <xdr:rowOff>42334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651935" y="421218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 rot="10800000">
          <a:off x="8116359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/>
      </xdr:nvSpPr>
      <xdr:spPr>
        <a:xfrm rot="10800000">
          <a:off x="8135409" y="182985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7" name="Seta: Dobrada para Cima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/>
      </xdr:nvSpPr>
      <xdr:spPr>
        <a:xfrm rot="10800000">
          <a:off x="8135409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8" name="Seta: Dobrada para Cima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/>
      </xdr:nvSpPr>
      <xdr:spPr>
        <a:xfrm rot="10800000">
          <a:off x="8135409" y="11852275"/>
          <a:ext cx="236008" cy="430741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0</xdr:colOff>
      <xdr:row>52</xdr:row>
      <xdr:rowOff>0</xdr:rowOff>
    </xdr:from>
    <xdr:to>
      <xdr:col>6</xdr:col>
      <xdr:colOff>380999</xdr:colOff>
      <xdr:row>71</xdr:row>
      <xdr:rowOff>23282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 txBox="1"/>
      </xdr:nvSpPr>
      <xdr:spPr>
        <a:xfrm>
          <a:off x="613833" y="5598583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38102</xdr:colOff>
      <xdr:row>3</xdr:row>
      <xdr:rowOff>19051</xdr:rowOff>
    </xdr:from>
    <xdr:to>
      <xdr:col>6</xdr:col>
      <xdr:colOff>419101</xdr:colOff>
      <xdr:row>22</xdr:row>
      <xdr:rowOff>42334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 txBox="1"/>
      </xdr:nvSpPr>
      <xdr:spPr>
        <a:xfrm>
          <a:off x="651935" y="5194301"/>
          <a:ext cx="4540249" cy="384386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 + Álcool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2" name="Seta: Dobrada para Cima 2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/>
      </xdr:nvSpPr>
      <xdr:spPr>
        <a:xfrm rot="10800000">
          <a:off x="8135409" y="6602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0</xdr:colOff>
      <xdr:row>51</xdr:row>
      <xdr:rowOff>190500</xdr:rowOff>
    </xdr:from>
    <xdr:to>
      <xdr:col>6</xdr:col>
      <xdr:colOff>380999</xdr:colOff>
      <xdr:row>71</xdr:row>
      <xdr:rowOff>12698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613833" y="10424583"/>
          <a:ext cx="4540249" cy="384386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14817</xdr:colOff>
      <xdr:row>77</xdr:row>
      <xdr:rowOff>4233</xdr:rowOff>
    </xdr:from>
    <xdr:to>
      <xdr:col>6</xdr:col>
      <xdr:colOff>395816</xdr:colOff>
      <xdr:row>96</xdr:row>
      <xdr:rowOff>27515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SpPr txBox="1"/>
      </xdr:nvSpPr>
      <xdr:spPr>
        <a:xfrm>
          <a:off x="628650" y="15455900"/>
          <a:ext cx="4540249" cy="384386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135467</xdr:colOff>
      <xdr:row>103</xdr:row>
      <xdr:rowOff>61384</xdr:rowOff>
    </xdr:from>
    <xdr:to>
      <xdr:col>6</xdr:col>
      <xdr:colOff>516466</xdr:colOff>
      <xdr:row>122</xdr:row>
      <xdr:rowOff>84666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749300" y="20730634"/>
          <a:ext cx="4540249" cy="384386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48685</xdr:colOff>
      <xdr:row>26</xdr:row>
      <xdr:rowOff>82550</xdr:rowOff>
    </xdr:from>
    <xdr:to>
      <xdr:col>6</xdr:col>
      <xdr:colOff>429684</xdr:colOff>
      <xdr:row>46</xdr:row>
      <xdr:rowOff>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662518" y="484717"/>
          <a:ext cx="4540249" cy="393911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baseline="0">
              <a:solidFill>
                <a:srgbClr val="FF0000"/>
              </a:solidFill>
            </a:rPr>
            <a:t>Caminhonete</a:t>
          </a:r>
          <a:r>
            <a:rPr lang="pt-BR" sz="1100" b="1" strike="sngStrike" baseline="0">
              <a:solidFill>
                <a:srgbClr val="FF0000"/>
              </a:solidFill>
            </a:rPr>
            <a:t>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baseline="0">
              <a:solidFill>
                <a:srgbClr val="FF0000"/>
              </a:solidFill>
            </a:rPr>
            <a:t>Camioneta</a:t>
          </a:r>
          <a:r>
            <a:rPr lang="pt-BR" sz="1100" b="1" strike="sngStrike" baseline="0">
              <a:solidFill>
                <a:srgbClr val="FF0000"/>
              </a:solidFill>
            </a:rPr>
            <a:t>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tx1"/>
              </a:solidFill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 rot="10800000">
          <a:off x="8116359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/>
      </xdr:nvSpPr>
      <xdr:spPr>
        <a:xfrm rot="10800000">
          <a:off x="8135409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603250</xdr:colOff>
      <xdr:row>51</xdr:row>
      <xdr:rowOff>116417</xdr:rowOff>
    </xdr:from>
    <xdr:to>
      <xdr:col>6</xdr:col>
      <xdr:colOff>370416</xdr:colOff>
      <xdr:row>71</xdr:row>
      <xdr:rowOff>33866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 txBox="1"/>
      </xdr:nvSpPr>
      <xdr:spPr>
        <a:xfrm>
          <a:off x="603250" y="5323417"/>
          <a:ext cx="4540249" cy="393911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Caminhonete</a:t>
          </a:r>
          <a:r>
            <a:rPr lang="pt-BR" sz="1100" b="1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pt-B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+ Diesel + Elétrico</a:t>
          </a:r>
          <a:endParaRPr lang="pt-BR">
            <a:solidFill>
              <a:srgbClr val="FF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Camioneta</a:t>
          </a:r>
          <a:r>
            <a:rPr lang="pt-BR" sz="1100" b="1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pt-B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 </a:t>
          </a:r>
          <a:r>
            <a:rPr lang="pt-B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+ Diesel + Elétrico</a:t>
          </a:r>
          <a:endParaRPr lang="pt-BR">
            <a:solidFill>
              <a:srgbClr val="FF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tx1"/>
              </a:solidFill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7" name="Seta: Dobrada para Cima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 rot="10800000">
          <a:off x="8135409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8" name="Seta: Dobrada para Cima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 rot="10800000">
          <a:off x="8135409" y="11831108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0</xdr:colOff>
      <xdr:row>77</xdr:row>
      <xdr:rowOff>0</xdr:rowOff>
    </xdr:from>
    <xdr:to>
      <xdr:col>6</xdr:col>
      <xdr:colOff>380999</xdr:colOff>
      <xdr:row>96</xdr:row>
      <xdr:rowOff>118533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 txBox="1"/>
      </xdr:nvSpPr>
      <xdr:spPr>
        <a:xfrm>
          <a:off x="613833" y="10403417"/>
          <a:ext cx="4540249" cy="393911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Caminhonete</a:t>
          </a:r>
          <a:r>
            <a:rPr lang="pt-BR" sz="1100" b="1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pt-B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+ Diesel + Elétrico</a:t>
          </a:r>
          <a:endParaRPr lang="pt-BR">
            <a:solidFill>
              <a:srgbClr val="FF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Camioneta</a:t>
          </a:r>
          <a:r>
            <a:rPr lang="pt-BR" sz="1100" b="1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pt-B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+ Diesel + Elétrico</a:t>
          </a:r>
          <a:endParaRPr lang="pt-BR">
            <a:solidFill>
              <a:srgbClr val="FF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tx1"/>
              </a:solidFill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0</xdr:colOff>
      <xdr:row>101</xdr:row>
      <xdr:rowOff>0</xdr:rowOff>
    </xdr:from>
    <xdr:to>
      <xdr:col>6</xdr:col>
      <xdr:colOff>380999</xdr:colOff>
      <xdr:row>120</xdr:row>
      <xdr:rowOff>118533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 txBox="1"/>
      </xdr:nvSpPr>
      <xdr:spPr>
        <a:xfrm>
          <a:off x="613833" y="15197667"/>
          <a:ext cx="4540249" cy="393911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Caminhonete</a:t>
          </a:r>
          <a:r>
            <a:rPr lang="pt-BR" sz="1100" b="1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pt-B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+ Diesel + Elétrico</a:t>
          </a:r>
          <a:endParaRPr lang="pt-BR">
            <a:solidFill>
              <a:srgbClr val="FF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Camioneta</a:t>
          </a:r>
          <a:r>
            <a:rPr lang="pt-BR" sz="1100" b="1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pt-B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+ Diesel + Elétrico</a:t>
          </a:r>
          <a:endParaRPr lang="pt-BR">
            <a:solidFill>
              <a:srgbClr val="FF0000"/>
            </a:solidFill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38102</xdr:colOff>
      <xdr:row>3</xdr:row>
      <xdr:rowOff>19051</xdr:rowOff>
    </xdr:from>
    <xdr:to>
      <xdr:col>6</xdr:col>
      <xdr:colOff>419101</xdr:colOff>
      <xdr:row>22</xdr:row>
      <xdr:rowOff>42334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 txBox="1"/>
      </xdr:nvSpPr>
      <xdr:spPr>
        <a:xfrm>
          <a:off x="647702" y="619126"/>
          <a:ext cx="4524374" cy="3823758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strike="sngStrike" baseline="0">
              <a:solidFill>
                <a:schemeClr val="tx1"/>
              </a:solidFill>
            </a:rPr>
            <a:t>Gasolina </a:t>
          </a: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1" name="Seta: Dobrada para Cima 2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/>
      </xdr:nvSpPr>
      <xdr:spPr>
        <a:xfrm rot="10800000">
          <a:off x="8116359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69852</xdr:colOff>
      <xdr:row>26</xdr:row>
      <xdr:rowOff>82551</xdr:rowOff>
    </xdr:from>
    <xdr:to>
      <xdr:col>6</xdr:col>
      <xdr:colOff>450851</xdr:colOff>
      <xdr:row>44</xdr:row>
      <xdr:rowOff>201083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683685" y="283634"/>
          <a:ext cx="4540249" cy="3738032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324909</xdr:colOff>
      <xdr:row>34</xdr:row>
      <xdr:rowOff>20108</xdr:rowOff>
    </xdr:from>
    <xdr:to>
      <xdr:col>9</xdr:col>
      <xdr:colOff>560917</xdr:colOff>
      <xdr:row>36</xdr:row>
      <xdr:rowOff>48683</xdr:rowOff>
    </xdr:to>
    <xdr:sp macro="" textlink="">
      <xdr:nvSpPr>
        <xdr:cNvPr id="3" name="Seta: Dobrada para Cima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 rot="10800000">
          <a:off x="8116359" y="1820333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59</xdr:row>
      <xdr:rowOff>20108</xdr:rowOff>
    </xdr:from>
    <xdr:to>
      <xdr:col>9</xdr:col>
      <xdr:colOff>560917</xdr:colOff>
      <xdr:row>61</xdr:row>
      <xdr:rowOff>48683</xdr:rowOff>
    </xdr:to>
    <xdr:sp macro="" textlink="">
      <xdr:nvSpPr>
        <xdr:cNvPr id="4" name="Seta: Dobrada para Cima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 rot="10800000">
          <a:off x="8135409" y="2030941"/>
          <a:ext cx="236008" cy="430742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0</xdr:colOff>
      <xdr:row>52</xdr:row>
      <xdr:rowOff>0</xdr:rowOff>
    </xdr:from>
    <xdr:to>
      <xdr:col>6</xdr:col>
      <xdr:colOff>380999</xdr:colOff>
      <xdr:row>70</xdr:row>
      <xdr:rowOff>118532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 txBox="1"/>
      </xdr:nvSpPr>
      <xdr:spPr>
        <a:xfrm>
          <a:off x="613833" y="5408083"/>
          <a:ext cx="4540249" cy="3738032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Caminhonete: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324909</xdr:colOff>
      <xdr:row>84</xdr:row>
      <xdr:rowOff>20108</xdr:rowOff>
    </xdr:from>
    <xdr:to>
      <xdr:col>9</xdr:col>
      <xdr:colOff>560917</xdr:colOff>
      <xdr:row>86</xdr:row>
      <xdr:rowOff>48683</xdr:rowOff>
    </xdr:to>
    <xdr:sp macro="" textlink="">
      <xdr:nvSpPr>
        <xdr:cNvPr id="6" name="Seta: Dobrada para Cima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 rot="10800000">
          <a:off x="8135409" y="6835775"/>
          <a:ext cx="236008" cy="430741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324909</xdr:colOff>
      <xdr:row>109</xdr:row>
      <xdr:rowOff>20108</xdr:rowOff>
    </xdr:from>
    <xdr:to>
      <xdr:col>9</xdr:col>
      <xdr:colOff>560917</xdr:colOff>
      <xdr:row>111</xdr:row>
      <xdr:rowOff>48683</xdr:rowOff>
    </xdr:to>
    <xdr:sp macro="" textlink="">
      <xdr:nvSpPr>
        <xdr:cNvPr id="7" name="Seta: Dobrada para Cima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/>
      </xdr:nvSpPr>
      <xdr:spPr>
        <a:xfrm rot="10800000">
          <a:off x="8135409" y="6835775"/>
          <a:ext cx="236008" cy="430741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21167</xdr:colOff>
      <xdr:row>77</xdr:row>
      <xdr:rowOff>10584</xdr:rowOff>
    </xdr:from>
    <xdr:to>
      <xdr:col>6</xdr:col>
      <xdr:colOff>402166</xdr:colOff>
      <xdr:row>95</xdr:row>
      <xdr:rowOff>129116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 txBox="1"/>
      </xdr:nvSpPr>
      <xdr:spPr>
        <a:xfrm>
          <a:off x="635000" y="10414001"/>
          <a:ext cx="4540249" cy="3738032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 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0</xdr:colOff>
      <xdr:row>102</xdr:row>
      <xdr:rowOff>0</xdr:rowOff>
    </xdr:from>
    <xdr:to>
      <xdr:col>6</xdr:col>
      <xdr:colOff>380999</xdr:colOff>
      <xdr:row>120</xdr:row>
      <xdr:rowOff>118532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 txBox="1"/>
      </xdr:nvSpPr>
      <xdr:spPr>
        <a:xfrm>
          <a:off x="613833" y="15398750"/>
          <a:ext cx="4540249" cy="3738032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tx1"/>
              </a:solidFill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</a:rPr>
            <a:t> 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38102</xdr:colOff>
      <xdr:row>3</xdr:row>
      <xdr:rowOff>19051</xdr:rowOff>
    </xdr:from>
    <xdr:to>
      <xdr:col>6</xdr:col>
      <xdr:colOff>419101</xdr:colOff>
      <xdr:row>22</xdr:row>
      <xdr:rowOff>42334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 txBox="1"/>
      </xdr:nvSpPr>
      <xdr:spPr>
        <a:xfrm>
          <a:off x="647702" y="619126"/>
          <a:ext cx="4524374" cy="3823758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>
              <a:solidFill>
                <a:srgbClr val="FF0000"/>
              </a:solidFill>
            </a:rPr>
            <a:t>Premissas: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>
              <a:solidFill>
                <a:srgbClr val="FF0000"/>
              </a:solidFill>
            </a:rPr>
            <a:t>COMBUSTÍVEL</a:t>
          </a:r>
        </a:p>
        <a:p>
          <a:endParaRPr lang="pt-BR" sz="1100">
            <a:solidFill>
              <a:srgbClr val="FF0000"/>
            </a:solidFill>
          </a:endParaRPr>
        </a:p>
        <a:p>
          <a:r>
            <a:rPr lang="pt-BR" sz="1100" b="1">
              <a:solidFill>
                <a:srgbClr val="FF0000"/>
              </a:solidFill>
            </a:rPr>
            <a:t>Diesel</a:t>
          </a:r>
          <a:r>
            <a:rPr lang="pt-BR" sz="1100" b="1" baseline="0">
              <a:solidFill>
                <a:srgbClr val="FF0000"/>
              </a:solidFill>
            </a:rPr>
            <a:t>: </a:t>
          </a:r>
          <a:r>
            <a:rPr lang="pt-BR" sz="1100" baseline="0">
              <a:solidFill>
                <a:srgbClr val="FF0000"/>
              </a:solidFill>
            </a:rPr>
            <a:t>Caminhão + Caminhão Trator + Micro ônibus + Ônibus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Gasolina : </a:t>
          </a:r>
          <a:r>
            <a:rPr lang="pt-BR" sz="1100" baseline="0">
              <a:solidFill>
                <a:srgbClr val="FF0000"/>
              </a:solidFill>
            </a:rPr>
            <a:t>Automóveis + Motocicletas + Utilitários + Camioneta + Caminhonete</a:t>
          </a:r>
        </a:p>
        <a:p>
          <a:r>
            <a:rPr lang="pt-BR" sz="1100" b="1" baseline="0">
              <a:solidFill>
                <a:srgbClr val="FF0000"/>
              </a:solidFill>
            </a:rPr>
            <a:t>Álcool: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r>
            <a:rPr lang="pt-BR" sz="1100" b="1" baseline="0">
              <a:solidFill>
                <a:srgbClr val="FF0000"/>
              </a:solidFill>
            </a:rPr>
            <a:t>FLEX: </a:t>
          </a:r>
          <a:r>
            <a:rPr lang="pt-BR" sz="1100" baseline="0">
              <a:solidFill>
                <a:srgbClr val="FF0000"/>
              </a:solidFill>
            </a:rPr>
            <a:t>Automóveis + Utilitário</a:t>
          </a:r>
        </a:p>
        <a:p>
          <a:r>
            <a:rPr lang="pt-BR" sz="1100" b="1" baseline="0">
              <a:solidFill>
                <a:srgbClr val="FF0000"/>
              </a:solidFill>
            </a:rPr>
            <a:t>Álcool/Gasolina/Gás Natural: </a:t>
          </a:r>
          <a:r>
            <a:rPr lang="pt-BR" sz="1100" baseline="0">
              <a:solidFill>
                <a:srgbClr val="FF0000"/>
              </a:solidFill>
            </a:rPr>
            <a:t>Automóveis 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aseline="0">
              <a:solidFill>
                <a:srgbClr val="FF0000"/>
              </a:solidFill>
            </a:rPr>
            <a:t>FROTA</a:t>
          </a:r>
        </a:p>
        <a:p>
          <a:endParaRPr lang="pt-BR" sz="1100" baseline="0">
            <a:solidFill>
              <a:srgbClr val="FF0000"/>
            </a:solidFill>
          </a:endParaRPr>
        </a:p>
        <a:p>
          <a:r>
            <a:rPr lang="pt-BR" sz="1100" b="1" baseline="0">
              <a:solidFill>
                <a:srgbClr val="FF0000"/>
              </a:solidFill>
            </a:rPr>
            <a:t>Automóvel:</a:t>
          </a:r>
          <a:r>
            <a:rPr lang="pt-BR" sz="1100" baseline="0">
              <a:solidFill>
                <a:srgbClr val="FF0000"/>
              </a:solidFill>
            </a:rPr>
            <a:t> GNV + Flex + Álcool + Elétrico + </a:t>
          </a:r>
          <a:r>
            <a:rPr lang="pt-BR" sz="1100" strike="sng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1" baseline="0">
              <a:solidFill>
                <a:srgbClr val="FF0000"/>
              </a:solidFill>
            </a:rPr>
            <a:t>Caminhão + Caminhão Trator</a:t>
          </a:r>
          <a:r>
            <a:rPr lang="pt-BR" sz="1100" baseline="0">
              <a:solidFill>
                <a:srgbClr val="FF0000"/>
              </a:solidFill>
            </a:rPr>
            <a:t>: 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Caminhonete: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Camioneta: </a:t>
          </a:r>
          <a:r>
            <a:rPr lang="pt-BR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Gasolina</a:t>
          </a:r>
          <a:r>
            <a:rPr lang="pt-BR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rgbClr val="FF0000"/>
              </a:solidFill>
            </a:rPr>
            <a:t>+ Diesel + Elétrico</a:t>
          </a:r>
        </a:p>
        <a:p>
          <a:r>
            <a:rPr lang="pt-BR" sz="1100" b="1" baseline="0">
              <a:solidFill>
                <a:srgbClr val="FF0000"/>
              </a:solidFill>
            </a:rPr>
            <a:t>Micro ônibus + Ônibus: </a:t>
          </a:r>
          <a:r>
            <a:rPr lang="pt-BR" sz="1100" baseline="0">
              <a:solidFill>
                <a:srgbClr val="FF0000"/>
              </a:solidFill>
            </a:rPr>
            <a:t>100% Diesel </a:t>
          </a:r>
        </a:p>
        <a:p>
          <a:r>
            <a:rPr lang="pt-BR" sz="1100" b="1" baseline="0">
              <a:solidFill>
                <a:srgbClr val="FF0000"/>
              </a:solidFill>
            </a:rPr>
            <a:t>Motocicleta + Motoneta: </a:t>
          </a:r>
          <a:r>
            <a:rPr lang="pt-BR" sz="1100" baseline="0">
              <a:solidFill>
                <a:srgbClr val="FF0000"/>
              </a:solidFill>
            </a:rPr>
            <a:t>100%  Gasolina</a:t>
          </a:r>
        </a:p>
        <a:p>
          <a:r>
            <a:rPr lang="pt-BR" sz="1100" b="1" baseline="0">
              <a:solidFill>
                <a:srgbClr val="FF0000"/>
              </a:solidFill>
            </a:rPr>
            <a:t>Utilitário</a:t>
          </a:r>
          <a:r>
            <a:rPr lang="pt-BR" sz="1100" baseline="0">
              <a:solidFill>
                <a:srgbClr val="FF0000"/>
              </a:solidFill>
            </a:rPr>
            <a:t>: Flex + Elétrico +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Gasolina</a:t>
          </a:r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 baseline="0">
            <a:solidFill>
              <a:srgbClr val="FF0000"/>
            </a:solidFill>
          </a:endParaRPr>
        </a:p>
        <a:p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324909</xdr:colOff>
      <xdr:row>10</xdr:row>
      <xdr:rowOff>20108</xdr:rowOff>
    </xdr:from>
    <xdr:to>
      <xdr:col>9</xdr:col>
      <xdr:colOff>560917</xdr:colOff>
      <xdr:row>12</xdr:row>
      <xdr:rowOff>48683</xdr:rowOff>
    </xdr:to>
    <xdr:sp macro="" textlink="">
      <xdr:nvSpPr>
        <xdr:cNvPr id="11" name="Seta: Dobrada para Cima 2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/>
      </xdr:nvSpPr>
      <xdr:spPr>
        <a:xfrm rot="10800000">
          <a:off x="8116359" y="2020358"/>
          <a:ext cx="236008" cy="428625"/>
        </a:xfrm>
        <a:prstGeom prst="bent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AM36"/>
  <sheetViews>
    <sheetView showGridLines="0" tabSelected="1" workbookViewId="0">
      <pane xSplit="1" topLeftCell="Q1" activePane="topRight" state="frozen"/>
      <selection pane="topRight" activeCell="Z14" sqref="Z14"/>
    </sheetView>
  </sheetViews>
  <sheetFormatPr defaultRowHeight="15"/>
  <cols>
    <col min="1" max="1" width="28.85546875" style="4" customWidth="1"/>
    <col min="2" max="2" width="2.5703125" customWidth="1"/>
    <col min="7" max="7" width="5.5703125" customWidth="1"/>
    <col min="8" max="8" width="10.140625" bestFit="1" customWidth="1"/>
    <col min="12" max="13" width="10.140625" bestFit="1" customWidth="1"/>
    <col min="14" max="14" width="5.140625" customWidth="1"/>
    <col min="19" max="19" width="5.140625" customWidth="1"/>
    <col min="24" max="24" width="5.140625" customWidth="1"/>
    <col min="25" max="25" width="10.28515625" bestFit="1" customWidth="1"/>
    <col min="26" max="26" width="5.140625" customWidth="1"/>
    <col min="27" max="27" width="17.28515625" bestFit="1" customWidth="1"/>
    <col min="28" max="28" width="5.140625" customWidth="1"/>
    <col min="29" max="29" width="7.5703125" bestFit="1" customWidth="1"/>
    <col min="30" max="30" width="5.140625" customWidth="1"/>
    <col min="31" max="31" width="13.140625" bestFit="1" customWidth="1"/>
    <col min="32" max="32" width="5.140625" customWidth="1"/>
    <col min="33" max="33" width="12" bestFit="1" customWidth="1"/>
    <col min="34" max="34" width="5.140625" customWidth="1"/>
    <col min="35" max="35" width="10" bestFit="1" customWidth="1"/>
    <col min="37" max="37" width="11.140625" bestFit="1" customWidth="1"/>
  </cols>
  <sheetData>
    <row r="1" spans="1:39" ht="15.75">
      <c r="A1" s="23"/>
    </row>
    <row r="2" spans="1:39" ht="15.75" customHeight="1">
      <c r="A2" s="89" t="str">
        <f>"Frota por tipo de veículo e combustível - Junho/"&amp;ONSV_AUX_2018!A1&amp;""</f>
        <v>Frota por tipo de veículo e combustível - Junho/2018</v>
      </c>
      <c r="C2" s="93" t="s">
        <v>0</v>
      </c>
      <c r="D2" s="93"/>
      <c r="E2" s="93"/>
      <c r="F2" s="93"/>
      <c r="H2" s="93" t="s">
        <v>1</v>
      </c>
      <c r="I2" s="93"/>
      <c r="J2" s="93"/>
      <c r="K2" s="93"/>
      <c r="L2" s="93"/>
      <c r="M2" s="93"/>
      <c r="O2" s="94" t="s">
        <v>2</v>
      </c>
      <c r="P2" s="95"/>
      <c r="Q2" s="95"/>
      <c r="R2" s="96"/>
      <c r="T2" s="94" t="s">
        <v>3</v>
      </c>
      <c r="U2" s="95"/>
      <c r="V2" s="95"/>
      <c r="W2" s="96"/>
      <c r="Y2" s="28" t="s">
        <v>4</v>
      </c>
      <c r="AA2" s="28" t="s">
        <v>5</v>
      </c>
      <c r="AC2" s="28" t="s">
        <v>6</v>
      </c>
      <c r="AE2" s="28" t="s">
        <v>7</v>
      </c>
      <c r="AG2" s="28" t="s">
        <v>8</v>
      </c>
      <c r="AI2" s="28" t="s">
        <v>9</v>
      </c>
      <c r="AK2" s="91" t="s">
        <v>10</v>
      </c>
    </row>
    <row r="3" spans="1:39" ht="15.75">
      <c r="A3" s="90"/>
      <c r="C3" s="28" t="s">
        <v>11</v>
      </c>
      <c r="D3" s="28" t="s">
        <v>12</v>
      </c>
      <c r="E3" s="28" t="s">
        <v>13</v>
      </c>
      <c r="F3" s="28" t="s">
        <v>14</v>
      </c>
      <c r="H3" s="28" t="s">
        <v>11</v>
      </c>
      <c r="I3" s="28" t="s">
        <v>15</v>
      </c>
      <c r="J3" s="28" t="s">
        <v>16</v>
      </c>
      <c r="K3" s="28" t="s">
        <v>12</v>
      </c>
      <c r="L3" s="28" t="s">
        <v>13</v>
      </c>
      <c r="M3" s="28" t="s">
        <v>14</v>
      </c>
      <c r="O3" s="28" t="s">
        <v>17</v>
      </c>
      <c r="P3" s="28" t="s">
        <v>12</v>
      </c>
      <c r="Q3" s="28" t="s">
        <v>13</v>
      </c>
      <c r="R3" s="28" t="s">
        <v>14</v>
      </c>
      <c r="T3" s="28" t="s">
        <v>17</v>
      </c>
      <c r="U3" s="28" t="s">
        <v>12</v>
      </c>
      <c r="V3" s="28" t="s">
        <v>13</v>
      </c>
      <c r="W3" s="28" t="s">
        <v>14</v>
      </c>
      <c r="Y3" s="28" t="s">
        <v>17</v>
      </c>
      <c r="AA3" s="28" t="s">
        <v>17</v>
      </c>
      <c r="AC3" s="28" t="s">
        <v>17</v>
      </c>
      <c r="AE3" s="28" t="s">
        <v>17</v>
      </c>
      <c r="AG3" s="28" t="s">
        <v>13</v>
      </c>
      <c r="AI3" s="28" t="s">
        <v>13</v>
      </c>
      <c r="AK3" s="92"/>
      <c r="AM3" t="s">
        <v>18</v>
      </c>
    </row>
    <row r="4" spans="1:39">
      <c r="A4" s="42" t="s">
        <v>19</v>
      </c>
      <c r="C4" s="46">
        <f>SUM(C5,C13,C32,C28,C23)</f>
        <v>559413.5416184403</v>
      </c>
      <c r="D4" s="46">
        <f>SUM(D5,D13,D32,D28,D23)</f>
        <v>151.77222534156863</v>
      </c>
      <c r="E4" s="46">
        <f t="shared" ref="E4" si="0">SUM(E5,E13,E32,E28,E23)</f>
        <v>274748.68615621817</v>
      </c>
      <c r="F4" s="46">
        <f>SUM(F5,F13,F32,F28,F23)</f>
        <v>834314</v>
      </c>
      <c r="H4" s="46">
        <f t="shared" ref="H4:L4" si="1">SUM(H5,H13,H32,H28,H23)</f>
        <v>34707390.790661603</v>
      </c>
      <c r="I4" s="46">
        <f t="shared" si="1"/>
        <v>4155553</v>
      </c>
      <c r="J4" s="46">
        <f t="shared" si="1"/>
        <v>2137971</v>
      </c>
      <c r="K4" s="46">
        <f t="shared" ref="K4" si="2">SUM(K5,K13,K32,K28,K23)</f>
        <v>9626.3694396954525</v>
      </c>
      <c r="L4" s="46">
        <f t="shared" si="1"/>
        <v>12835261.839898702</v>
      </c>
      <c r="M4" s="46">
        <f>SUM(M5,M13,M32,M28,M23)</f>
        <v>53845803</v>
      </c>
      <c r="O4" s="46">
        <f t="shared" ref="O4:Q4" si="3">SUM(O5,O13,O32,O28,O23)</f>
        <v>2124972.7293884335</v>
      </c>
      <c r="P4" s="46">
        <f t="shared" ref="P4" si="4">SUM(P5,P13,P32,P28,P23)</f>
        <v>1303.905442324558</v>
      </c>
      <c r="Q4" s="46">
        <f t="shared" si="3"/>
        <v>5247486.365169242</v>
      </c>
      <c r="R4" s="46">
        <f t="shared" ref="R4" si="5">SUM(R5,R13,R32,R28,R23)</f>
        <v>7373763</v>
      </c>
      <c r="T4" s="46">
        <f t="shared" ref="T4:V4" si="6">SUM(T5,T13,T32,T28,T23)</f>
        <v>867270.27061156672</v>
      </c>
      <c r="U4" s="46">
        <f t="shared" ref="U4" si="7">SUM(U5,U13,U32,U28,U23)</f>
        <v>601.95289263984796</v>
      </c>
      <c r="V4" s="46">
        <f t="shared" si="6"/>
        <v>2443579.7764957938</v>
      </c>
      <c r="W4" s="46">
        <f t="shared" ref="W4" si="8">SUM(W5,W13,W32,W28,W23)</f>
        <v>3311452</v>
      </c>
      <c r="Y4" s="46">
        <f t="shared" ref="Y4" si="9">SUM(Y5,Y13,Y32,Y28,Y23)</f>
        <v>2745915</v>
      </c>
      <c r="AA4" s="46">
        <f>SUM(AA5,AA13,AA32,AA28,AA23)</f>
        <v>637280</v>
      </c>
      <c r="AC4" s="46">
        <f t="shared" ref="AC4" si="10">SUM(AC5,AC13,AC32,AC28,AC23)</f>
        <v>619021</v>
      </c>
      <c r="AE4" s="46">
        <f t="shared" ref="AE4" si="11">SUM(AE5,AE13,AE32,AE28,AE23)</f>
        <v>394515</v>
      </c>
      <c r="AG4" s="46">
        <f t="shared" ref="AG4" si="12">SUM(AG5,AG13,AG32,AG28,AG23)</f>
        <v>22006482</v>
      </c>
      <c r="AI4" s="46">
        <f t="shared" ref="AI4" si="13">SUM(AI5,AI13,AI32,AI28,AI23)</f>
        <v>4250746</v>
      </c>
      <c r="AK4" s="46">
        <f>SUM(F4,M4,R4,W4,Y4,AA4,AC4,AE4,AG4,AI4)</f>
        <v>96019291</v>
      </c>
    </row>
    <row r="5" spans="1:39">
      <c r="A5" s="42" t="s">
        <v>20</v>
      </c>
      <c r="C5" s="46">
        <f>SUM(C6:C12)</f>
        <v>29011.902441780127</v>
      </c>
      <c r="D5" s="46">
        <f>SUM(D6:D12)</f>
        <v>5.5654450525453285</v>
      </c>
      <c r="E5" s="46">
        <f t="shared" ref="E5" si="14">SUM(E6:E12)</f>
        <v>164.53211316732722</v>
      </c>
      <c r="F5" s="46">
        <f>SUM(C5:E5)</f>
        <v>29182</v>
      </c>
      <c r="H5" s="46">
        <f t="shared" ref="H5:L5" si="15">SUM(H6:H12)</f>
        <v>1618331.7454822541</v>
      </c>
      <c r="I5" s="46">
        <f t="shared" si="15"/>
        <v>67862</v>
      </c>
      <c r="J5" s="46">
        <f t="shared" si="15"/>
        <v>2836</v>
      </c>
      <c r="K5" s="46">
        <f t="shared" ref="K5" si="16">SUM(K6:K12)</f>
        <v>322.25451774582325</v>
      </c>
      <c r="L5" s="46">
        <f t="shared" si="15"/>
        <v>0</v>
      </c>
      <c r="M5" s="46">
        <f>SUM(H5:L5)</f>
        <v>1689352</v>
      </c>
      <c r="O5" s="46">
        <f t="shared" ref="O5:Q5" si="17">SUM(O6:O12)</f>
        <v>189719.38815071568</v>
      </c>
      <c r="P5" s="46">
        <f t="shared" ref="P5" si="18">SUM(P6:P12)</f>
        <v>86.089339338799618</v>
      </c>
      <c r="Q5" s="46">
        <f t="shared" si="17"/>
        <v>268334.5225099455</v>
      </c>
      <c r="R5" s="46">
        <f>SUM(O5:Q5)</f>
        <v>458140</v>
      </c>
      <c r="T5" s="46">
        <f t="shared" ref="T5:V5" si="19">SUM(T6:T12)</f>
        <v>41186.611849284287</v>
      </c>
      <c r="U5" s="46">
        <f t="shared" ref="U5" si="20">SUM(U6:U12)</f>
        <v>20.090697862814523</v>
      </c>
      <c r="V5" s="46">
        <f t="shared" si="19"/>
        <v>61880.297452852894</v>
      </c>
      <c r="W5" s="46">
        <f>SUM(T5:V5)</f>
        <v>103087</v>
      </c>
      <c r="Y5" s="46">
        <f t="shared" ref="Y5" si="21">SUM(Y6:Y12)</f>
        <v>150784</v>
      </c>
      <c r="AA5" s="46">
        <f>SUM(AA6:AA12)</f>
        <v>24949</v>
      </c>
      <c r="AC5" s="46">
        <f t="shared" ref="AC5" si="22">SUM(AC6:AC12)</f>
        <v>42096</v>
      </c>
      <c r="AE5" s="46">
        <f t="shared" ref="AE5" si="23">SUM(AE6:AE12)</f>
        <v>14487</v>
      </c>
      <c r="AG5" s="46">
        <f t="shared" ref="AG5" si="24">SUM(AG6:AG12)</f>
        <v>1982077</v>
      </c>
      <c r="AI5" s="46">
        <f t="shared" ref="AI5" si="25">SUM(AI6:AI12)</f>
        <v>513678</v>
      </c>
      <c r="AK5" s="46">
        <f t="shared" ref="AK5:AK36" si="26">SUM(F5,M5,R5,W5,Y5,AA5,AC5,AE5,AG5,AI5)</f>
        <v>5007832</v>
      </c>
    </row>
    <row r="6" spans="1:39">
      <c r="A6" s="43" t="s">
        <v>21</v>
      </c>
      <c r="C6" s="45">
        <f>AC!$U$7</f>
        <v>1274.6943022041069</v>
      </c>
      <c r="D6" s="45">
        <f>AC!$U$8</f>
        <v>0.30569779589313839</v>
      </c>
      <c r="E6" s="45">
        <f>AC!$U$9</f>
        <v>0</v>
      </c>
      <c r="F6" s="46">
        <f>SUM(C6:E6)</f>
        <v>1275</v>
      </c>
      <c r="H6" s="45">
        <f>AC!$U$11</f>
        <v>81563.568837663333</v>
      </c>
      <c r="I6" s="45">
        <f>AC!$U$12</f>
        <v>3614</v>
      </c>
      <c r="J6" s="45">
        <f>AC!$U$13</f>
        <v>16</v>
      </c>
      <c r="K6" s="45">
        <f>AC!$U$14</f>
        <v>20.431162336666603</v>
      </c>
      <c r="L6" s="45">
        <f>AC!$U$15</f>
        <v>0</v>
      </c>
      <c r="M6" s="46">
        <f>SUM(H6:L6)</f>
        <v>85214</v>
      </c>
      <c r="O6" s="45">
        <f>AC!$U$17</f>
        <v>13519.806952101146</v>
      </c>
      <c r="P6" s="45">
        <f>AC!$U$18</f>
        <v>6.2549365484410373</v>
      </c>
      <c r="Q6" s="45">
        <f>AC!$U$19</f>
        <v>12561.938111350413</v>
      </c>
      <c r="R6" s="46">
        <f>SUM(O6:Q6)</f>
        <v>26088</v>
      </c>
      <c r="T6" s="45">
        <f>AC!$X$7</f>
        <v>2179.1930478988547</v>
      </c>
      <c r="U6" s="45">
        <f>AC!$X$8</f>
        <v>1.0082033190046786</v>
      </c>
      <c r="V6" s="45">
        <f>AC!$X$9</f>
        <v>2024.7987487821406</v>
      </c>
      <c r="W6" s="46">
        <f>SUM(T6:V6)</f>
        <v>4205</v>
      </c>
      <c r="Y6" s="45">
        <f>AC!$X$11</f>
        <v>7170</v>
      </c>
      <c r="AA6" s="45">
        <f>AC!$X$12</f>
        <v>873</v>
      </c>
      <c r="AC6" s="45">
        <f>AC!$X$14</f>
        <v>1137</v>
      </c>
      <c r="AE6" s="45">
        <f>AC!$X$15</f>
        <v>363</v>
      </c>
      <c r="AG6" s="45">
        <f>AC!$X$17</f>
        <v>114726</v>
      </c>
      <c r="AI6" s="45">
        <f>AC!$X$18</f>
        <v>24719</v>
      </c>
      <c r="AK6" s="45">
        <f>SUM(F6,M6,R6,W6,Y6,AA6,AC6,AE6,AG6,AI6)</f>
        <v>265770</v>
      </c>
      <c r="AM6" t="str">
        <f>IF((AK6=AC!$X$21),"ok","erro")</f>
        <v>ok</v>
      </c>
    </row>
    <row r="7" spans="1:39">
      <c r="A7" s="43" t="s">
        <v>22</v>
      </c>
      <c r="C7" s="45">
        <f>AP!$U$7</f>
        <v>968.83418891170436</v>
      </c>
      <c r="D7" s="45">
        <f>AP!$U$8</f>
        <v>0.16581108829564073</v>
      </c>
      <c r="E7" s="45">
        <f>AP!$U$9</f>
        <v>0</v>
      </c>
      <c r="F7" s="46">
        <f>SUM(C7:E7)</f>
        <v>969</v>
      </c>
      <c r="H7" s="45">
        <f>AP!$U$11</f>
        <v>76986.575633127999</v>
      </c>
      <c r="I7" s="45">
        <f>AP!$U$12</f>
        <v>1440</v>
      </c>
      <c r="J7" s="45">
        <f>AP!$U$13</f>
        <v>12</v>
      </c>
      <c r="K7" s="45">
        <f>AP!$U$14</f>
        <v>13.424366872000974</v>
      </c>
      <c r="L7" s="45">
        <f>AP!$U$15</f>
        <v>0</v>
      </c>
      <c r="M7" s="46">
        <f t="shared" ref="M7:M36" si="27">SUM(H7:L7)</f>
        <v>78452</v>
      </c>
      <c r="O7" s="45">
        <f>AP!$U$17</f>
        <v>5987.2907143688644</v>
      </c>
      <c r="P7" s="45">
        <f>AP!$U$18</f>
        <v>3.6463039014379319</v>
      </c>
      <c r="Q7" s="45">
        <f>AP!$U$19</f>
        <v>15318.062981729698</v>
      </c>
      <c r="R7" s="46">
        <f t="shared" ref="R7:R36" si="28">SUM(O7:Q7)</f>
        <v>21309</v>
      </c>
      <c r="T7" s="45">
        <f>AP!$X$7</f>
        <v>1253.709285631136</v>
      </c>
      <c r="U7" s="45">
        <f>AP!$X$8</f>
        <v>0.76351813826113357</v>
      </c>
      <c r="V7" s="45">
        <f>AP!$X$9</f>
        <v>3207.5271962306028</v>
      </c>
      <c r="W7" s="46">
        <f t="shared" ref="W7:W36" si="29">SUM(T7:V7)</f>
        <v>4462</v>
      </c>
      <c r="Y7" s="45">
        <f>AP!$X$11</f>
        <v>4092</v>
      </c>
      <c r="AA7" s="45">
        <f>AP!$X$12</f>
        <v>360</v>
      </c>
      <c r="AC7" s="45">
        <f>AP!$X$14</f>
        <v>1208</v>
      </c>
      <c r="AE7" s="45">
        <f>AP!$X$15</f>
        <v>455</v>
      </c>
      <c r="AG7" s="45">
        <f>AP!$X$17</f>
        <v>63513</v>
      </c>
      <c r="AI7" s="45">
        <f>AP!$X$18</f>
        <v>12349</v>
      </c>
      <c r="AK7" s="45">
        <f t="shared" si="26"/>
        <v>187169</v>
      </c>
      <c r="AM7" t="str">
        <f>IF((AK7=AP!$X$21),"ok","erro")</f>
        <v>ok</v>
      </c>
    </row>
    <row r="8" spans="1:39">
      <c r="A8" s="43" t="s">
        <v>23</v>
      </c>
      <c r="C8" s="45">
        <f>AM!$U$7</f>
        <v>4952.2998481897785</v>
      </c>
      <c r="D8" s="45">
        <f>AM!$U$8</f>
        <v>1.1680386428943166</v>
      </c>
      <c r="E8" s="45">
        <f>AM!$U$9</f>
        <v>164.53211316732722</v>
      </c>
      <c r="F8" s="46">
        <f t="shared" ref="F8:F36" si="30">SUM(C8:E8)</f>
        <v>5118</v>
      </c>
      <c r="H8" s="45">
        <f>AM!$U$11</f>
        <v>367827.86990966392</v>
      </c>
      <c r="I8" s="45">
        <f>AM!$U$12</f>
        <v>16193</v>
      </c>
      <c r="J8" s="45">
        <f>AM!$U$13</f>
        <v>2051</v>
      </c>
      <c r="K8" s="45">
        <f>AM!$U$14</f>
        <v>88.130090336082503</v>
      </c>
      <c r="L8" s="45">
        <f>AM!$U$15</f>
        <v>0</v>
      </c>
      <c r="M8" s="46">
        <f t="shared" si="27"/>
        <v>386160</v>
      </c>
      <c r="O8" s="45">
        <f>AM!$U$17</f>
        <v>21912.979683531939</v>
      </c>
      <c r="P8" s="45">
        <f>AM!$U$18</f>
        <v>19.486024894024013</v>
      </c>
      <c r="Q8" s="45">
        <f>AM!$U$19</f>
        <v>63449.534291574033</v>
      </c>
      <c r="R8" s="46">
        <f t="shared" si="28"/>
        <v>85382</v>
      </c>
      <c r="T8" s="45">
        <f>AM!$X$7</f>
        <v>6990.0203164680606</v>
      </c>
      <c r="U8" s="45">
        <f>AM!$X$8</f>
        <v>6.2158461269791587</v>
      </c>
      <c r="V8" s="45">
        <f>AM!$X$9</f>
        <v>20239.76383740496</v>
      </c>
      <c r="W8" s="46">
        <f t="shared" si="29"/>
        <v>27236</v>
      </c>
      <c r="Y8" s="45">
        <f>AM!$X$11</f>
        <v>19927</v>
      </c>
      <c r="AA8" s="45">
        <f>AM!$X$12</f>
        <v>3071</v>
      </c>
      <c r="AC8" s="45">
        <f>AM!$X$14</f>
        <v>8886</v>
      </c>
      <c r="AE8" s="45">
        <f>AM!$X$15</f>
        <v>3504</v>
      </c>
      <c r="AG8" s="45">
        <f>AM!$X$17</f>
        <v>250892</v>
      </c>
      <c r="AI8" s="45">
        <f>AM!$X$18</f>
        <v>56119</v>
      </c>
      <c r="AK8" s="45">
        <f t="shared" si="26"/>
        <v>846295</v>
      </c>
      <c r="AM8" t="str">
        <f>IF((AK8=AM!$X$21),"ok","erro")</f>
        <v>ok</v>
      </c>
    </row>
    <row r="9" spans="1:39">
      <c r="A9" s="43" t="s">
        <v>24</v>
      </c>
      <c r="C9" s="45">
        <f>PA!$U$7</f>
        <v>13329.426057382499</v>
      </c>
      <c r="D9" s="45">
        <f>PA!$U$8</f>
        <v>2.5739426175005065</v>
      </c>
      <c r="E9" s="45">
        <f>PA!$U$9</f>
        <v>0</v>
      </c>
      <c r="F9" s="46">
        <f t="shared" si="30"/>
        <v>13332</v>
      </c>
      <c r="H9" s="45">
        <f>PA!$U$11</f>
        <v>561040.98573236843</v>
      </c>
      <c r="I9" s="45">
        <f>PA!$U$12</f>
        <v>23852</v>
      </c>
      <c r="J9" s="45">
        <f>PA!$U$13</f>
        <v>363</v>
      </c>
      <c r="K9" s="45">
        <f>PA!$U$14</f>
        <v>113.0142676315736</v>
      </c>
      <c r="L9" s="45">
        <f>PA!$U$15</f>
        <v>0</v>
      </c>
      <c r="M9" s="46">
        <f t="shared" si="27"/>
        <v>585369</v>
      </c>
      <c r="O9" s="45">
        <f>PA!$U$17</f>
        <v>67553.569755586926</v>
      </c>
      <c r="P9" s="45">
        <f>PA!$U$18</f>
        <v>27.880710121215088</v>
      </c>
      <c r="Q9" s="45">
        <f>PA!$U$19</f>
        <v>76829.549534291858</v>
      </c>
      <c r="R9" s="46">
        <f t="shared" si="28"/>
        <v>144411</v>
      </c>
      <c r="T9" s="45">
        <f>PA!$X$7</f>
        <v>18247.430244413066</v>
      </c>
      <c r="U9" s="45">
        <f>PA!$X$8</f>
        <v>7.5310796297271736</v>
      </c>
      <c r="V9" s="45">
        <f>PA!$X$9</f>
        <v>20753.038675957207</v>
      </c>
      <c r="W9" s="46">
        <f t="shared" si="29"/>
        <v>39008</v>
      </c>
      <c r="Y9" s="45">
        <f>PA!$X$11</f>
        <v>61412</v>
      </c>
      <c r="AA9" s="45">
        <f>PA!$X$12</f>
        <v>8253</v>
      </c>
      <c r="AC9" s="45">
        <f>PA!$X$14</f>
        <v>18237</v>
      </c>
      <c r="AE9" s="45">
        <f>PA!$X$15</f>
        <v>6621</v>
      </c>
      <c r="AG9" s="45">
        <f>PA!$X$17</f>
        <v>855702</v>
      </c>
      <c r="AI9" s="45">
        <f>PA!$X$18</f>
        <v>187190</v>
      </c>
      <c r="AK9" s="45">
        <f t="shared" si="26"/>
        <v>1919535</v>
      </c>
      <c r="AM9" t="str">
        <f>IF((AK9=PA!$X$21),"ok","erro")</f>
        <v>ok</v>
      </c>
    </row>
    <row r="10" spans="1:39">
      <c r="A10" s="43" t="s">
        <v>25</v>
      </c>
      <c r="C10" s="45">
        <f>RO!$U$7</f>
        <v>3648.4641436404686</v>
      </c>
      <c r="D10" s="45">
        <f>RO!$U$8</f>
        <v>0.53585635953140809</v>
      </c>
      <c r="E10" s="45">
        <f>RO!$U$9</f>
        <v>0</v>
      </c>
      <c r="F10" s="46">
        <f t="shared" si="30"/>
        <v>3649</v>
      </c>
      <c r="H10" s="45">
        <f>RO!$U$11</f>
        <v>263809.71355820645</v>
      </c>
      <c r="I10" s="45">
        <f>RO!$U$12</f>
        <v>10400</v>
      </c>
      <c r="J10" s="45">
        <f>RO!$U$13</f>
        <v>87</v>
      </c>
      <c r="K10" s="45">
        <f>RO!$U$14</f>
        <v>40.286441793548875</v>
      </c>
      <c r="L10" s="45">
        <f>RO!$U$15</f>
        <v>0</v>
      </c>
      <c r="M10" s="46">
        <f t="shared" si="27"/>
        <v>274337</v>
      </c>
      <c r="O10" s="45">
        <f>RO!$U$17</f>
        <v>40849.375289052296</v>
      </c>
      <c r="P10" s="45">
        <f>RO!$U$18</f>
        <v>13.335906708176481</v>
      </c>
      <c r="Q10" s="45">
        <f>RO!$U$19</f>
        <v>49950.288804239528</v>
      </c>
      <c r="R10" s="46">
        <f t="shared" si="28"/>
        <v>90813</v>
      </c>
      <c r="T10" s="45">
        <f>RO!$X$7</f>
        <v>5641.6247109477044</v>
      </c>
      <c r="U10" s="45">
        <f>RO!$X$8</f>
        <v>1.8417951387345965</v>
      </c>
      <c r="V10" s="45">
        <f>RO!$X$9</f>
        <v>6898.533493913561</v>
      </c>
      <c r="W10" s="46">
        <f t="shared" si="29"/>
        <v>12542</v>
      </c>
      <c r="Y10" s="45">
        <f>RO!$X$11</f>
        <v>30863</v>
      </c>
      <c r="AA10" s="45">
        <f>RO!$X$12</f>
        <v>6672</v>
      </c>
      <c r="AC10" s="45">
        <f>RO!$X$14</f>
        <v>6065</v>
      </c>
      <c r="AE10" s="45">
        <f>RO!$X$15</f>
        <v>1255</v>
      </c>
      <c r="AG10" s="45">
        <f>RO!$X$17</f>
        <v>388565</v>
      </c>
      <c r="AI10" s="45">
        <f>RO!$X$18</f>
        <v>119496</v>
      </c>
      <c r="AK10" s="45">
        <f t="shared" si="26"/>
        <v>934257</v>
      </c>
      <c r="AM10" t="str">
        <f>IF((AK10=RO!$X$21),"ok","erro")</f>
        <v>ok</v>
      </c>
    </row>
    <row r="11" spans="1:39">
      <c r="A11" s="43" t="s">
        <v>26</v>
      </c>
      <c r="C11" s="45">
        <f>RR!$U$7</f>
        <v>1278.6821205980193</v>
      </c>
      <c r="D11" s="45">
        <f>RR!$U$8</f>
        <v>0.31787940198069009</v>
      </c>
      <c r="E11" s="45">
        <f>RR!$U$9</f>
        <v>0</v>
      </c>
      <c r="F11" s="46">
        <f t="shared" si="30"/>
        <v>1279</v>
      </c>
      <c r="H11" s="45">
        <f>RR!$U$11</f>
        <v>70388.12990861469</v>
      </c>
      <c r="I11" s="45">
        <f>RR!$U$12</f>
        <v>1448</v>
      </c>
      <c r="J11" s="45">
        <f>RR!$U$13</f>
        <v>47</v>
      </c>
      <c r="K11" s="45">
        <f>RR!$U$14</f>
        <v>17.870091385309934</v>
      </c>
      <c r="L11" s="45">
        <f>RR!$U$15</f>
        <v>0</v>
      </c>
      <c r="M11" s="46">
        <f t="shared" si="27"/>
        <v>71901</v>
      </c>
      <c r="O11" s="45">
        <f>RR!$U$17</f>
        <v>9630.793458895394</v>
      </c>
      <c r="P11" s="45">
        <f>RR!$U$18</f>
        <v>6.5708331740133872</v>
      </c>
      <c r="Q11" s="45">
        <f>RR!$U$19</f>
        <v>16800.635707930593</v>
      </c>
      <c r="R11" s="46">
        <f t="shared" si="28"/>
        <v>26438</v>
      </c>
      <c r="T11" s="45">
        <f>RR!$X$7</f>
        <v>1819.2065411046069</v>
      </c>
      <c r="U11" s="45">
        <f>RR!$X$8</f>
        <v>1.2411960386953069</v>
      </c>
      <c r="V11" s="45">
        <f>RR!$X$9</f>
        <v>3173.5522628566978</v>
      </c>
      <c r="W11" s="46">
        <f t="shared" si="29"/>
        <v>4994</v>
      </c>
      <c r="Y11" s="45">
        <f>RR!$X$11</f>
        <v>5000</v>
      </c>
      <c r="AA11" s="45">
        <f>RR!$X$12</f>
        <v>760</v>
      </c>
      <c r="AC11" s="45">
        <f>RR!$X$14</f>
        <v>1131</v>
      </c>
      <c r="AE11" s="45">
        <f>RR!$X$15</f>
        <v>686</v>
      </c>
      <c r="AG11" s="45">
        <f>RR!$X$17</f>
        <v>79142</v>
      </c>
      <c r="AI11" s="45">
        <f>RR!$X$18</f>
        <v>20106</v>
      </c>
      <c r="AK11" s="45">
        <f t="shared" si="26"/>
        <v>211437</v>
      </c>
      <c r="AM11" t="str">
        <f>IF((AK11=RR!$X$21),"ok","erro")</f>
        <v>ok</v>
      </c>
    </row>
    <row r="12" spans="1:39">
      <c r="A12" s="43" t="s">
        <v>27</v>
      </c>
      <c r="C12" s="45">
        <f>TO!$U$7</f>
        <v>3559.5017808535504</v>
      </c>
      <c r="D12" s="45">
        <f>TO!$U$8</f>
        <v>0.49821914644962817</v>
      </c>
      <c r="E12" s="45">
        <f>TO!$U$9</f>
        <v>0</v>
      </c>
      <c r="F12" s="46">
        <f t="shared" si="30"/>
        <v>3560</v>
      </c>
      <c r="H12" s="45">
        <f>TO!$U$11</f>
        <v>196714.90190260936</v>
      </c>
      <c r="I12" s="45">
        <f>TO!$U$12</f>
        <v>10915</v>
      </c>
      <c r="J12" s="45">
        <f>TO!$U$13</f>
        <v>260</v>
      </c>
      <c r="K12" s="45">
        <f>TO!$U$14</f>
        <v>29.09809739064076</v>
      </c>
      <c r="L12" s="45">
        <f>TO!$U$15</f>
        <v>0</v>
      </c>
      <c r="M12" s="46">
        <f t="shared" si="27"/>
        <v>207919</v>
      </c>
      <c r="O12" s="45">
        <f>TO!$U$17</f>
        <v>30265.57229717914</v>
      </c>
      <c r="P12" s="45">
        <f>TO!$U$18</f>
        <v>8.9146239914916805</v>
      </c>
      <c r="Q12" s="45">
        <f>TO!$U$19</f>
        <v>33424.513078829368</v>
      </c>
      <c r="R12" s="46">
        <f t="shared" si="28"/>
        <v>63699</v>
      </c>
      <c r="T12" s="45">
        <f>TO!$X$7</f>
        <v>5055.4277028208608</v>
      </c>
      <c r="U12" s="45">
        <f>TO!$X$8</f>
        <v>1.4890594714124745</v>
      </c>
      <c r="V12" s="45">
        <f>TO!$X$9</f>
        <v>5583.0832377077268</v>
      </c>
      <c r="W12" s="46">
        <f t="shared" si="29"/>
        <v>10640</v>
      </c>
      <c r="Y12" s="45">
        <f>TO!$X$11</f>
        <v>22320</v>
      </c>
      <c r="AA12" s="45">
        <f>TO!$X$12</f>
        <v>4960</v>
      </c>
      <c r="AC12" s="45">
        <f>TO!$X$14</f>
        <v>5432</v>
      </c>
      <c r="AE12" s="45">
        <f>TO!$X$15</f>
        <v>1603</v>
      </c>
      <c r="AG12" s="45">
        <f>TO!$X$17</f>
        <v>229537</v>
      </c>
      <c r="AI12" s="45">
        <f>TO!$X$18</f>
        <v>93699</v>
      </c>
      <c r="AK12" s="45">
        <f t="shared" si="26"/>
        <v>643369</v>
      </c>
      <c r="AM12" t="str">
        <f>IF((AK12=TO!$X$21),"ok","erro")</f>
        <v>ok</v>
      </c>
    </row>
    <row r="13" spans="1:39">
      <c r="A13" s="42" t="s">
        <v>28</v>
      </c>
      <c r="C13" s="46">
        <f>SUM(C14:C22)</f>
        <v>125964.48104774159</v>
      </c>
      <c r="D13" s="46">
        <f>SUM(D14:D22)</f>
        <v>18.911954352770408</v>
      </c>
      <c r="E13" s="46">
        <f t="shared" ref="E13" si="31">SUM(E14:E22)</f>
        <v>8746.6069979056392</v>
      </c>
      <c r="F13" s="46">
        <f t="shared" si="30"/>
        <v>134730</v>
      </c>
      <c r="H13" s="46">
        <f t="shared" ref="H13:L13" si="32">SUM(H14:H22)</f>
        <v>6013270.1222806806</v>
      </c>
      <c r="I13" s="46">
        <f t="shared" ref="I13:J13" si="33">SUM(I14:I22)</f>
        <v>388543</v>
      </c>
      <c r="J13" s="46">
        <f t="shared" si="33"/>
        <v>267087</v>
      </c>
      <c r="K13" s="46">
        <f t="shared" ref="K13" si="34">SUM(K14:K22)</f>
        <v>966.01417041855166</v>
      </c>
      <c r="L13" s="46">
        <f t="shared" si="32"/>
        <v>54515.86354890035</v>
      </c>
      <c r="M13" s="46">
        <f t="shared" si="27"/>
        <v>6724381.9999999991</v>
      </c>
      <c r="O13" s="46">
        <f t="shared" ref="O13:Q13" si="35">SUM(O14:O22)</f>
        <v>441586.79961448372</v>
      </c>
      <c r="P13" s="46">
        <f t="shared" ref="P13" si="36">SUM(P14:P22)</f>
        <v>176.03201925189933</v>
      </c>
      <c r="Q13" s="46">
        <f t="shared" si="35"/>
        <v>740157.16836626444</v>
      </c>
      <c r="R13" s="46">
        <f t="shared" si="28"/>
        <v>1181920</v>
      </c>
      <c r="T13" s="46">
        <f t="shared" ref="T13:V13" si="37">SUM(T14:T22)</f>
        <v>144898.20038551631</v>
      </c>
      <c r="U13" s="46">
        <f t="shared" ref="U13" si="38">SUM(U14:U22)</f>
        <v>58.041855976665829</v>
      </c>
      <c r="V13" s="46">
        <f t="shared" si="37"/>
        <v>255194.75775850707</v>
      </c>
      <c r="W13" s="46">
        <f t="shared" si="29"/>
        <v>400151</v>
      </c>
      <c r="Y13" s="46">
        <f>SUM(Y14:Y22)</f>
        <v>457970</v>
      </c>
      <c r="AA13" s="46">
        <f>SUM(AA14:AA22)</f>
        <v>59181</v>
      </c>
      <c r="AC13" s="46">
        <f>SUM(AC14:AC22)</f>
        <v>122323</v>
      </c>
      <c r="AE13" s="46">
        <f>SUM(AE14:AE22)</f>
        <v>88338</v>
      </c>
      <c r="AG13" s="46">
        <f>SUM(AG14:AG22)</f>
        <v>6478910</v>
      </c>
      <c r="AI13" s="46">
        <f>SUM(AI14:AI22)</f>
        <v>916795</v>
      </c>
      <c r="AK13" s="46">
        <f t="shared" si="26"/>
        <v>16564700</v>
      </c>
    </row>
    <row r="14" spans="1:39">
      <c r="A14" s="43" t="s">
        <v>29</v>
      </c>
      <c r="C14" s="45">
        <f>AL!$U$7</f>
        <v>5643.6178564969696</v>
      </c>
      <c r="D14" s="45">
        <f>AL!$U$8</f>
        <v>0.32524061024651019</v>
      </c>
      <c r="E14" s="45">
        <f>AL!$U$9</f>
        <v>160.05690289278391</v>
      </c>
      <c r="F14" s="46">
        <f t="shared" si="30"/>
        <v>5804</v>
      </c>
      <c r="H14" s="45">
        <f>AL!$U$11</f>
        <v>304089.49430520728</v>
      </c>
      <c r="I14" s="45">
        <f>AL!$U$12</f>
        <v>24121</v>
      </c>
      <c r="J14" s="45">
        <f>AL!$U$13</f>
        <v>19854</v>
      </c>
      <c r="K14" s="45">
        <f>AL!$U$14</f>
        <v>19.505694792722352</v>
      </c>
      <c r="L14" s="45">
        <f>AL!$U$15</f>
        <v>0</v>
      </c>
      <c r="M14" s="46">
        <f t="shared" si="27"/>
        <v>348084</v>
      </c>
      <c r="O14" s="45">
        <f>AL!$U$17</f>
        <v>18742.771337939193</v>
      </c>
      <c r="P14" s="45">
        <f>AL!$U$18</f>
        <v>3.0000700466480339</v>
      </c>
      <c r="Q14" s="45">
        <f>AL!$U$19</f>
        <v>34791.228592014158</v>
      </c>
      <c r="R14" s="46">
        <f t="shared" si="28"/>
        <v>53537</v>
      </c>
      <c r="T14" s="45">
        <f>AL!$X$7</f>
        <v>7303.2286620608074</v>
      </c>
      <c r="U14" s="45">
        <f>AL!$X$8</f>
        <v>1.1689945503712806</v>
      </c>
      <c r="V14" s="45">
        <f>AL!$X$9</f>
        <v>13556.602343388822</v>
      </c>
      <c r="W14" s="46">
        <f t="shared" si="29"/>
        <v>20861</v>
      </c>
      <c r="Y14" s="45">
        <f>AL!$X$11</f>
        <v>21251</v>
      </c>
      <c r="AA14" s="45">
        <f>AL!$X$12</f>
        <v>2398</v>
      </c>
      <c r="AC14" s="45">
        <f>AL!$X$14</f>
        <v>7557</v>
      </c>
      <c r="AE14" s="45">
        <f>AL!$X$15</f>
        <v>6496</v>
      </c>
      <c r="AG14" s="45">
        <f>AL!$X$17</f>
        <v>281025</v>
      </c>
      <c r="AI14" s="45">
        <f>AL!$X$18</f>
        <v>39293</v>
      </c>
      <c r="AK14" s="45">
        <f t="shared" si="26"/>
        <v>786306</v>
      </c>
      <c r="AM14" t="str">
        <f>IF((AK14=AL!$X$21),"ok","erro")</f>
        <v>ok</v>
      </c>
    </row>
    <row r="15" spans="1:39">
      <c r="A15" s="43" t="s">
        <v>30</v>
      </c>
      <c r="C15" s="45">
        <f>BA!$U$7</f>
        <v>25842.663299454467</v>
      </c>
      <c r="D15" s="45">
        <f>BA!$U$8</f>
        <v>4.8850464304159686</v>
      </c>
      <c r="E15" s="45">
        <f>BA!$U$9</f>
        <v>2997.451654115117</v>
      </c>
      <c r="F15" s="46">
        <f t="shared" si="30"/>
        <v>28845</v>
      </c>
      <c r="H15" s="45">
        <f>BA!$U$11</f>
        <v>1606409.3367005456</v>
      </c>
      <c r="I15" s="45">
        <f>BA!$U$12</f>
        <v>99404</v>
      </c>
      <c r="J15" s="45">
        <f>BA!$U$13</f>
        <v>53127</v>
      </c>
      <c r="K15" s="45">
        <f>BA!$U$14</f>
        <v>303.6600409601815</v>
      </c>
      <c r="L15" s="45">
        <f>BA!$U$15</f>
        <v>33794.003258494195</v>
      </c>
      <c r="M15" s="46">
        <f t="shared" si="27"/>
        <v>1793038</v>
      </c>
      <c r="O15" s="45">
        <f>BA!$U$17</f>
        <v>102552.23146115438</v>
      </c>
      <c r="P15" s="45">
        <f>BA!$U$18</f>
        <v>58.936573689163197</v>
      </c>
      <c r="Q15" s="45">
        <f>BA!$U$19</f>
        <v>245394.83196515645</v>
      </c>
      <c r="R15" s="46">
        <f t="shared" si="28"/>
        <v>348006</v>
      </c>
      <c r="T15" s="45">
        <f>BA!$X$7</f>
        <v>33962.768538845608</v>
      </c>
      <c r="U15" s="45">
        <f>BA!$X$8</f>
        <v>19.518338920155657</v>
      </c>
      <c r="V15" s="45">
        <f>BA!$X$9</f>
        <v>81268.713122234243</v>
      </c>
      <c r="W15" s="46">
        <f t="shared" si="29"/>
        <v>115251</v>
      </c>
      <c r="Y15" s="45">
        <f>BA!$X$11</f>
        <v>117538</v>
      </c>
      <c r="AA15" s="45">
        <f>BA!$X$12</f>
        <v>20597</v>
      </c>
      <c r="AC15" s="45">
        <f>BA!$X$14</f>
        <v>39458</v>
      </c>
      <c r="AE15" s="45">
        <f>BA!$X$15</f>
        <v>28968</v>
      </c>
      <c r="AG15" s="45">
        <f>BA!$X$17</f>
        <v>1272385</v>
      </c>
      <c r="AI15" s="45">
        <f>BA!$X$18</f>
        <v>187372</v>
      </c>
      <c r="AK15" s="45">
        <f t="shared" si="26"/>
        <v>3951458</v>
      </c>
      <c r="AM15" t="str">
        <f>IF((AK15=BA!$X$21),"ok","erro")</f>
        <v>ok</v>
      </c>
    </row>
    <row r="16" spans="1:39">
      <c r="A16" s="43" t="s">
        <v>31</v>
      </c>
      <c r="C16" s="45">
        <f>CE!$U$7</f>
        <v>32180.915411116148</v>
      </c>
      <c r="D16" s="45">
        <f>CE!$U$8</f>
        <v>4.0845888838521205</v>
      </c>
      <c r="E16" s="45">
        <f>CE!$U$9</f>
        <v>0</v>
      </c>
      <c r="F16" s="46">
        <f t="shared" si="30"/>
        <v>32185</v>
      </c>
      <c r="H16" s="45">
        <f>CE!$U$11</f>
        <v>1012578.6900551273</v>
      </c>
      <c r="I16" s="45">
        <f>CE!$U$12</f>
        <v>60886</v>
      </c>
      <c r="J16" s="45">
        <f>CE!$U$13</f>
        <v>47741</v>
      </c>
      <c r="K16" s="45">
        <f>CE!$U$14</f>
        <v>142.30994487274438</v>
      </c>
      <c r="L16" s="45">
        <f>CE!$U$15</f>
        <v>0</v>
      </c>
      <c r="M16" s="46">
        <f t="shared" si="27"/>
        <v>1121348</v>
      </c>
      <c r="O16" s="45">
        <f>CE!$U$17</f>
        <v>90567.711209890826</v>
      </c>
      <c r="P16" s="45">
        <f>CE!$U$18</f>
        <v>24.018550206325017</v>
      </c>
      <c r="Q16" s="45">
        <f>CE!$U$19</f>
        <v>98665.270239902849</v>
      </c>
      <c r="R16" s="46">
        <f t="shared" si="28"/>
        <v>189257</v>
      </c>
      <c r="T16" s="45">
        <f>CE!$X$7</f>
        <v>28608.288790109178</v>
      </c>
      <c r="U16" s="45">
        <f>CE!$X$8</f>
        <v>7.586916037107585</v>
      </c>
      <c r="V16" s="45">
        <f>CE!$X$9</f>
        <v>31166.124293853714</v>
      </c>
      <c r="W16" s="46">
        <f t="shared" si="29"/>
        <v>59782</v>
      </c>
      <c r="Y16" s="45">
        <f>CE!$X$11</f>
        <v>73140</v>
      </c>
      <c r="AA16" s="45">
        <f>CE!$X$12</f>
        <v>8509</v>
      </c>
      <c r="AC16" s="45">
        <f>CE!$X$14</f>
        <v>17680</v>
      </c>
      <c r="AE16" s="45">
        <f>CE!$X$15</f>
        <v>12152</v>
      </c>
      <c r="AG16" s="45">
        <f>CE!$X$17</f>
        <v>1353230</v>
      </c>
      <c r="AI16" s="45">
        <f>CE!$X$18</f>
        <v>162061</v>
      </c>
      <c r="AK16" s="45">
        <f t="shared" si="26"/>
        <v>3029344</v>
      </c>
      <c r="AM16" t="str">
        <f>IF((AK16=CE!$X$21),"ok","erro")</f>
        <v>ok</v>
      </c>
    </row>
    <row r="17" spans="1:39">
      <c r="A17" s="43" t="s">
        <v>32</v>
      </c>
      <c r="C17" s="45">
        <f>MA!$U$7</f>
        <v>9963.7652844120894</v>
      </c>
      <c r="D17" s="45">
        <f>MA!$U$8</f>
        <v>2.234715587910614</v>
      </c>
      <c r="E17" s="45">
        <f>MA!$U$9</f>
        <v>0</v>
      </c>
      <c r="F17" s="46">
        <f t="shared" si="30"/>
        <v>9966</v>
      </c>
      <c r="H17" s="45">
        <f>MA!$U$11</f>
        <v>411788.48821989528</v>
      </c>
      <c r="I17" s="45">
        <f>MA!$U$12</f>
        <v>13797</v>
      </c>
      <c r="J17" s="45">
        <f>MA!$U$13</f>
        <v>266</v>
      </c>
      <c r="K17" s="45">
        <f>MA!$U$14</f>
        <v>95.511780104716308</v>
      </c>
      <c r="L17" s="45">
        <f>MA!$U$15</f>
        <v>0</v>
      </c>
      <c r="M17" s="46">
        <f t="shared" si="27"/>
        <v>425947</v>
      </c>
      <c r="O17" s="45">
        <f>MA!$U$17</f>
        <v>52537.021617316816</v>
      </c>
      <c r="P17" s="45">
        <f>MA!$U$18</f>
        <v>25.959116413927404</v>
      </c>
      <c r="Q17" s="45">
        <f>MA!$U$19</f>
        <v>63205.019266269257</v>
      </c>
      <c r="R17" s="46">
        <f t="shared" si="28"/>
        <v>115768</v>
      </c>
      <c r="T17" s="45">
        <f>MA!$X$7</f>
        <v>10714.978382683188</v>
      </c>
      <c r="U17" s="45">
        <f>MA!$X$8</f>
        <v>5.2943878934529494</v>
      </c>
      <c r="V17" s="45">
        <f>MA!$X$9</f>
        <v>12890.727229423359</v>
      </c>
      <c r="W17" s="46">
        <f t="shared" si="29"/>
        <v>23611</v>
      </c>
      <c r="Y17" s="45">
        <f>MA!$X$11</f>
        <v>40746</v>
      </c>
      <c r="AA17" s="45">
        <f>MA!$X$12</f>
        <v>4629</v>
      </c>
      <c r="AC17" s="45">
        <f>MA!$X$14</f>
        <v>8959</v>
      </c>
      <c r="AE17" s="45">
        <f>MA!$X$15</f>
        <v>4863</v>
      </c>
      <c r="AG17" s="45">
        <f>MA!$X$17</f>
        <v>840651</v>
      </c>
      <c r="AI17" s="45">
        <f>MA!$X$18</f>
        <v>155137</v>
      </c>
      <c r="AK17" s="45">
        <f>SUM(F17,M17,R17,W17,Y17,AA17,AC17,AE17,AG17,AI17)</f>
        <v>1630277</v>
      </c>
      <c r="AM17" t="str">
        <f>IF((AK17=MA!$X$21),"ok","erro")</f>
        <v>ok</v>
      </c>
    </row>
    <row r="18" spans="1:39">
      <c r="A18" s="43" t="s">
        <v>33</v>
      </c>
      <c r="C18" s="45">
        <f>PB!$U$7</f>
        <v>9919.8260661636323</v>
      </c>
      <c r="D18" s="45">
        <f>PB!$U$8</f>
        <v>0.92637988520800718</v>
      </c>
      <c r="E18" s="45">
        <f>PB!$U$9</f>
        <v>403.24755395115972</v>
      </c>
      <c r="F18" s="46">
        <f t="shared" si="30"/>
        <v>10324</v>
      </c>
      <c r="H18" s="45">
        <f>PB!$U$11</f>
        <v>464541.6440366857</v>
      </c>
      <c r="I18" s="45">
        <f>PB!$U$12</f>
        <v>29292</v>
      </c>
      <c r="J18" s="45">
        <f>PB!$U$13</f>
        <v>22732</v>
      </c>
      <c r="K18" s="45">
        <f>PB!$U$14</f>
        <v>46.355963314301334</v>
      </c>
      <c r="L18" s="45">
        <f>PB!$U$15</f>
        <v>0</v>
      </c>
      <c r="M18" s="46">
        <f t="shared" si="27"/>
        <v>516612</v>
      </c>
      <c r="O18" s="45">
        <f>PB!$U$17</f>
        <v>31581.089355297423</v>
      </c>
      <c r="P18" s="45">
        <f>PB!$U$18</f>
        <v>7.2440502240060596</v>
      </c>
      <c r="Q18" s="45">
        <f>PB!$U$19</f>
        <v>49142.666594478571</v>
      </c>
      <c r="R18" s="46">
        <f t="shared" si="28"/>
        <v>80731</v>
      </c>
      <c r="T18" s="45">
        <f>PB!$X$7</f>
        <v>10783.910644702579</v>
      </c>
      <c r="U18" s="45">
        <f>PB!$X$8</f>
        <v>2.473606576473685</v>
      </c>
      <c r="V18" s="45">
        <f>PB!$X$9</f>
        <v>16780.615748720949</v>
      </c>
      <c r="W18" s="46">
        <f t="shared" si="29"/>
        <v>27567</v>
      </c>
      <c r="Y18" s="45">
        <f>PB!$X$11</f>
        <v>28728</v>
      </c>
      <c r="AA18" s="45">
        <f>PB!$X$12</f>
        <v>2682</v>
      </c>
      <c r="AC18" s="45">
        <f>PB!$X$14</f>
        <v>7551</v>
      </c>
      <c r="AE18" s="45">
        <f>PB!$X$15</f>
        <v>4708</v>
      </c>
      <c r="AG18" s="45">
        <f>PB!$X$17</f>
        <v>480324</v>
      </c>
      <c r="AI18" s="45">
        <f>PB!$X$18</f>
        <v>66338</v>
      </c>
      <c r="AK18" s="45">
        <f t="shared" si="26"/>
        <v>1225565</v>
      </c>
      <c r="AM18" t="str">
        <f>IF((AK18=PB!$X$21),"ok","erro")</f>
        <v>ok</v>
      </c>
    </row>
    <row r="19" spans="1:39">
      <c r="A19" s="43" t="s">
        <v>34</v>
      </c>
      <c r="C19" s="45">
        <f>PE!$U$7</f>
        <v>18250.460411965272</v>
      </c>
      <c r="D19" s="45">
        <f>PE!$U$8</f>
        <v>3.1047772706660908</v>
      </c>
      <c r="E19" s="45">
        <f>PE!$U$9</f>
        <v>1803.4348107640617</v>
      </c>
      <c r="F19" s="46">
        <f t="shared" si="30"/>
        <v>20057</v>
      </c>
      <c r="H19" s="45">
        <f>PE!$U$11</f>
        <v>1152442.0326604249</v>
      </c>
      <c r="I19" s="45">
        <f>PE!$U$12</f>
        <v>93968</v>
      </c>
      <c r="J19" s="45">
        <f>PE!$U$13</f>
        <v>51647</v>
      </c>
      <c r="K19" s="45">
        <f>PE!$U$14</f>
        <v>200.96733957505785</v>
      </c>
      <c r="L19" s="45">
        <f>PE!$U$15</f>
        <v>0</v>
      </c>
      <c r="M19" s="46">
        <f t="shared" si="27"/>
        <v>1298258</v>
      </c>
      <c r="O19" s="45">
        <f>PE!$U$17</f>
        <v>56866.939155861422</v>
      </c>
      <c r="P19" s="45">
        <f>PE!$U$18</f>
        <v>27.889280637522461</v>
      </c>
      <c r="Q19" s="45">
        <f>PE!$U$19</f>
        <v>123271.17156350106</v>
      </c>
      <c r="R19" s="46">
        <f t="shared" si="28"/>
        <v>180166</v>
      </c>
      <c r="T19" s="45">
        <f>PE!$X$7</f>
        <v>28625.060844138588</v>
      </c>
      <c r="U19" s="45">
        <f>PE!$X$8</f>
        <v>14.038602516651736</v>
      </c>
      <c r="V19" s="45">
        <f>PE!$X$9</f>
        <v>62050.900553344763</v>
      </c>
      <c r="W19" s="46">
        <f t="shared" si="29"/>
        <v>90690</v>
      </c>
      <c r="Y19" s="45">
        <f>PE!$X$11</f>
        <v>92535</v>
      </c>
      <c r="AA19" s="45">
        <f>PE!$X$12</f>
        <v>11916</v>
      </c>
      <c r="AC19" s="45">
        <f>PE!$X$14</f>
        <v>19684</v>
      </c>
      <c r="AE19" s="45">
        <f>PE!$X$15</f>
        <v>18785</v>
      </c>
      <c r="AG19" s="45">
        <f>PE!$X$17</f>
        <v>1023980</v>
      </c>
      <c r="AI19" s="45">
        <f>PE!$X$18</f>
        <v>106287</v>
      </c>
      <c r="AK19" s="45">
        <f t="shared" si="26"/>
        <v>2862358</v>
      </c>
      <c r="AM19" t="str">
        <f>IF((AK19=PE!$X$21),"ok","erro")</f>
        <v>ok</v>
      </c>
    </row>
    <row r="20" spans="1:39">
      <c r="A20" s="43" t="s">
        <v>35</v>
      </c>
      <c r="C20" s="45">
        <f>PI!$U$7</f>
        <v>7072.7768308524273</v>
      </c>
      <c r="D20" s="45">
        <f>PI!$U$8</f>
        <v>1.223169147572662</v>
      </c>
      <c r="E20" s="45">
        <f>PI!$U$9</f>
        <v>0</v>
      </c>
      <c r="F20" s="46">
        <f t="shared" si="30"/>
        <v>7074</v>
      </c>
      <c r="H20" s="45">
        <f>PI!$U$11</f>
        <v>332206.22972677974</v>
      </c>
      <c r="I20" s="45">
        <f>PI!$U$12</f>
        <v>18484</v>
      </c>
      <c r="J20" s="45">
        <f>PI!$U$13</f>
        <v>704</v>
      </c>
      <c r="K20" s="45">
        <f>PI!$U$14</f>
        <v>60.770273220259696</v>
      </c>
      <c r="L20" s="45">
        <f>PI!$U$15</f>
        <v>0</v>
      </c>
      <c r="M20" s="46">
        <f t="shared" si="27"/>
        <v>351455</v>
      </c>
      <c r="O20" s="45">
        <f>PI!$U$17</f>
        <v>41639.273944189445</v>
      </c>
      <c r="P20" s="45">
        <f>PI!$U$18</f>
        <v>15.022640473602223</v>
      </c>
      <c r="Q20" s="45">
        <f>PI!$U$19</f>
        <v>45226.703415336953</v>
      </c>
      <c r="R20" s="46">
        <f t="shared" si="28"/>
        <v>86881</v>
      </c>
      <c r="T20" s="45">
        <f>PI!$X$7</f>
        <v>8270.726055810559</v>
      </c>
      <c r="U20" s="45">
        <f>PI!$X$8</f>
        <v>2.98391715856269</v>
      </c>
      <c r="V20" s="45">
        <f>PI!$X$9</f>
        <v>8983.2900270308783</v>
      </c>
      <c r="W20" s="46">
        <f t="shared" si="29"/>
        <v>17257</v>
      </c>
      <c r="Y20" s="45">
        <f>PI!$X$11</f>
        <v>29355</v>
      </c>
      <c r="AA20" s="45">
        <f>PI!$X$12</f>
        <v>2552</v>
      </c>
      <c r="AC20" s="45">
        <f>PI!$X$14</f>
        <v>7415</v>
      </c>
      <c r="AE20" s="45">
        <f>PI!$X$15</f>
        <v>3871</v>
      </c>
      <c r="AG20" s="45">
        <f>PI!$X$17</f>
        <v>548336</v>
      </c>
      <c r="AI20" s="45">
        <f>PI!$X$18</f>
        <v>97073</v>
      </c>
      <c r="AK20" s="45">
        <f t="shared" si="26"/>
        <v>1151269</v>
      </c>
      <c r="AM20" t="str">
        <f>IF((AK20=PI!$X$21),"ok","erro")</f>
        <v>ok</v>
      </c>
    </row>
    <row r="21" spans="1:39">
      <c r="A21" s="43" t="s">
        <v>36</v>
      </c>
      <c r="C21" s="45">
        <f>RN!$U$7</f>
        <v>13050.685017883356</v>
      </c>
      <c r="D21" s="45">
        <f>RN!$U$8</f>
        <v>1.4896212042767729</v>
      </c>
      <c r="E21" s="45">
        <f>RN!$U$9</f>
        <v>2933.8253609123676</v>
      </c>
      <c r="F21" s="46">
        <f t="shared" si="30"/>
        <v>15986</v>
      </c>
      <c r="H21" s="45">
        <f>RN!$U$11</f>
        <v>445279.31498211669</v>
      </c>
      <c r="I21" s="45">
        <f>RN!$U$12</f>
        <v>30116</v>
      </c>
      <c r="J21" s="45">
        <f>RN!$U$13</f>
        <v>49262</v>
      </c>
      <c r="K21" s="45">
        <f>RN!$U$14</f>
        <v>50.824727477156557</v>
      </c>
      <c r="L21" s="45">
        <f>RN!$U$15</f>
        <v>20721.860290406155</v>
      </c>
      <c r="M21" s="46">
        <f t="shared" si="27"/>
        <v>545430</v>
      </c>
      <c r="O21" s="45">
        <f>RN!$U$17</f>
        <v>32704.116940195687</v>
      </c>
      <c r="P21" s="45">
        <f>RN!$U$18</f>
        <v>7.9463547752529848</v>
      </c>
      <c r="Q21" s="45">
        <f>RN!$U$19</f>
        <v>52564.93670502906</v>
      </c>
      <c r="R21" s="46">
        <f t="shared" si="28"/>
        <v>85277</v>
      </c>
      <c r="T21" s="45">
        <f>RN!$X$7</f>
        <v>11273.883059804315</v>
      </c>
      <c r="U21" s="45">
        <f>RN!$X$8</f>
        <v>2.7392965433609788</v>
      </c>
      <c r="V21" s="45">
        <f>RN!$X$9</f>
        <v>18120.377643652326</v>
      </c>
      <c r="W21" s="46">
        <f t="shared" si="29"/>
        <v>29397</v>
      </c>
      <c r="Y21" s="45">
        <f>RN!$X$11</f>
        <v>33494</v>
      </c>
      <c r="AA21" s="45">
        <f>RN!$X$12</f>
        <v>3375</v>
      </c>
      <c r="AC21" s="45">
        <f>RN!$X$14</f>
        <v>7023</v>
      </c>
      <c r="AE21" s="45">
        <f>RN!$X$15</f>
        <v>5086</v>
      </c>
      <c r="AG21" s="45">
        <f>RN!$X$17</f>
        <v>431978</v>
      </c>
      <c r="AI21" s="45">
        <f>RN!$X$18</f>
        <v>60652</v>
      </c>
      <c r="AK21" s="45">
        <f t="shared" si="26"/>
        <v>1217698</v>
      </c>
      <c r="AM21" t="str">
        <f>IF((AK21=RN!$X$21),"ok","erro")</f>
        <v>ok</v>
      </c>
    </row>
    <row r="22" spans="1:39">
      <c r="A22" s="43" t="s">
        <v>37</v>
      </c>
      <c r="C22" s="45">
        <f>SE!$U$7</f>
        <v>4039.770869397229</v>
      </c>
      <c r="D22" s="45">
        <f>SE!$U$8</f>
        <v>0.63841533262166195</v>
      </c>
      <c r="E22" s="45">
        <f>SE!$U$9</f>
        <v>448.5907152701493</v>
      </c>
      <c r="F22" s="46">
        <f t="shared" si="30"/>
        <v>4489</v>
      </c>
      <c r="H22" s="45">
        <f>SE!$U$11</f>
        <v>283934.89159389859</v>
      </c>
      <c r="I22" s="45">
        <f>SE!$U$12</f>
        <v>18475</v>
      </c>
      <c r="J22" s="45">
        <f>SE!$U$13</f>
        <v>21754</v>
      </c>
      <c r="K22" s="45">
        <f>SE!$U$14</f>
        <v>46.108406101411674</v>
      </c>
      <c r="L22" s="45">
        <f>SE!$U$15</f>
        <v>0</v>
      </c>
      <c r="M22" s="46">
        <f t="shared" si="27"/>
        <v>324210</v>
      </c>
      <c r="O22" s="45">
        <f>SE!$U$17</f>
        <v>14395.644592638544</v>
      </c>
      <c r="P22" s="45">
        <f>SE!$U$18</f>
        <v>6.0153827854519477</v>
      </c>
      <c r="Q22" s="45">
        <f>SE!$U$19</f>
        <v>27895.340024576006</v>
      </c>
      <c r="R22" s="46">
        <f t="shared" si="28"/>
        <v>42297</v>
      </c>
      <c r="T22" s="45">
        <f>SE!$X$7</f>
        <v>5355.3554073614559</v>
      </c>
      <c r="U22" s="45">
        <f>SE!$X$8</f>
        <v>2.2377957805292681</v>
      </c>
      <c r="V22" s="45">
        <f>SE!$X$9</f>
        <v>10377.406796858015</v>
      </c>
      <c r="W22" s="46">
        <f t="shared" si="29"/>
        <v>15735</v>
      </c>
      <c r="Y22" s="45">
        <f>SE!$X$11</f>
        <v>21183</v>
      </c>
      <c r="AA22" s="45">
        <f>SE!$X$12</f>
        <v>2523</v>
      </c>
      <c r="AC22" s="45">
        <f>SE!$X$14</f>
        <v>6996</v>
      </c>
      <c r="AE22" s="45">
        <f>SE!$X$15</f>
        <v>3409</v>
      </c>
      <c r="AG22" s="45">
        <f>SE!$X$17</f>
        <v>247001</v>
      </c>
      <c r="AI22" s="45">
        <f>SE!$X$18</f>
        <v>42582</v>
      </c>
      <c r="AK22" s="45">
        <f t="shared" si="26"/>
        <v>710425</v>
      </c>
      <c r="AM22" t="str">
        <f>IF((AK22=SE!$X$21),"ok","erro")</f>
        <v>ok</v>
      </c>
    </row>
    <row r="23" spans="1:39">
      <c r="A23" s="44" t="s">
        <v>38</v>
      </c>
      <c r="C23" s="46">
        <f>SUM(C24:C27)</f>
        <v>241471.52207319555</v>
      </c>
      <c r="D23" s="46">
        <f>SUM(D24:D27)</f>
        <v>79.441936982766492</v>
      </c>
      <c r="E23" s="46">
        <f t="shared" ref="E23" si="39">SUM(E24:E27)</f>
        <v>174491.03598982171</v>
      </c>
      <c r="F23" s="46">
        <f t="shared" si="30"/>
        <v>416042</v>
      </c>
      <c r="H23" s="46">
        <f t="shared" ref="H23:L23" si="40">SUM(H24:H27)</f>
        <v>17103947.477926806</v>
      </c>
      <c r="I23" s="46">
        <f t="shared" ref="I23:J23" si="41">SUM(I24:I27)</f>
        <v>2631245</v>
      </c>
      <c r="J23" s="46">
        <f t="shared" si="41"/>
        <v>1651111</v>
      </c>
      <c r="K23" s="46">
        <f t="shared" ref="K23" si="42">SUM(K24:K27)</f>
        <v>5476.3950379223097</v>
      </c>
      <c r="L23" s="46">
        <f t="shared" si="40"/>
        <v>8037491.1270352732</v>
      </c>
      <c r="M23" s="46">
        <f t="shared" si="27"/>
        <v>29429271</v>
      </c>
      <c r="O23" s="46">
        <f>SUM(O24:O27)</f>
        <v>716145.18958342867</v>
      </c>
      <c r="P23" s="46">
        <f>SUM(P24:P27)</f>
        <v>610.48860179417534</v>
      </c>
      <c r="Q23" s="46">
        <f t="shared" ref="Q23" si="43">SUM(Q24:Q27)</f>
        <v>2618653.3218147773</v>
      </c>
      <c r="R23" s="46">
        <f t="shared" si="28"/>
        <v>3335409</v>
      </c>
      <c r="T23" s="46">
        <f t="shared" ref="T23:V23" si="44">SUM(T24:T27)</f>
        <v>385458.81041657145</v>
      </c>
      <c r="U23" s="46">
        <f t="shared" ref="U23" si="45">SUM(U24:U27)</f>
        <v>353.67442330211634</v>
      </c>
      <c r="V23" s="46">
        <f t="shared" si="44"/>
        <v>1483068.5151601266</v>
      </c>
      <c r="W23" s="46">
        <f t="shared" si="29"/>
        <v>1868881.0000000002</v>
      </c>
      <c r="Y23" s="46">
        <f>SUM(Y24:Y27)</f>
        <v>1226742</v>
      </c>
      <c r="AA23" s="46">
        <f>SUM(AA24:AA27)</f>
        <v>272305</v>
      </c>
      <c r="AC23" s="46">
        <f t="shared" ref="AC23:AE23" si="46">SUM(AC24:AC27)</f>
        <v>294440</v>
      </c>
      <c r="AE23" s="46">
        <f t="shared" si="46"/>
        <v>213248</v>
      </c>
      <c r="AG23" s="46">
        <f t="shared" ref="AG23:AI23" si="47">SUM(AG24:AG27)</f>
        <v>8433184</v>
      </c>
      <c r="AI23" s="46">
        <f t="shared" si="47"/>
        <v>1447108</v>
      </c>
      <c r="AK23" s="46">
        <f t="shared" si="26"/>
        <v>46936630</v>
      </c>
    </row>
    <row r="24" spans="1:39">
      <c r="A24" s="43" t="s">
        <v>39</v>
      </c>
      <c r="C24" s="45">
        <f>ES!$U$7</f>
        <v>14262.340325564955</v>
      </c>
      <c r="D24" s="45">
        <f>ES!$U$8</f>
        <v>4.4524653806074639</v>
      </c>
      <c r="E24" s="45">
        <f>ES!$U$9</f>
        <v>4359.207209054437</v>
      </c>
      <c r="F24" s="46">
        <f t="shared" si="30"/>
        <v>18626</v>
      </c>
      <c r="H24" s="45">
        <f>ES!$U$11</f>
        <v>722377.65967443516</v>
      </c>
      <c r="I24" s="45">
        <f>ES!$U$12</f>
        <v>53214</v>
      </c>
      <c r="J24" s="45">
        <f>ES!$U$13</f>
        <v>34329</v>
      </c>
      <c r="K24" s="45">
        <f>ES!$U$14</f>
        <v>225.51428783801384</v>
      </c>
      <c r="L24" s="45">
        <f>ES!$U$15</f>
        <v>133247.82603772683</v>
      </c>
      <c r="M24" s="46">
        <f t="shared" si="27"/>
        <v>943394</v>
      </c>
      <c r="O24" s="45">
        <f>ES!$U$17</f>
        <v>54100.505287260989</v>
      </c>
      <c r="P24" s="45">
        <f>ES!$U$18</f>
        <v>39.323019172647037</v>
      </c>
      <c r="Q24" s="45">
        <f>ES!$U$19</f>
        <v>110360.17169356637</v>
      </c>
      <c r="R24" s="46">
        <f t="shared" si="28"/>
        <v>164500</v>
      </c>
      <c r="T24" s="45">
        <f>ES!$X$7</f>
        <v>18862.494712739011</v>
      </c>
      <c r="U24" s="45">
        <f>ES!$X$8</f>
        <v>13.710227608680725</v>
      </c>
      <c r="V24" s="45">
        <f>ES!$X$9</f>
        <v>38477.795059652308</v>
      </c>
      <c r="W24" s="46">
        <f t="shared" si="29"/>
        <v>57354</v>
      </c>
      <c r="Y24" s="45">
        <f>ES!$X$11</f>
        <v>72811</v>
      </c>
      <c r="AA24" s="45">
        <f>ES!$X$12</f>
        <v>17590</v>
      </c>
      <c r="AC24" s="45">
        <f>ES!$X$14</f>
        <v>14645</v>
      </c>
      <c r="AE24" s="45">
        <f>ES!$X$15</f>
        <v>8139</v>
      </c>
      <c r="AG24" s="45">
        <f>ES!$X$17</f>
        <v>438791</v>
      </c>
      <c r="AI24" s="45">
        <f>ES!$X$18</f>
        <v>105214</v>
      </c>
      <c r="AK24" s="45">
        <f t="shared" si="26"/>
        <v>1841064</v>
      </c>
      <c r="AM24" t="str">
        <f>IF((AK24=ES!$X$21),"ok","erro")</f>
        <v>ok</v>
      </c>
    </row>
    <row r="25" spans="1:39">
      <c r="A25" s="43" t="s">
        <v>40</v>
      </c>
      <c r="C25" s="45">
        <f>MG!$U$7</f>
        <v>48399.849073998645</v>
      </c>
      <c r="D25" s="45">
        <f>MG!$U$8</f>
        <v>7.5916972146223998</v>
      </c>
      <c r="E25" s="45">
        <f>MG!$U$9</f>
        <v>21827.559228786733</v>
      </c>
      <c r="F25" s="46">
        <f t="shared" si="30"/>
        <v>70235</v>
      </c>
      <c r="H25" s="45">
        <f>MG!$U$11</f>
        <v>4147890.1509260009</v>
      </c>
      <c r="I25" s="45">
        <f>MG!$U$12</f>
        <v>435187</v>
      </c>
      <c r="J25" s="45">
        <f>MG!$U$13</f>
        <v>33307</v>
      </c>
      <c r="K25" s="45">
        <f>MG!$U$14</f>
        <v>650.61207230575383</v>
      </c>
      <c r="L25" s="45">
        <f>MG!$U$15</f>
        <v>1402138.2370016933</v>
      </c>
      <c r="M25" s="46">
        <f t="shared" si="27"/>
        <v>6019173</v>
      </c>
      <c r="O25" s="45">
        <f>MG!$U$17</f>
        <v>217722.39860906077</v>
      </c>
      <c r="P25" s="45">
        <f>MG!$U$18</f>
        <v>97.261925741331652</v>
      </c>
      <c r="Q25" s="45">
        <f>MG!$U$19</f>
        <v>682004.33946519787</v>
      </c>
      <c r="R25" s="46">
        <f t="shared" si="28"/>
        <v>899824</v>
      </c>
      <c r="T25" s="45">
        <f>MG!$X$7</f>
        <v>77305.601390939206</v>
      </c>
      <c r="U25" s="45">
        <f>MG!$X$8</f>
        <v>34.534304738102946</v>
      </c>
      <c r="V25" s="45">
        <f>MG!$X$9</f>
        <v>242155.86430432269</v>
      </c>
      <c r="W25" s="46">
        <f t="shared" si="29"/>
        <v>319496</v>
      </c>
      <c r="Y25" s="45">
        <f>MG!$X$11</f>
        <v>331746</v>
      </c>
      <c r="AA25" s="45">
        <f>MG!$X$12</f>
        <v>68747</v>
      </c>
      <c r="AC25" s="45">
        <f>MG!$X$14</f>
        <v>76498</v>
      </c>
      <c r="AE25" s="45">
        <f>MG!$X$15</f>
        <v>46511</v>
      </c>
      <c r="AG25" s="45">
        <f>MG!$X$17</f>
        <v>2488971</v>
      </c>
      <c r="AI25" s="45">
        <f>MG!$X$18</f>
        <v>285753</v>
      </c>
      <c r="AK25" s="45">
        <f t="shared" si="26"/>
        <v>10606954</v>
      </c>
      <c r="AM25" t="str">
        <f>IF((AK25=MG!$X$21),"ok","erro")</f>
        <v>ok</v>
      </c>
    </row>
    <row r="26" spans="1:39">
      <c r="A26" s="43" t="s">
        <v>41</v>
      </c>
      <c r="C26" s="45">
        <f>RJ!$U$7</f>
        <v>26450.789359699764</v>
      </c>
      <c r="D26" s="45">
        <f>RJ!$U$8</f>
        <v>8.4320158739355975</v>
      </c>
      <c r="E26" s="45">
        <f>RJ!$U$9</f>
        <v>33466.778624426297</v>
      </c>
      <c r="F26" s="46">
        <f t="shared" si="30"/>
        <v>59926</v>
      </c>
      <c r="H26" s="45">
        <f>RJ!$U$11</f>
        <v>1969658.2106403001</v>
      </c>
      <c r="I26" s="45">
        <f>RJ!$U$12</f>
        <v>308330</v>
      </c>
      <c r="J26" s="45">
        <f>RJ!$U$13</f>
        <v>1305001</v>
      </c>
      <c r="K26" s="45">
        <f>RJ!$U$14</f>
        <v>627.89011974260211</v>
      </c>
      <c r="L26" s="45">
        <f>RJ!$U$15</f>
        <v>878772.89923995733</v>
      </c>
      <c r="M26" s="46">
        <f t="shared" si="27"/>
        <v>4462390</v>
      </c>
      <c r="O26" s="45">
        <f>RJ!$U$17</f>
        <v>56297.2084234871</v>
      </c>
      <c r="P26" s="45">
        <f>RJ!$U$18</f>
        <v>47.84281849960098</v>
      </c>
      <c r="Q26" s="45">
        <f>RJ!$U$19</f>
        <v>283671.94875801331</v>
      </c>
      <c r="R26" s="46">
        <f t="shared" si="28"/>
        <v>340017</v>
      </c>
      <c r="T26" s="45">
        <f>RJ!$X$7</f>
        <v>49227.791576512893</v>
      </c>
      <c r="U26" s="45">
        <f>RJ!$X$8</f>
        <v>41.835045883897692</v>
      </c>
      <c r="V26" s="45">
        <f>RJ!$X$9</f>
        <v>248050.37337760322</v>
      </c>
      <c r="W26" s="46">
        <f t="shared" si="29"/>
        <v>297320</v>
      </c>
      <c r="Y26" s="45">
        <f>RJ!$X$11</f>
        <v>144817</v>
      </c>
      <c r="AA26" s="45">
        <f>RJ!$X$12</f>
        <v>16610</v>
      </c>
      <c r="AC26" s="45">
        <f>RJ!$X$14</f>
        <v>45161</v>
      </c>
      <c r="AE26" s="45">
        <f>RJ!$X$15</f>
        <v>38408</v>
      </c>
      <c r="AG26" s="45">
        <f>RJ!$X$17</f>
        <v>935573</v>
      </c>
      <c r="AI26" s="45">
        <f>RJ!$X$18</f>
        <v>166738</v>
      </c>
      <c r="AK26" s="45">
        <f t="shared" si="26"/>
        <v>6506960</v>
      </c>
      <c r="AM26" t="str">
        <f>IF((AK26=RJ!$X$21),"ok","erro")</f>
        <v>ok</v>
      </c>
    </row>
    <row r="27" spans="1:39">
      <c r="A27" s="43" t="s">
        <v>42</v>
      </c>
      <c r="C27" s="45">
        <f>SP!$U$7</f>
        <v>152358.54331393217</v>
      </c>
      <c r="D27" s="45">
        <f>SP!$U$8</f>
        <v>58.965758513601031</v>
      </c>
      <c r="E27" s="45">
        <f>SP!$U$9</f>
        <v>114837.49092755423</v>
      </c>
      <c r="F27" s="46">
        <f t="shared" si="30"/>
        <v>267255</v>
      </c>
      <c r="H27" s="45">
        <f>SP!$U$11</f>
        <v>10264021.456686068</v>
      </c>
      <c r="I27" s="45">
        <f>SP!$U$12</f>
        <v>1834514</v>
      </c>
      <c r="J27" s="45">
        <f>SP!$U$13</f>
        <v>278474</v>
      </c>
      <c r="K27" s="45">
        <f>SP!$U$14</f>
        <v>3972.3785580359399</v>
      </c>
      <c r="L27" s="45">
        <f>SP!$U$15</f>
        <v>5623332.1647558957</v>
      </c>
      <c r="M27" s="46">
        <f t="shared" si="27"/>
        <v>18004314</v>
      </c>
      <c r="O27" s="45">
        <f>SP!$U$17</f>
        <v>388025.07726361975</v>
      </c>
      <c r="P27" s="45">
        <f>SP!$U$18</f>
        <v>426.06083838059567</v>
      </c>
      <c r="Q27" s="45">
        <f>SP!$U$19</f>
        <v>1542616.8618979997</v>
      </c>
      <c r="R27" s="46">
        <f t="shared" si="28"/>
        <v>1931068</v>
      </c>
      <c r="T27" s="45">
        <f>SP!$X$7</f>
        <v>240062.92273638031</v>
      </c>
      <c r="U27" s="45">
        <f>SP!$X$8</f>
        <v>263.59484507143497</v>
      </c>
      <c r="V27" s="45">
        <f>SP!$X$9</f>
        <v>954384.48241854832</v>
      </c>
      <c r="W27" s="46">
        <f t="shared" si="29"/>
        <v>1194711</v>
      </c>
      <c r="Y27" s="45">
        <f>SP!$X$11</f>
        <v>677368</v>
      </c>
      <c r="AA27" s="45">
        <f>SP!$X$12</f>
        <v>169358</v>
      </c>
      <c r="AC27" s="45">
        <f>SP!$X$14</f>
        <v>158136</v>
      </c>
      <c r="AE27" s="45">
        <f>SP!$X$15</f>
        <v>120190</v>
      </c>
      <c r="AG27" s="45">
        <f>SP!$X$17</f>
        <v>4569849</v>
      </c>
      <c r="AI27" s="45">
        <f>SP!$X$18</f>
        <v>889403</v>
      </c>
      <c r="AK27" s="45">
        <f t="shared" si="26"/>
        <v>27981652</v>
      </c>
      <c r="AM27" t="str">
        <f>IF((AK27=SP!$X$21),"ok","erro")</f>
        <v>ok</v>
      </c>
    </row>
    <row r="28" spans="1:39">
      <c r="A28" s="42" t="s">
        <v>43</v>
      </c>
      <c r="C28" s="46">
        <f>SUM(C29:C31)</f>
        <v>100783.33288818962</v>
      </c>
      <c r="D28" s="46">
        <f>SUM(D29:D31)</f>
        <v>30.249880891860812</v>
      </c>
      <c r="E28" s="46">
        <f t="shared" ref="E28" si="48">SUM(E29:E31)</f>
        <v>74151.417230918523</v>
      </c>
      <c r="F28" s="46">
        <f t="shared" si="30"/>
        <v>174965</v>
      </c>
      <c r="H28" s="46">
        <f t="shared" ref="H28:L28" si="49">SUM(H29:H31)</f>
        <v>6522951.6671118103</v>
      </c>
      <c r="I28" s="46">
        <f t="shared" ref="I28:J28" si="50">SUM(I29:I31)</f>
        <v>748363</v>
      </c>
      <c r="J28" s="46">
        <f t="shared" si="50"/>
        <v>204235</v>
      </c>
      <c r="K28" s="46">
        <f t="shared" ref="K28" si="51">SUM(K29:K31)</f>
        <v>1947.4891631542705</v>
      </c>
      <c r="L28" s="46">
        <f t="shared" si="49"/>
        <v>4022062.843725035</v>
      </c>
      <c r="M28" s="46">
        <f t="shared" si="27"/>
        <v>11499560</v>
      </c>
      <c r="O28" s="46">
        <f>SUM(O29:O31)</f>
        <v>470050.77608184371</v>
      </c>
      <c r="P28" s="46">
        <f>SUM(P29:P31)</f>
        <v>264.81959871813888</v>
      </c>
      <c r="Q28" s="46">
        <f t="shared" ref="Q28" si="52">SUM(Q29:Q31)</f>
        <v>1082931.4043194382</v>
      </c>
      <c r="R28" s="46">
        <f t="shared" si="28"/>
        <v>1553247</v>
      </c>
      <c r="T28" s="46">
        <f t="shared" ref="T28:V28" si="53">SUM(T29:T31)</f>
        <v>204713.22391815623</v>
      </c>
      <c r="U28" s="46">
        <f t="shared" ref="U28" si="54">SUM(U29:U31)</f>
        <v>114.44135723580257</v>
      </c>
      <c r="V28" s="46">
        <f t="shared" si="53"/>
        <v>471322.33472460799</v>
      </c>
      <c r="W28" s="46">
        <f t="shared" si="29"/>
        <v>676150</v>
      </c>
      <c r="Y28" s="46">
        <f>SUM(Y29:Y31)</f>
        <v>651246</v>
      </c>
      <c r="AA28" s="46">
        <f>SUM(AA29:AA31)</f>
        <v>198525</v>
      </c>
      <c r="AC28" s="46">
        <f t="shared" ref="AC28:AE28" si="55">SUM(AC29:AC31)</f>
        <v>103581</v>
      </c>
      <c r="AE28" s="46">
        <f t="shared" si="55"/>
        <v>55471</v>
      </c>
      <c r="AG28" s="46">
        <f t="shared" ref="AG28:AI28" si="56">SUM(AG29:AG31)</f>
        <v>3083195</v>
      </c>
      <c r="AI28" s="46">
        <f t="shared" si="56"/>
        <v>750778</v>
      </c>
      <c r="AK28" s="46">
        <f t="shared" si="26"/>
        <v>18746718</v>
      </c>
    </row>
    <row r="29" spans="1:39">
      <c r="A29" s="43" t="s">
        <v>44</v>
      </c>
      <c r="C29" s="45">
        <f>PR!$U$7</f>
        <v>33364.135927131516</v>
      </c>
      <c r="D29" s="45">
        <f>PR!$U$8</f>
        <v>10.268339262373047</v>
      </c>
      <c r="E29" s="45">
        <f>PR!$U$9</f>
        <v>25078.595733606111</v>
      </c>
      <c r="F29" s="46">
        <f t="shared" si="30"/>
        <v>58453</v>
      </c>
      <c r="H29" s="45">
        <f>PR!$U$11</f>
        <v>2493090.8640728686</v>
      </c>
      <c r="I29" s="45">
        <f>PR!$U$12</f>
        <v>418932</v>
      </c>
      <c r="J29" s="45">
        <f>PR!$U$13</f>
        <v>38756</v>
      </c>
      <c r="K29" s="45">
        <f>PR!$U$14</f>
        <v>767.28805026225746</v>
      </c>
      <c r="L29" s="45">
        <f>PR!$U$15</f>
        <v>1416276.8478768691</v>
      </c>
      <c r="M29" s="46">
        <f t="shared" si="27"/>
        <v>4367823</v>
      </c>
      <c r="O29" s="45">
        <f>PR!$U$17</f>
        <v>195728.49299445114</v>
      </c>
      <c r="P29" s="45">
        <f>PR!$U$18</f>
        <v>113.71992937114555</v>
      </c>
      <c r="Q29" s="45">
        <f>PR!$U$19</f>
        <v>451513.78707617772</v>
      </c>
      <c r="R29" s="46">
        <f t="shared" si="28"/>
        <v>647356</v>
      </c>
      <c r="T29" s="45">
        <f>PR!$X$7</f>
        <v>71812.507005548832</v>
      </c>
      <c r="U29" s="45">
        <f>PR!$X$8</f>
        <v>41.723681103845593</v>
      </c>
      <c r="V29" s="45">
        <f>PR!$X$9</f>
        <v>165659.76931334732</v>
      </c>
      <c r="W29" s="46">
        <f t="shared" si="29"/>
        <v>237514</v>
      </c>
      <c r="Y29" s="45">
        <f>PR!$X$11</f>
        <v>270713</v>
      </c>
      <c r="AA29" s="45">
        <f>PR!$X$12</f>
        <v>89777</v>
      </c>
      <c r="AC29" s="45">
        <f>PR!$X$14</f>
        <v>43053</v>
      </c>
      <c r="AE29" s="45">
        <f>PR!$X$15</f>
        <v>22486</v>
      </c>
      <c r="AG29" s="45">
        <f>PR!$X$17</f>
        <v>1147286</v>
      </c>
      <c r="AI29" s="45">
        <f>PR!$X$18</f>
        <v>292153</v>
      </c>
      <c r="AK29" s="45">
        <f t="shared" si="26"/>
        <v>7176614</v>
      </c>
      <c r="AM29" t="str">
        <f>IF((AK29=PR!$X$21),"ok","erro")</f>
        <v>ok</v>
      </c>
    </row>
    <row r="30" spans="1:39">
      <c r="A30" s="43" t="s">
        <v>45</v>
      </c>
      <c r="C30" s="45">
        <f>RS!$U$7</f>
        <v>29588.707519082334</v>
      </c>
      <c r="D30" s="45">
        <f>RS!$U$8</f>
        <v>8.1655136904882966</v>
      </c>
      <c r="E30" s="45">
        <f>RS!$U$9</f>
        <v>28679.126967227177</v>
      </c>
      <c r="F30" s="46">
        <f t="shared" si="30"/>
        <v>58276</v>
      </c>
      <c r="H30" s="45">
        <f>RS!$U$11</f>
        <v>2157884.2924809176</v>
      </c>
      <c r="I30" s="45">
        <f>RS!$U$12</f>
        <v>196798</v>
      </c>
      <c r="J30" s="45">
        <f>RS!$U$13</f>
        <v>68441</v>
      </c>
      <c r="K30" s="45">
        <f>RS!$U$14</f>
        <v>595.50535356719047</v>
      </c>
      <c r="L30" s="45">
        <f>RS!$U$15</f>
        <v>1826310.2021655152</v>
      </c>
      <c r="M30" s="46">
        <f t="shared" si="27"/>
        <v>4250029</v>
      </c>
      <c r="O30" s="45">
        <f>RS!$U$17</f>
        <v>160020.33066458191</v>
      </c>
      <c r="P30" s="45">
        <f>RS!$U$18</f>
        <v>72.992064371705055</v>
      </c>
      <c r="Q30" s="45">
        <f>RS!$U$19</f>
        <v>360839.67727104638</v>
      </c>
      <c r="R30" s="46">
        <f t="shared" si="28"/>
        <v>520933</v>
      </c>
      <c r="T30" s="45">
        <f>RS!$X$7</f>
        <v>79661.66933541809</v>
      </c>
      <c r="U30" s="45">
        <f>RS!$X$8</f>
        <v>36.337068370892666</v>
      </c>
      <c r="V30" s="45">
        <f>RS!$X$9</f>
        <v>179633.99359621102</v>
      </c>
      <c r="W30" s="46">
        <f t="shared" si="29"/>
        <v>259332</v>
      </c>
      <c r="Y30" s="45">
        <f>RS!$X$11</f>
        <v>228697</v>
      </c>
      <c r="AA30" s="45">
        <f>RS!$X$12</f>
        <v>57948</v>
      </c>
      <c r="AC30" s="45">
        <f>RS!$X$14</f>
        <v>40871</v>
      </c>
      <c r="AE30" s="45">
        <f>RS!$X$15</f>
        <v>20966</v>
      </c>
      <c r="AG30" s="45">
        <f>RS!$X$17</f>
        <v>1072461</v>
      </c>
      <c r="AI30" s="45">
        <f>RS!$X$18</f>
        <v>187928</v>
      </c>
      <c r="AK30" s="45">
        <f t="shared" si="26"/>
        <v>6697441</v>
      </c>
      <c r="AM30" t="str">
        <f>IF((AK30=RS!$X$21),"ok","erro")</f>
        <v>ok</v>
      </c>
    </row>
    <row r="31" spans="1:39">
      <c r="A31" s="43" t="s">
        <v>46</v>
      </c>
      <c r="C31" s="45">
        <f>SC!$U$7</f>
        <v>37830.489441975762</v>
      </c>
      <c r="D31" s="45">
        <f>SC!$U$8</f>
        <v>11.816027938999468</v>
      </c>
      <c r="E31" s="45">
        <f>SC!$U$9</f>
        <v>20393.694530085239</v>
      </c>
      <c r="F31" s="46">
        <f t="shared" si="30"/>
        <v>58236</v>
      </c>
      <c r="H31" s="45">
        <f>SC!$U$11</f>
        <v>1871976.5105580243</v>
      </c>
      <c r="I31" s="45">
        <f>SC!$U$12</f>
        <v>132633</v>
      </c>
      <c r="J31" s="45">
        <f>SC!$U$13</f>
        <v>97038</v>
      </c>
      <c r="K31" s="45">
        <f>SC!$U$14</f>
        <v>584.69575932482257</v>
      </c>
      <c r="L31" s="45">
        <f>SC!$U$15</f>
        <v>779475.7936826509</v>
      </c>
      <c r="M31" s="46">
        <f t="shared" si="27"/>
        <v>2881708</v>
      </c>
      <c r="O31" s="45">
        <f>SC!$U$17</f>
        <v>114301.95242281067</v>
      </c>
      <c r="P31" s="45">
        <f>SC!$U$18</f>
        <v>78.107604975288268</v>
      </c>
      <c r="Q31" s="45">
        <f>SC!$U$19</f>
        <v>270577.93997221405</v>
      </c>
      <c r="R31" s="46">
        <f t="shared" si="28"/>
        <v>384958</v>
      </c>
      <c r="T31" s="45">
        <f>SC!$X$7</f>
        <v>53239.047577189318</v>
      </c>
      <c r="U31" s="45">
        <f>SC!$X$8</f>
        <v>36.380607761064311</v>
      </c>
      <c r="V31" s="45">
        <f>SC!$X$9</f>
        <v>126028.57181504963</v>
      </c>
      <c r="W31" s="46">
        <f t="shared" si="29"/>
        <v>179304</v>
      </c>
      <c r="Y31" s="45">
        <f>SC!$X$11</f>
        <v>151836</v>
      </c>
      <c r="AA31" s="45">
        <f>SC!$X$12</f>
        <v>50800</v>
      </c>
      <c r="AC31" s="45">
        <f>SC!$X$14</f>
        <v>19657</v>
      </c>
      <c r="AE31" s="45">
        <f>SC!$X$15</f>
        <v>12019</v>
      </c>
      <c r="AG31" s="45">
        <f>SC!$X$17</f>
        <v>863448</v>
      </c>
      <c r="AI31" s="45">
        <f>SC!$X$18</f>
        <v>270697</v>
      </c>
      <c r="AK31" s="45">
        <f t="shared" si="26"/>
        <v>4872663</v>
      </c>
      <c r="AM31" t="str">
        <f>IF((AK31=SC!$X$21),"ok","erro")</f>
        <v>ok</v>
      </c>
    </row>
    <row r="32" spans="1:39">
      <c r="A32" s="42" t="s">
        <v>47</v>
      </c>
      <c r="C32" s="46">
        <f>SUM(C33:C36)</f>
        <v>62182.303167533406</v>
      </c>
      <c r="D32" s="46">
        <f>SUM(D33:D36)</f>
        <v>17.603008061625587</v>
      </c>
      <c r="E32" s="46">
        <f t="shared" ref="E32" si="57">SUM(E33:E36)</f>
        <v>17195.093824404961</v>
      </c>
      <c r="F32" s="46">
        <f t="shared" si="30"/>
        <v>79395</v>
      </c>
      <c r="H32" s="46">
        <f t="shared" ref="H32:L32" si="58">SUM(H33:H36)</f>
        <v>3448889.7778600529</v>
      </c>
      <c r="I32" s="46">
        <f t="shared" ref="I32:J32" si="59">SUM(I33:I36)</f>
        <v>319540</v>
      </c>
      <c r="J32" s="46">
        <f t="shared" si="59"/>
        <v>12702</v>
      </c>
      <c r="K32" s="46">
        <f t="shared" ref="K32" si="60">SUM(K33:K36)</f>
        <v>914.21655045449734</v>
      </c>
      <c r="L32" s="46">
        <f t="shared" si="58"/>
        <v>721192.0055894925</v>
      </c>
      <c r="M32" s="46">
        <f t="shared" si="27"/>
        <v>4503238</v>
      </c>
      <c r="O32" s="46">
        <f t="shared" ref="O32:Q32" si="61">SUM(O33:O36)</f>
        <v>307470.57595796156</v>
      </c>
      <c r="P32" s="46">
        <f t="shared" ref="P32" si="62">SUM(P33:P36)</f>
        <v>166.47588322154479</v>
      </c>
      <c r="Q32" s="46">
        <f t="shared" si="61"/>
        <v>537409.9481588169</v>
      </c>
      <c r="R32" s="46">
        <f t="shared" si="28"/>
        <v>845047</v>
      </c>
      <c r="T32" s="46">
        <f t="shared" ref="T32:V32" si="63">SUM(T33:T36)</f>
        <v>91013.42404203843</v>
      </c>
      <c r="U32" s="46">
        <f t="shared" ref="U32" si="64">SUM(U33:U36)</f>
        <v>55.7045582624487</v>
      </c>
      <c r="V32" s="46">
        <f t="shared" si="63"/>
        <v>172113.87139969913</v>
      </c>
      <c r="W32" s="46">
        <f t="shared" si="29"/>
        <v>263183</v>
      </c>
      <c r="Y32" s="46">
        <f>SUM(Y33:Y36)</f>
        <v>259173</v>
      </c>
      <c r="AA32" s="46">
        <f>SUM(AA33:AA36)</f>
        <v>82320</v>
      </c>
      <c r="AC32" s="46">
        <f t="shared" ref="AC32:AE32" si="65">SUM(AC33:AC36)</f>
        <v>56581</v>
      </c>
      <c r="AE32" s="46">
        <f t="shared" si="65"/>
        <v>22971</v>
      </c>
      <c r="AG32" s="46">
        <f t="shared" ref="AG32:AI32" si="66">SUM(AG33:AG36)</f>
        <v>2029116</v>
      </c>
      <c r="AI32" s="46">
        <f t="shared" si="66"/>
        <v>622387</v>
      </c>
      <c r="AK32" s="46">
        <f t="shared" si="26"/>
        <v>8763411</v>
      </c>
    </row>
    <row r="33" spans="1:39">
      <c r="A33" s="43" t="s">
        <v>48</v>
      </c>
      <c r="C33" s="45">
        <f>DF!$U$7</f>
        <v>19137.988654079134</v>
      </c>
      <c r="D33" s="45">
        <f>DF!$U$8</f>
        <v>8.4099248936327058</v>
      </c>
      <c r="E33" s="45">
        <f>DF!$U$9</f>
        <v>7760.6014210272333</v>
      </c>
      <c r="F33" s="46">
        <f t="shared" si="30"/>
        <v>26907</v>
      </c>
      <c r="H33" s="45">
        <f>DF!$U$11</f>
        <v>902014.01134592085</v>
      </c>
      <c r="I33" s="45">
        <f>DF!$U$12</f>
        <v>57905</v>
      </c>
      <c r="J33" s="45">
        <f>DF!$U$13</f>
        <v>1569</v>
      </c>
      <c r="K33" s="45">
        <f>DF!$U$14</f>
        <v>396.37760401773266</v>
      </c>
      <c r="L33" s="45">
        <f>DF!$U$15</f>
        <v>306299.61105006142</v>
      </c>
      <c r="M33" s="46">
        <f t="shared" si="27"/>
        <v>1268184</v>
      </c>
      <c r="O33" s="45">
        <f>DF!$U$17</f>
        <v>36327.696702022113</v>
      </c>
      <c r="P33" s="45">
        <f>DF!$U$18</f>
        <v>38.669651680422248</v>
      </c>
      <c r="Q33" s="45">
        <f>DF!$U$19</f>
        <v>87354.633646297472</v>
      </c>
      <c r="R33" s="46">
        <f t="shared" si="28"/>
        <v>123721</v>
      </c>
      <c r="T33" s="45">
        <f>DF!$X$7</f>
        <v>24935.303297977884</v>
      </c>
      <c r="U33" s="45">
        <f>DF!$X$8</f>
        <v>26.542819408219657</v>
      </c>
      <c r="V33" s="45">
        <f>DF!$X$9</f>
        <v>59960.1538826139</v>
      </c>
      <c r="W33" s="46">
        <f t="shared" si="29"/>
        <v>84922</v>
      </c>
      <c r="Y33" s="45">
        <f>DF!$X$11</f>
        <v>23827</v>
      </c>
      <c r="AA33" s="45">
        <f>DF!$X$12</f>
        <v>3262</v>
      </c>
      <c r="AC33" s="45">
        <f>DF!$X$14</f>
        <v>12467</v>
      </c>
      <c r="AE33" s="45">
        <f>DF!$X$15</f>
        <v>5772</v>
      </c>
      <c r="AG33" s="45">
        <f>DF!$X$17</f>
        <v>186365</v>
      </c>
      <c r="AI33" s="45">
        <f>DF!$X$18</f>
        <v>19162</v>
      </c>
      <c r="AK33" s="45">
        <f t="shared" si="26"/>
        <v>1754589</v>
      </c>
      <c r="AM33" t="str">
        <f>IF((AK33=DF!$X$21),"ok","erro")</f>
        <v>ok</v>
      </c>
    </row>
    <row r="34" spans="1:39">
      <c r="A34" s="43" t="s">
        <v>49</v>
      </c>
      <c r="C34" s="45">
        <f>GO!$U$7</f>
        <v>18607.910815996995</v>
      </c>
      <c r="D34" s="45">
        <f>GO!$U$8</f>
        <v>2.7094299750751816</v>
      </c>
      <c r="E34" s="45">
        <f>GO!$U$9</f>
        <v>6280.3797540279302</v>
      </c>
      <c r="F34" s="46">
        <f t="shared" si="30"/>
        <v>24891</v>
      </c>
      <c r="H34" s="45">
        <f>GO!$U$11</f>
        <v>1357807.089184003</v>
      </c>
      <c r="I34" s="45">
        <f>GO!$U$12</f>
        <v>159592</v>
      </c>
      <c r="J34" s="45">
        <f>GO!$U$13</f>
        <v>4510</v>
      </c>
      <c r="K34" s="45">
        <f>GO!$U$14</f>
        <v>197.70533426245674</v>
      </c>
      <c r="L34" s="45">
        <f>GO!$U$15</f>
        <v>294173.20548173459</v>
      </c>
      <c r="M34" s="46">
        <f t="shared" si="27"/>
        <v>1816280</v>
      </c>
      <c r="O34" s="45">
        <f>GO!$U$17</f>
        <v>117456.2192305021</v>
      </c>
      <c r="P34" s="45">
        <f>GO!$U$18</f>
        <v>38.014855865389109</v>
      </c>
      <c r="Q34" s="45">
        <f>GO!$U$19</f>
        <v>231740.76591363252</v>
      </c>
      <c r="R34" s="46">
        <f t="shared" si="28"/>
        <v>349235</v>
      </c>
      <c r="T34" s="45">
        <f>GO!$X$7</f>
        <v>32659.780769497902</v>
      </c>
      <c r="U34" s="45">
        <f>GO!$X$8</f>
        <v>10.570379897122621</v>
      </c>
      <c r="V34" s="45">
        <f>GO!$X$9</f>
        <v>64437.648850604979</v>
      </c>
      <c r="W34" s="46">
        <f t="shared" si="29"/>
        <v>97108</v>
      </c>
      <c r="Y34" s="45">
        <f>GO!$X$11</f>
        <v>111515</v>
      </c>
      <c r="AA34" s="45">
        <f>GO!$X$12</f>
        <v>29705</v>
      </c>
      <c r="AC34" s="45">
        <f>GO!$X$14</f>
        <v>22868</v>
      </c>
      <c r="AE34" s="45">
        <f>GO!$X$15</f>
        <v>9771</v>
      </c>
      <c r="AG34" s="45">
        <f>GO!$X$17</f>
        <v>867393</v>
      </c>
      <c r="AI34" s="45">
        <f>GO!$X$18</f>
        <v>274223</v>
      </c>
      <c r="AK34" s="45">
        <f t="shared" si="26"/>
        <v>3602989</v>
      </c>
      <c r="AM34" t="str">
        <f>IF((AK34=GO!$X$21),"ok","erro")</f>
        <v>ok</v>
      </c>
    </row>
    <row r="35" spans="1:39">
      <c r="A35" s="43" t="s">
        <v>50</v>
      </c>
      <c r="C35" s="45">
        <f>MT!$U$7</f>
        <v>14981.200415631707</v>
      </c>
      <c r="D35" s="45">
        <f>MT!$U$8</f>
        <v>4.7995843682929262</v>
      </c>
      <c r="E35" s="45">
        <f>MT!$U$9</f>
        <v>0</v>
      </c>
      <c r="F35" s="46">
        <f t="shared" si="30"/>
        <v>14986</v>
      </c>
      <c r="H35" s="45">
        <f>MT!$U$11</f>
        <v>649996.88061195484</v>
      </c>
      <c r="I35" s="45">
        <f>MT!$U$12</f>
        <v>48185</v>
      </c>
      <c r="J35" s="45">
        <f>MT!$U$13</f>
        <v>1374</v>
      </c>
      <c r="K35" s="45">
        <f>MT!$U$14</f>
        <v>224.11938804516103</v>
      </c>
      <c r="L35" s="45">
        <f>MT!$U$15</f>
        <v>0</v>
      </c>
      <c r="M35" s="46">
        <f t="shared" si="27"/>
        <v>699780</v>
      </c>
      <c r="O35" s="45">
        <f>MT!$U$17</f>
        <v>90424.513395191301</v>
      </c>
      <c r="P35" s="45">
        <f>MT!$U$18</f>
        <v>68.781445277913008</v>
      </c>
      <c r="Q35" s="45">
        <f>MT!$U$19</f>
        <v>124266.70515953079</v>
      </c>
      <c r="R35" s="46">
        <f t="shared" si="28"/>
        <v>214760</v>
      </c>
      <c r="T35" s="45">
        <f>MT!$X$7</f>
        <v>17484.486604808691</v>
      </c>
      <c r="U35" s="45">
        <f>MT!$X$8</f>
        <v>13.299582308674871</v>
      </c>
      <c r="V35" s="45">
        <f>MT!$X$9</f>
        <v>24028.213812882634</v>
      </c>
      <c r="W35" s="46">
        <f t="shared" si="29"/>
        <v>41526</v>
      </c>
      <c r="Y35" s="45">
        <f>MT!$X$11</f>
        <v>71396</v>
      </c>
      <c r="AA35" s="45">
        <f>MT!$X$12</f>
        <v>32453</v>
      </c>
      <c r="AC35" s="45">
        <f>MT!$X$14</f>
        <v>11689</v>
      </c>
      <c r="AE35" s="45">
        <f>MT!$X$15</f>
        <v>3578</v>
      </c>
      <c r="AG35" s="45">
        <f>MT!$X$17</f>
        <v>610593</v>
      </c>
      <c r="AI35" s="45">
        <f>MT!$X$18</f>
        <v>220198</v>
      </c>
      <c r="AK35" s="45">
        <f t="shared" si="26"/>
        <v>1920959</v>
      </c>
      <c r="AM35" t="str">
        <f>IF((AK35=MT!$X$21),"ok","erro")</f>
        <v>ok</v>
      </c>
    </row>
    <row r="36" spans="1:39">
      <c r="A36" s="43" t="s">
        <v>51</v>
      </c>
      <c r="C36" s="45">
        <f>MS!$U$7</f>
        <v>9455.2032818255757</v>
      </c>
      <c r="D36" s="45">
        <f>MS!$U$8</f>
        <v>1.6840688246247737</v>
      </c>
      <c r="E36" s="45">
        <f>MS!$U$9</f>
        <v>3154.1126493497995</v>
      </c>
      <c r="F36" s="46">
        <f t="shared" si="30"/>
        <v>12611</v>
      </c>
      <c r="H36" s="45">
        <f>MS!$U$11</f>
        <v>539071.79671817436</v>
      </c>
      <c r="I36" s="45">
        <f>MS!$U$12</f>
        <v>53858</v>
      </c>
      <c r="J36" s="45">
        <f>MS!$U$13</f>
        <v>5249</v>
      </c>
      <c r="K36" s="45">
        <f>MS!$U$14</f>
        <v>96.014224129146896</v>
      </c>
      <c r="L36" s="45">
        <f>MS!$U$15</f>
        <v>120719.18905769649</v>
      </c>
      <c r="M36" s="46">
        <f t="shared" si="27"/>
        <v>718994</v>
      </c>
      <c r="O36" s="45">
        <f>MS!$U$17</f>
        <v>63262.146630246039</v>
      </c>
      <c r="P36" s="45">
        <f>MS!$U$18</f>
        <v>21.009930397820426</v>
      </c>
      <c r="Q36" s="45">
        <f>MS!$U$19</f>
        <v>94047.843439356133</v>
      </c>
      <c r="R36" s="46">
        <f t="shared" si="28"/>
        <v>157331</v>
      </c>
      <c r="T36" s="45">
        <f>MS!$X$7</f>
        <v>15933.853369753957</v>
      </c>
      <c r="U36" s="45">
        <f>MS!$X$8</f>
        <v>5.2917766484315507</v>
      </c>
      <c r="V36" s="45">
        <f>MS!$X$9</f>
        <v>23687.854853597612</v>
      </c>
      <c r="W36" s="46">
        <f t="shared" si="29"/>
        <v>39627</v>
      </c>
      <c r="Y36" s="45">
        <f>MS!$X$11</f>
        <v>52435</v>
      </c>
      <c r="AA36" s="45">
        <f>MS!$X$12</f>
        <v>16900</v>
      </c>
      <c r="AC36" s="45">
        <f>MS!$X$14</f>
        <v>9557</v>
      </c>
      <c r="AE36" s="45">
        <f>MS!$X$15</f>
        <v>3850</v>
      </c>
      <c r="AG36" s="45">
        <f>MS!$X$17</f>
        <v>364765</v>
      </c>
      <c r="AI36" s="45">
        <f>MS!$X$18</f>
        <v>108804</v>
      </c>
      <c r="AK36" s="45">
        <f t="shared" si="26"/>
        <v>1484874</v>
      </c>
      <c r="AM36" t="str">
        <f>IF((AK36=MS!$X$21),"ok","erro")</f>
        <v>ok</v>
      </c>
    </row>
  </sheetData>
  <mergeCells count="6">
    <mergeCell ref="A2:A3"/>
    <mergeCell ref="AK2:AK3"/>
    <mergeCell ref="C2:F2"/>
    <mergeCell ref="H2:M2"/>
    <mergeCell ref="O2:R2"/>
    <mergeCell ref="T2:W2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8CBAD"/>
  </sheetPr>
  <dimension ref="A1:BJ166"/>
  <sheetViews>
    <sheetView showGridLines="0" topLeftCell="A13" zoomScale="90" zoomScaleNormal="90" workbookViewId="0">
      <pane xSplit="1" topLeftCell="B1" activePane="topRight" state="frozen"/>
      <selection pane="topRight" activeCell="L51" sqref="L51"/>
    </sheetView>
  </sheetViews>
  <sheetFormatPr defaultColWidth="10.85546875" defaultRowHeight="15.75"/>
  <cols>
    <col min="1" max="1" width="35.42578125" style="5" customWidth="1"/>
    <col min="2" max="2" width="11.42578125" bestFit="1" customWidth="1"/>
    <col min="11" max="11" width="13.5703125" customWidth="1"/>
    <col min="12" max="12" width="15.7109375" customWidth="1"/>
    <col min="13" max="13" width="19.42578125" customWidth="1"/>
    <col min="14" max="14" width="13.7109375" customWidth="1"/>
    <col min="26" max="26" width="12.42578125" bestFit="1" customWidth="1"/>
    <col min="28" max="28" width="12.140625" customWidth="1"/>
    <col min="30" max="30" width="13.28515625" style="5" bestFit="1" customWidth="1"/>
  </cols>
  <sheetData>
    <row r="1" spans="1:30">
      <c r="A1" s="83">
        <v>2014</v>
      </c>
    </row>
    <row r="2" spans="1:30">
      <c r="A2" s="97" t="s">
        <v>52</v>
      </c>
    </row>
    <row r="3" spans="1:30">
      <c r="A3" s="98"/>
      <c r="B3" s="6" t="s">
        <v>53</v>
      </c>
      <c r="C3" s="6" t="s">
        <v>54</v>
      </c>
      <c r="D3" s="6" t="s">
        <v>55</v>
      </c>
      <c r="E3" s="6" t="s">
        <v>56</v>
      </c>
      <c r="F3" s="6" t="s">
        <v>57</v>
      </c>
      <c r="G3" s="6" t="s">
        <v>58</v>
      </c>
      <c r="H3" s="6" t="s">
        <v>59</v>
      </c>
      <c r="I3" s="6" t="s">
        <v>60</v>
      </c>
      <c r="J3" s="6" t="s">
        <v>61</v>
      </c>
      <c r="K3" s="6" t="s">
        <v>62</v>
      </c>
      <c r="L3" s="6" t="s">
        <v>63</v>
      </c>
      <c r="M3" s="6" t="s">
        <v>64</v>
      </c>
      <c r="N3" s="6" t="s">
        <v>65</v>
      </c>
      <c r="O3" s="6" t="s">
        <v>66</v>
      </c>
      <c r="P3" s="6" t="s">
        <v>67</v>
      </c>
      <c r="Q3" s="6" t="s">
        <v>68</v>
      </c>
      <c r="R3" s="6" t="s">
        <v>69</v>
      </c>
      <c r="S3" s="6" t="s">
        <v>70</v>
      </c>
      <c r="T3" s="6" t="s">
        <v>71</v>
      </c>
      <c r="U3" s="6" t="s">
        <v>72</v>
      </c>
      <c r="V3" s="6" t="s">
        <v>73</v>
      </c>
      <c r="W3" s="6" t="s">
        <v>74</v>
      </c>
      <c r="X3" s="6" t="s">
        <v>75</v>
      </c>
      <c r="Y3" s="6" t="s">
        <v>76</v>
      </c>
      <c r="Z3" s="6" t="s">
        <v>77</v>
      </c>
      <c r="AA3" s="6" t="s">
        <v>78</v>
      </c>
      <c r="AB3" s="6" t="s">
        <v>79</v>
      </c>
      <c r="AD3" s="30" t="s">
        <v>80</v>
      </c>
    </row>
    <row r="4" spans="1:30" ht="15">
      <c r="A4" s="55" t="s">
        <v>81</v>
      </c>
      <c r="B4" s="29">
        <v>3602</v>
      </c>
      <c r="C4" s="29">
        <v>23850</v>
      </c>
      <c r="D4" s="29">
        <v>1420</v>
      </c>
      <c r="E4" s="29">
        <v>16219</v>
      </c>
      <c r="F4" s="29">
        <v>96554</v>
      </c>
      <c r="G4" s="29">
        <v>62541</v>
      </c>
      <c r="H4" s="29">
        <v>58743</v>
      </c>
      <c r="I4" s="29">
        <v>52801</v>
      </c>
      <c r="J4" s="29">
        <v>158511</v>
      </c>
      <c r="K4" s="29">
        <v>13618</v>
      </c>
      <c r="L4" s="29">
        <v>47144</v>
      </c>
      <c r="M4" s="29">
        <v>52914</v>
      </c>
      <c r="N4" s="29">
        <v>431508</v>
      </c>
      <c r="O4" s="29">
        <v>23673</v>
      </c>
      <c r="P4" s="29">
        <v>29175</v>
      </c>
      <c r="Q4" s="29">
        <v>419076</v>
      </c>
      <c r="R4" s="29">
        <v>93835</v>
      </c>
      <c r="S4" s="29">
        <v>18132</v>
      </c>
      <c r="T4" s="29">
        <v>309882</v>
      </c>
      <c r="U4" s="29">
        <v>29926</v>
      </c>
      <c r="V4" s="29">
        <v>197727</v>
      </c>
      <c r="W4" s="29">
        <v>10235</v>
      </c>
      <c r="X4" s="29">
        <v>1418</v>
      </c>
      <c r="Y4" s="29">
        <v>133471</v>
      </c>
      <c r="Z4" s="29">
        <v>1838054</v>
      </c>
      <c r="AA4" s="29">
        <v>18367</v>
      </c>
      <c r="AB4" s="29">
        <v>10718</v>
      </c>
      <c r="AD4" s="49">
        <f>SUM(B4:AB4)</f>
        <v>4153114</v>
      </c>
    </row>
    <row r="5" spans="1:30" ht="15">
      <c r="A5" s="55" t="s">
        <v>82</v>
      </c>
      <c r="B5" s="29">
        <v>2</v>
      </c>
      <c r="C5" s="29">
        <v>1</v>
      </c>
      <c r="D5" s="29"/>
      <c r="E5" s="29"/>
      <c r="F5" s="29">
        <v>17</v>
      </c>
      <c r="G5" s="29">
        <v>138</v>
      </c>
      <c r="H5" s="29">
        <v>1</v>
      </c>
      <c r="I5" s="29">
        <v>874</v>
      </c>
      <c r="J5" s="29">
        <v>28</v>
      </c>
      <c r="K5" s="29">
        <v>9</v>
      </c>
      <c r="L5" s="29">
        <v>303</v>
      </c>
      <c r="M5" s="29">
        <v>19</v>
      </c>
      <c r="N5" s="29">
        <v>517</v>
      </c>
      <c r="O5" s="29">
        <v>12</v>
      </c>
      <c r="P5" s="29">
        <v>16</v>
      </c>
      <c r="Q5" s="29"/>
      <c r="R5" s="29"/>
      <c r="S5" s="29">
        <v>4</v>
      </c>
      <c r="T5" s="29"/>
      <c r="U5" s="29">
        <v>10</v>
      </c>
      <c r="V5" s="29"/>
      <c r="W5" s="29">
        <v>1</v>
      </c>
      <c r="X5" s="29"/>
      <c r="Y5" s="29">
        <v>4</v>
      </c>
      <c r="Z5" s="29">
        <v>1178</v>
      </c>
      <c r="AA5" s="29"/>
      <c r="AB5" s="29">
        <v>2</v>
      </c>
      <c r="AC5" s="17"/>
      <c r="AD5" s="49">
        <f t="shared" ref="AD5:AD21" si="0">SUM(B5:AB5)</f>
        <v>3136</v>
      </c>
    </row>
    <row r="6" spans="1:30" ht="15">
      <c r="A6" s="55" t="s">
        <v>83</v>
      </c>
      <c r="B6" s="29"/>
      <c r="C6" s="29">
        <v>1010</v>
      </c>
      <c r="D6" s="29">
        <v>1</v>
      </c>
      <c r="E6" s="29">
        <v>46</v>
      </c>
      <c r="F6" s="29">
        <v>1718</v>
      </c>
      <c r="G6" s="29">
        <v>2422</v>
      </c>
      <c r="H6" s="29">
        <v>32</v>
      </c>
      <c r="I6" s="29">
        <v>1387</v>
      </c>
      <c r="J6" s="29">
        <v>193</v>
      </c>
      <c r="K6" s="29">
        <v>9</v>
      </c>
      <c r="L6" s="29">
        <v>86</v>
      </c>
      <c r="M6" s="29">
        <v>236</v>
      </c>
      <c r="N6" s="29">
        <v>2776</v>
      </c>
      <c r="O6" s="29">
        <v>9</v>
      </c>
      <c r="P6" s="29">
        <v>1904</v>
      </c>
      <c r="Q6" s="29">
        <v>1706</v>
      </c>
      <c r="R6" s="29">
        <v>2129</v>
      </c>
      <c r="S6" s="29">
        <v>23</v>
      </c>
      <c r="T6" s="29">
        <v>51709</v>
      </c>
      <c r="U6" s="29">
        <v>4785</v>
      </c>
      <c r="V6" s="29">
        <v>2133</v>
      </c>
      <c r="W6" s="29">
        <v>5</v>
      </c>
      <c r="X6" s="29">
        <v>1</v>
      </c>
      <c r="Y6" s="29">
        <v>3992</v>
      </c>
      <c r="Z6" s="29">
        <v>14134</v>
      </c>
      <c r="AA6" s="29">
        <v>1525</v>
      </c>
      <c r="AB6" s="29">
        <v>8</v>
      </c>
      <c r="AC6" s="17"/>
      <c r="AD6" s="49">
        <f t="shared" si="0"/>
        <v>93979</v>
      </c>
    </row>
    <row r="7" spans="1:30" ht="15">
      <c r="A7" s="55" t="s">
        <v>84</v>
      </c>
      <c r="B7" s="29">
        <v>61909</v>
      </c>
      <c r="C7" s="29">
        <v>232583</v>
      </c>
      <c r="D7" s="29">
        <v>63083</v>
      </c>
      <c r="E7" s="29">
        <v>268295</v>
      </c>
      <c r="F7" s="29">
        <v>1127540</v>
      </c>
      <c r="G7" s="29">
        <v>769858</v>
      </c>
      <c r="H7" s="29">
        <v>711048</v>
      </c>
      <c r="I7" s="29">
        <v>541699</v>
      </c>
      <c r="J7" s="29">
        <v>982813</v>
      </c>
      <c r="K7" s="29">
        <v>461090</v>
      </c>
      <c r="L7" s="29">
        <v>485237</v>
      </c>
      <c r="M7" s="29">
        <v>369735</v>
      </c>
      <c r="N7" s="29">
        <v>2850988</v>
      </c>
      <c r="O7" s="29">
        <v>499684</v>
      </c>
      <c r="P7" s="29">
        <v>338583</v>
      </c>
      <c r="Q7" s="29">
        <v>1879312</v>
      </c>
      <c r="R7" s="29">
        <v>867572</v>
      </c>
      <c r="S7" s="29">
        <v>266258</v>
      </c>
      <c r="T7" s="29">
        <v>1564198</v>
      </c>
      <c r="U7" s="29">
        <v>304225</v>
      </c>
      <c r="V7" s="29">
        <v>1544309</v>
      </c>
      <c r="W7" s="29">
        <v>239223</v>
      </c>
      <c r="X7" s="29">
        <v>50764</v>
      </c>
      <c r="Y7" s="29">
        <v>1344984</v>
      </c>
      <c r="Z7" s="29">
        <v>7701680</v>
      </c>
      <c r="AA7" s="29">
        <v>204964</v>
      </c>
      <c r="AB7" s="29">
        <v>161198</v>
      </c>
      <c r="AC7" s="17"/>
      <c r="AD7" s="49">
        <f t="shared" si="0"/>
        <v>25892832</v>
      </c>
    </row>
    <row r="8" spans="1:30" ht="15">
      <c r="A8" s="55" t="s">
        <v>85</v>
      </c>
      <c r="B8" s="29">
        <v>20615</v>
      </c>
      <c r="C8" s="29">
        <v>54574</v>
      </c>
      <c r="D8" s="29">
        <v>12091</v>
      </c>
      <c r="E8" s="29">
        <v>59517</v>
      </c>
      <c r="F8" s="29">
        <v>292664</v>
      </c>
      <c r="G8" s="29">
        <v>189335</v>
      </c>
      <c r="H8" s="29">
        <v>89648</v>
      </c>
      <c r="I8" s="29">
        <v>160164</v>
      </c>
      <c r="J8" s="29">
        <v>279005</v>
      </c>
      <c r="K8" s="29">
        <v>96791</v>
      </c>
      <c r="L8" s="29">
        <v>189008</v>
      </c>
      <c r="M8" s="29">
        <v>136336</v>
      </c>
      <c r="N8" s="29">
        <v>700702</v>
      </c>
      <c r="O8" s="29">
        <v>144804</v>
      </c>
      <c r="P8" s="29">
        <v>72607</v>
      </c>
      <c r="Q8" s="29">
        <v>599011</v>
      </c>
      <c r="R8" s="29">
        <v>202277</v>
      </c>
      <c r="S8" s="29">
        <v>71248</v>
      </c>
      <c r="T8" s="29">
        <v>317859</v>
      </c>
      <c r="U8" s="29">
        <v>75334</v>
      </c>
      <c r="V8" s="29">
        <v>507404</v>
      </c>
      <c r="W8" s="29">
        <v>73788</v>
      </c>
      <c r="X8" s="29">
        <v>14268</v>
      </c>
      <c r="Y8" s="29">
        <v>341879</v>
      </c>
      <c r="Z8" s="29">
        <v>1546833</v>
      </c>
      <c r="AA8" s="29">
        <v>46085</v>
      </c>
      <c r="AB8" s="29">
        <v>59143</v>
      </c>
      <c r="AC8" s="17"/>
      <c r="AD8" s="49">
        <f t="shared" si="0"/>
        <v>6352990</v>
      </c>
    </row>
    <row r="9" spans="1:30" ht="15">
      <c r="A9" s="55" t="s">
        <v>86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17"/>
      <c r="AD9" s="49">
        <f t="shared" si="0"/>
        <v>0</v>
      </c>
    </row>
    <row r="10" spans="1:30" ht="15">
      <c r="A10" s="55" t="s">
        <v>87</v>
      </c>
      <c r="B10" s="29"/>
      <c r="C10" s="29"/>
      <c r="D10" s="29"/>
      <c r="E10" s="29"/>
      <c r="F10" s="29">
        <v>4</v>
      </c>
      <c r="G10" s="29"/>
      <c r="H10" s="29">
        <v>2</v>
      </c>
      <c r="I10" s="29">
        <v>2</v>
      </c>
      <c r="J10" s="29">
        <v>1</v>
      </c>
      <c r="K10" s="29"/>
      <c r="L10" s="29"/>
      <c r="M10" s="29">
        <v>1</v>
      </c>
      <c r="N10" s="29">
        <v>1</v>
      </c>
      <c r="O10" s="29"/>
      <c r="P10" s="29"/>
      <c r="Q10" s="29"/>
      <c r="R10" s="29"/>
      <c r="S10" s="29"/>
      <c r="T10" s="29"/>
      <c r="U10" s="29"/>
      <c r="V10" s="29">
        <v>5</v>
      </c>
      <c r="W10" s="29">
        <v>1</v>
      </c>
      <c r="X10" s="29">
        <v>2</v>
      </c>
      <c r="Y10" s="29"/>
      <c r="Z10" s="29">
        <v>16</v>
      </c>
      <c r="AA10" s="29"/>
      <c r="AB10" s="29"/>
      <c r="AC10" s="17"/>
      <c r="AD10" s="49">
        <f t="shared" si="0"/>
        <v>35</v>
      </c>
    </row>
    <row r="11" spans="1:30" ht="15">
      <c r="A11" s="55" t="s">
        <v>88</v>
      </c>
      <c r="B11" s="29"/>
      <c r="C11" s="29"/>
      <c r="D11" s="29"/>
      <c r="E11" s="29">
        <v>1</v>
      </c>
      <c r="F11" s="29">
        <v>1</v>
      </c>
      <c r="G11" s="29">
        <v>1</v>
      </c>
      <c r="H11" s="29">
        <v>4</v>
      </c>
      <c r="I11" s="29">
        <v>2</v>
      </c>
      <c r="J11" s="29"/>
      <c r="K11" s="29"/>
      <c r="L11" s="29"/>
      <c r="M11" s="29"/>
      <c r="N11" s="29"/>
      <c r="O11" s="29">
        <v>1</v>
      </c>
      <c r="P11" s="29"/>
      <c r="Q11" s="29">
        <v>4</v>
      </c>
      <c r="R11" s="29"/>
      <c r="S11" s="29">
        <v>1</v>
      </c>
      <c r="T11" s="29">
        <v>5</v>
      </c>
      <c r="U11" s="29">
        <v>2</v>
      </c>
      <c r="V11" s="29"/>
      <c r="W11" s="29"/>
      <c r="X11" s="29"/>
      <c r="Y11" s="29">
        <v>2</v>
      </c>
      <c r="Z11" s="29">
        <v>16</v>
      </c>
      <c r="AA11" s="29">
        <v>1</v>
      </c>
      <c r="AB11" s="29"/>
      <c r="AC11" s="17"/>
      <c r="AD11" s="49">
        <f t="shared" si="0"/>
        <v>41</v>
      </c>
    </row>
    <row r="12" spans="1:30" ht="15">
      <c r="A12" s="55" t="s">
        <v>89</v>
      </c>
      <c r="B12" s="29"/>
      <c r="C12" s="29"/>
      <c r="D12" s="29"/>
      <c r="E12" s="29"/>
      <c r="F12" s="29">
        <v>1</v>
      </c>
      <c r="G12" s="29">
        <v>4</v>
      </c>
      <c r="H12" s="29">
        <v>1</v>
      </c>
      <c r="I12" s="29">
        <v>4</v>
      </c>
      <c r="J12" s="29"/>
      <c r="K12" s="29">
        <v>1</v>
      </c>
      <c r="L12" s="29"/>
      <c r="M12" s="29"/>
      <c r="N12" s="29">
        <v>15</v>
      </c>
      <c r="O12" s="29"/>
      <c r="P12" s="29"/>
      <c r="Q12" s="29"/>
      <c r="R12" s="29">
        <v>64</v>
      </c>
      <c r="S12" s="29"/>
      <c r="T12" s="29">
        <v>6</v>
      </c>
      <c r="U12" s="29"/>
      <c r="V12" s="29">
        <v>18</v>
      </c>
      <c r="W12" s="29"/>
      <c r="X12" s="29"/>
      <c r="Y12" s="29">
        <v>4</v>
      </c>
      <c r="Z12" s="29">
        <v>778</v>
      </c>
      <c r="AA12" s="29"/>
      <c r="AB12" s="29">
        <v>1</v>
      </c>
      <c r="AC12" s="17"/>
      <c r="AD12" s="49">
        <f t="shared" si="0"/>
        <v>897</v>
      </c>
    </row>
    <row r="13" spans="1:30" ht="15">
      <c r="A13" s="55" t="s">
        <v>90</v>
      </c>
      <c r="B13" s="29">
        <v>13</v>
      </c>
      <c r="C13" s="29"/>
      <c r="D13" s="29">
        <v>9</v>
      </c>
      <c r="E13" s="29">
        <v>39</v>
      </c>
      <c r="F13" s="29">
        <v>14</v>
      </c>
      <c r="G13" s="29">
        <v>9</v>
      </c>
      <c r="H13" s="29">
        <v>26</v>
      </c>
      <c r="I13" s="29">
        <v>10</v>
      </c>
      <c r="J13" s="29">
        <v>39</v>
      </c>
      <c r="K13" s="29">
        <v>70</v>
      </c>
      <c r="L13" s="29">
        <v>204</v>
      </c>
      <c r="M13" s="29">
        <v>30</v>
      </c>
      <c r="N13" s="29">
        <v>74</v>
      </c>
      <c r="O13" s="29">
        <v>43</v>
      </c>
      <c r="P13" s="29"/>
      <c r="Q13" s="29">
        <v>202</v>
      </c>
      <c r="R13" s="29">
        <v>23</v>
      </c>
      <c r="S13" s="29">
        <v>29</v>
      </c>
      <c r="T13" s="29">
        <v>50</v>
      </c>
      <c r="U13" s="29">
        <v>1</v>
      </c>
      <c r="V13" s="29">
        <v>92</v>
      </c>
      <c r="W13" s="29">
        <v>29</v>
      </c>
      <c r="X13" s="29">
        <v>19</v>
      </c>
      <c r="Y13" s="29">
        <v>62</v>
      </c>
      <c r="Z13" s="29">
        <v>599</v>
      </c>
      <c r="AA13" s="29">
        <v>2</v>
      </c>
      <c r="AB13" s="29">
        <v>17</v>
      </c>
      <c r="AC13" s="17"/>
      <c r="AD13" s="49">
        <f t="shared" si="0"/>
        <v>1705</v>
      </c>
    </row>
    <row r="14" spans="1:30" ht="15">
      <c r="A14" s="55" t="s">
        <v>91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17"/>
      <c r="AD14" s="49">
        <f t="shared" si="0"/>
        <v>0</v>
      </c>
    </row>
    <row r="15" spans="1:30" ht="15">
      <c r="A15" s="55" t="s">
        <v>92</v>
      </c>
      <c r="B15" s="29"/>
      <c r="C15" s="29"/>
      <c r="D15" s="29"/>
      <c r="E15" s="29">
        <v>5</v>
      </c>
      <c r="F15" s="29">
        <v>18</v>
      </c>
      <c r="G15" s="29"/>
      <c r="H15" s="29">
        <v>2</v>
      </c>
      <c r="I15" s="29">
        <v>10</v>
      </c>
      <c r="J15" s="29">
        <v>27</v>
      </c>
      <c r="K15" s="29">
        <v>2</v>
      </c>
      <c r="L15" s="29">
        <v>3</v>
      </c>
      <c r="M15" s="29">
        <v>3</v>
      </c>
      <c r="N15" s="29">
        <v>12</v>
      </c>
      <c r="O15" s="29"/>
      <c r="P15" s="29">
        <v>4</v>
      </c>
      <c r="Q15" s="29">
        <v>29</v>
      </c>
      <c r="R15" s="29"/>
      <c r="S15" s="29">
        <v>1</v>
      </c>
      <c r="T15" s="29">
        <v>6</v>
      </c>
      <c r="U15" s="29">
        <v>1</v>
      </c>
      <c r="V15" s="29">
        <v>4</v>
      </c>
      <c r="W15" s="29"/>
      <c r="X15" s="29"/>
      <c r="Y15" s="29">
        <v>11</v>
      </c>
      <c r="Z15" s="29">
        <v>54</v>
      </c>
      <c r="AA15" s="29">
        <v>3</v>
      </c>
      <c r="AB15" s="29">
        <v>5</v>
      </c>
      <c r="AC15" s="17"/>
      <c r="AD15" s="49">
        <f t="shared" si="0"/>
        <v>200</v>
      </c>
    </row>
    <row r="16" spans="1:30" ht="15">
      <c r="A16" s="55" t="s">
        <v>93</v>
      </c>
      <c r="B16" s="29">
        <v>8</v>
      </c>
      <c r="C16" s="29">
        <v>4</v>
      </c>
      <c r="D16" s="29">
        <v>2</v>
      </c>
      <c r="E16" s="29"/>
      <c r="F16" s="29">
        <v>56</v>
      </c>
      <c r="G16" s="29">
        <v>399</v>
      </c>
      <c r="H16" s="29">
        <v>3</v>
      </c>
      <c r="I16" s="29">
        <v>5027</v>
      </c>
      <c r="J16" s="29">
        <v>84</v>
      </c>
      <c r="K16" s="29">
        <v>6</v>
      </c>
      <c r="L16" s="29">
        <v>14</v>
      </c>
      <c r="M16" s="29">
        <v>42</v>
      </c>
      <c r="N16" s="29">
        <v>79</v>
      </c>
      <c r="O16" s="29"/>
      <c r="P16" s="29">
        <v>31</v>
      </c>
      <c r="Q16" s="29"/>
      <c r="R16" s="29"/>
      <c r="S16" s="29">
        <v>16</v>
      </c>
      <c r="T16" s="29">
        <v>17</v>
      </c>
      <c r="U16" s="29">
        <v>49</v>
      </c>
      <c r="V16" s="29"/>
      <c r="W16" s="29">
        <v>2</v>
      </c>
      <c r="X16" s="29">
        <v>3</v>
      </c>
      <c r="Y16" s="29">
        <v>39</v>
      </c>
      <c r="Z16" s="29">
        <v>8740</v>
      </c>
      <c r="AA16" s="29"/>
      <c r="AB16" s="29">
        <v>185</v>
      </c>
      <c r="AC16" s="17"/>
      <c r="AD16" s="49">
        <f t="shared" si="0"/>
        <v>14806</v>
      </c>
    </row>
    <row r="17" spans="1:61" ht="15">
      <c r="A17" s="55" t="s">
        <v>94</v>
      </c>
      <c r="B17" s="29">
        <v>123986</v>
      </c>
      <c r="C17" s="29">
        <v>293562</v>
      </c>
      <c r="D17" s="29">
        <v>79585</v>
      </c>
      <c r="E17" s="29">
        <v>365684</v>
      </c>
      <c r="F17" s="29">
        <v>1657805</v>
      </c>
      <c r="G17" s="29">
        <v>1379565</v>
      </c>
      <c r="H17" s="29">
        <v>658971</v>
      </c>
      <c r="I17" s="29">
        <v>798092</v>
      </c>
      <c r="J17" s="29">
        <v>1672979</v>
      </c>
      <c r="K17" s="29">
        <v>695296</v>
      </c>
      <c r="L17" s="29">
        <v>833540</v>
      </c>
      <c r="M17" s="29">
        <v>680136</v>
      </c>
      <c r="N17" s="29">
        <v>4904254</v>
      </c>
      <c r="O17" s="29">
        <v>804040</v>
      </c>
      <c r="P17" s="29">
        <v>526474</v>
      </c>
      <c r="Q17" s="29">
        <v>3326121</v>
      </c>
      <c r="R17" s="29">
        <v>1226537</v>
      </c>
      <c r="S17" s="29">
        <v>537387</v>
      </c>
      <c r="T17" s="29">
        <v>2494454</v>
      </c>
      <c r="U17" s="29">
        <v>533629</v>
      </c>
      <c r="V17" s="29">
        <v>3493183</v>
      </c>
      <c r="W17" s="29">
        <v>442689</v>
      </c>
      <c r="X17" s="29">
        <v>103018</v>
      </c>
      <c r="Y17" s="29">
        <v>2253733</v>
      </c>
      <c r="Z17" s="29">
        <v>13181795</v>
      </c>
      <c r="AA17" s="29">
        <v>293040</v>
      </c>
      <c r="AB17" s="29">
        <v>294759</v>
      </c>
      <c r="AC17" s="17"/>
      <c r="AD17" s="49">
        <f t="shared" si="0"/>
        <v>43654314</v>
      </c>
    </row>
    <row r="18" spans="1:61" ht="15">
      <c r="A18" s="55" t="s">
        <v>95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17"/>
      <c r="AD18" s="49">
        <f t="shared" si="0"/>
        <v>0</v>
      </c>
    </row>
    <row r="19" spans="1:61" ht="15">
      <c r="A19" s="55" t="s">
        <v>96</v>
      </c>
      <c r="B19" s="29">
        <v>3</v>
      </c>
      <c r="C19" s="29">
        <v>6821</v>
      </c>
      <c r="D19" s="29">
        <v>1</v>
      </c>
      <c r="E19" s="29">
        <v>982</v>
      </c>
      <c r="F19" s="29">
        <v>18113</v>
      </c>
      <c r="G19" s="29">
        <v>10514</v>
      </c>
      <c r="H19" s="29">
        <v>882</v>
      </c>
      <c r="I19" s="29">
        <v>6761</v>
      </c>
      <c r="J19" s="29">
        <v>708</v>
      </c>
      <c r="K19" s="29">
        <v>49</v>
      </c>
      <c r="L19" s="29">
        <v>511</v>
      </c>
      <c r="M19" s="29">
        <v>683</v>
      </c>
      <c r="N19" s="29">
        <v>5538</v>
      </c>
      <c r="O19" s="29">
        <v>33</v>
      </c>
      <c r="P19" s="29">
        <v>5057</v>
      </c>
      <c r="Q19" s="29">
        <v>8475</v>
      </c>
      <c r="R19" s="29">
        <v>11992</v>
      </c>
      <c r="S19" s="29">
        <v>214</v>
      </c>
      <c r="T19" s="29">
        <v>278987</v>
      </c>
      <c r="U19" s="29">
        <v>7867</v>
      </c>
      <c r="V19" s="29">
        <v>14800</v>
      </c>
      <c r="W19" s="29">
        <v>22</v>
      </c>
      <c r="X19" s="29">
        <v>5</v>
      </c>
      <c r="Y19" s="29">
        <v>21568</v>
      </c>
      <c r="Z19" s="29">
        <v>36781</v>
      </c>
      <c r="AA19" s="29">
        <v>5737</v>
      </c>
      <c r="AB19" s="29">
        <v>67</v>
      </c>
      <c r="AC19" s="17"/>
      <c r="AD19" s="49">
        <f t="shared" si="0"/>
        <v>443171</v>
      </c>
    </row>
    <row r="20" spans="1:61" ht="15">
      <c r="A20" s="55" t="s">
        <v>97</v>
      </c>
      <c r="B20" s="29">
        <v>2</v>
      </c>
      <c r="C20" s="29"/>
      <c r="D20" s="29">
        <v>1</v>
      </c>
      <c r="E20" s="29">
        <v>16</v>
      </c>
      <c r="F20" s="29">
        <v>60</v>
      </c>
      <c r="G20" s="29">
        <v>9</v>
      </c>
      <c r="H20" s="29">
        <v>56</v>
      </c>
      <c r="I20" s="29">
        <v>22</v>
      </c>
      <c r="J20" s="29">
        <v>34</v>
      </c>
      <c r="K20" s="29">
        <v>8</v>
      </c>
      <c r="L20" s="29">
        <v>7</v>
      </c>
      <c r="M20" s="29">
        <v>12</v>
      </c>
      <c r="N20" s="29">
        <v>75</v>
      </c>
      <c r="O20" s="29">
        <v>12</v>
      </c>
      <c r="P20" s="29">
        <v>3</v>
      </c>
      <c r="Q20" s="29">
        <v>121</v>
      </c>
      <c r="R20" s="29">
        <v>16</v>
      </c>
      <c r="S20" s="29">
        <v>6</v>
      </c>
      <c r="T20" s="29">
        <v>81</v>
      </c>
      <c r="U20" s="29">
        <v>6</v>
      </c>
      <c r="V20" s="29">
        <v>99</v>
      </c>
      <c r="W20" s="29">
        <v>2</v>
      </c>
      <c r="X20" s="29"/>
      <c r="Y20" s="29">
        <v>75</v>
      </c>
      <c r="Z20" s="29">
        <v>447</v>
      </c>
      <c r="AA20" s="29">
        <v>12</v>
      </c>
      <c r="AB20" s="29">
        <v>1</v>
      </c>
      <c r="AC20" s="17"/>
      <c r="AD20" s="49">
        <f t="shared" si="0"/>
        <v>1183</v>
      </c>
    </row>
    <row r="21" spans="1:61" ht="15">
      <c r="A21" s="55" t="s">
        <v>98</v>
      </c>
      <c r="B21" s="29">
        <v>8</v>
      </c>
      <c r="C21" s="29">
        <v>10577</v>
      </c>
      <c r="D21" s="29">
        <v>4</v>
      </c>
      <c r="E21" s="29">
        <v>458</v>
      </c>
      <c r="F21" s="29">
        <v>27578</v>
      </c>
      <c r="G21" s="29">
        <v>22885</v>
      </c>
      <c r="H21" s="29">
        <v>867</v>
      </c>
      <c r="I21" s="29">
        <v>19665</v>
      </c>
      <c r="J21" s="29">
        <v>2814</v>
      </c>
      <c r="K21" s="29">
        <v>124</v>
      </c>
      <c r="L21" s="29">
        <v>934</v>
      </c>
      <c r="M21" s="29">
        <v>4870</v>
      </c>
      <c r="N21" s="29">
        <v>25503</v>
      </c>
      <c r="O21" s="29">
        <v>197</v>
      </c>
      <c r="P21" s="29">
        <v>14363</v>
      </c>
      <c r="Q21" s="29">
        <v>24680</v>
      </c>
      <c r="R21" s="29">
        <v>30462</v>
      </c>
      <c r="S21" s="29">
        <v>321</v>
      </c>
      <c r="T21" s="29">
        <v>650386</v>
      </c>
      <c r="U21" s="29">
        <v>31931</v>
      </c>
      <c r="V21" s="29">
        <v>43446</v>
      </c>
      <c r="W21" s="29">
        <v>78</v>
      </c>
      <c r="X21" s="29">
        <v>21</v>
      </c>
      <c r="Y21" s="29">
        <v>67862</v>
      </c>
      <c r="Z21" s="29">
        <v>239521</v>
      </c>
      <c r="AA21" s="29">
        <v>12324</v>
      </c>
      <c r="AB21" s="29">
        <v>135</v>
      </c>
      <c r="AC21" s="17"/>
      <c r="AD21" s="49">
        <f t="shared" si="0"/>
        <v>1232014</v>
      </c>
    </row>
    <row r="22" spans="1:61">
      <c r="A22" s="7"/>
      <c r="B22" s="17"/>
      <c r="C22" s="17"/>
      <c r="AC22" s="17"/>
      <c r="AD22" s="48"/>
    </row>
    <row r="23" spans="1:61">
      <c r="A23" s="1" t="s">
        <v>99</v>
      </c>
      <c r="B23" s="52">
        <f>SUM(B4:B21)</f>
        <v>210148</v>
      </c>
      <c r="C23" s="52">
        <f t="shared" ref="C23:AA23" si="1">SUM(C4:C21)</f>
        <v>622982</v>
      </c>
      <c r="D23" s="52">
        <f t="shared" si="1"/>
        <v>156197</v>
      </c>
      <c r="E23" s="52">
        <f t="shared" si="1"/>
        <v>711262</v>
      </c>
      <c r="F23" s="52">
        <f t="shared" si="1"/>
        <v>3222143</v>
      </c>
      <c r="G23" s="52">
        <f t="shared" si="1"/>
        <v>2437680</v>
      </c>
      <c r="H23" s="52">
        <f t="shared" si="1"/>
        <v>1520286</v>
      </c>
      <c r="I23" s="52">
        <f t="shared" si="1"/>
        <v>1586520</v>
      </c>
      <c r="J23" s="52">
        <f t="shared" si="1"/>
        <v>3097236</v>
      </c>
      <c r="K23" s="52">
        <f t="shared" si="1"/>
        <v>1267073</v>
      </c>
      <c r="L23" s="52">
        <f t="shared" si="1"/>
        <v>1556991</v>
      </c>
      <c r="M23" s="52">
        <f t="shared" si="1"/>
        <v>1245017</v>
      </c>
      <c r="N23" s="52">
        <f t="shared" si="1"/>
        <v>8922042</v>
      </c>
      <c r="O23" s="52">
        <f t="shared" si="1"/>
        <v>1472508</v>
      </c>
      <c r="P23" s="52">
        <f t="shared" si="1"/>
        <v>988217</v>
      </c>
      <c r="Q23" s="52">
        <f t="shared" si="1"/>
        <v>6258737</v>
      </c>
      <c r="R23" s="52">
        <f t="shared" si="1"/>
        <v>2434907</v>
      </c>
      <c r="S23" s="52">
        <f t="shared" si="1"/>
        <v>893640</v>
      </c>
      <c r="T23" s="52">
        <f t="shared" si="1"/>
        <v>5667640</v>
      </c>
      <c r="U23" s="52">
        <f t="shared" si="1"/>
        <v>987766</v>
      </c>
      <c r="V23" s="52">
        <f t="shared" si="1"/>
        <v>5803220</v>
      </c>
      <c r="W23" s="52">
        <f t="shared" si="1"/>
        <v>766075</v>
      </c>
      <c r="X23" s="52">
        <f t="shared" si="1"/>
        <v>169519</v>
      </c>
      <c r="Y23" s="52">
        <f t="shared" si="1"/>
        <v>4167686</v>
      </c>
      <c r="Z23" s="52">
        <f t="shared" si="1"/>
        <v>24570626</v>
      </c>
      <c r="AA23" s="52">
        <f t="shared" si="1"/>
        <v>582060</v>
      </c>
      <c r="AB23" s="52">
        <f>SUM(AB4:AB21)</f>
        <v>526239</v>
      </c>
      <c r="AC23" s="8"/>
      <c r="AD23" s="49">
        <f>IF((SUM(AD4:AD21)=SUM(B23:AB23)),(SUM(B23:AB23)),"erro")</f>
        <v>81844417</v>
      </c>
    </row>
    <row r="24" spans="1:6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61">
      <c r="A25" s="99" t="s">
        <v>100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61" s="5" customFormat="1">
      <c r="A26" s="100"/>
      <c r="B26" s="6" t="s">
        <v>53</v>
      </c>
      <c r="C26" s="6" t="s">
        <v>54</v>
      </c>
      <c r="D26" s="6" t="s">
        <v>55</v>
      </c>
      <c r="E26" s="6" t="s">
        <v>56</v>
      </c>
      <c r="F26" s="6" t="s">
        <v>57</v>
      </c>
      <c r="G26" s="6" t="s">
        <v>58</v>
      </c>
      <c r="H26" s="6" t="s">
        <v>59</v>
      </c>
      <c r="I26" s="6" t="s">
        <v>60</v>
      </c>
      <c r="J26" s="6" t="s">
        <v>61</v>
      </c>
      <c r="K26" s="6" t="s">
        <v>62</v>
      </c>
      <c r="L26" s="6" t="s">
        <v>63</v>
      </c>
      <c r="M26" s="6" t="s">
        <v>64</v>
      </c>
      <c r="N26" s="6" t="s">
        <v>65</v>
      </c>
      <c r="O26" s="6" t="s">
        <v>66</v>
      </c>
      <c r="P26" s="6" t="s">
        <v>67</v>
      </c>
      <c r="Q26" s="6" t="s">
        <v>68</v>
      </c>
      <c r="R26" s="6" t="s">
        <v>69</v>
      </c>
      <c r="S26" s="6" t="s">
        <v>70</v>
      </c>
      <c r="T26" s="6" t="s">
        <v>71</v>
      </c>
      <c r="U26" s="6" t="s">
        <v>72</v>
      </c>
      <c r="V26" s="6" t="s">
        <v>73</v>
      </c>
      <c r="W26" s="6" t="s">
        <v>74</v>
      </c>
      <c r="X26" s="6" t="s">
        <v>75</v>
      </c>
      <c r="Y26" s="6" t="s">
        <v>76</v>
      </c>
      <c r="Z26" s="6" t="s">
        <v>77</v>
      </c>
      <c r="AA26" s="6" t="s">
        <v>78</v>
      </c>
      <c r="AB26" s="6" t="s">
        <v>79</v>
      </c>
      <c r="AD26" s="6" t="s">
        <v>80</v>
      </c>
    </row>
    <row r="27" spans="1:61">
      <c r="A27" s="56" t="s">
        <v>81</v>
      </c>
      <c r="B27" s="47">
        <f>B4+B5</f>
        <v>3604</v>
      </c>
      <c r="C27" s="47">
        <f t="shared" ref="C27:AB27" si="2">C4+C5</f>
        <v>23851</v>
      </c>
      <c r="D27" s="47">
        <f t="shared" si="2"/>
        <v>1420</v>
      </c>
      <c r="E27" s="47">
        <f t="shared" si="2"/>
        <v>16219</v>
      </c>
      <c r="F27" s="47">
        <f t="shared" si="2"/>
        <v>96571</v>
      </c>
      <c r="G27" s="47">
        <f t="shared" si="2"/>
        <v>62679</v>
      </c>
      <c r="H27" s="47">
        <f t="shared" si="2"/>
        <v>58744</v>
      </c>
      <c r="I27" s="47">
        <f t="shared" si="2"/>
        <v>53675</v>
      </c>
      <c r="J27" s="47">
        <f t="shared" si="2"/>
        <v>158539</v>
      </c>
      <c r="K27" s="47">
        <f t="shared" si="2"/>
        <v>13627</v>
      </c>
      <c r="L27" s="47">
        <f t="shared" si="2"/>
        <v>47447</v>
      </c>
      <c r="M27" s="47">
        <f t="shared" si="2"/>
        <v>52933</v>
      </c>
      <c r="N27" s="47">
        <f t="shared" si="2"/>
        <v>432025</v>
      </c>
      <c r="O27" s="47">
        <f t="shared" si="2"/>
        <v>23685</v>
      </c>
      <c r="P27" s="47">
        <f t="shared" si="2"/>
        <v>29191</v>
      </c>
      <c r="Q27" s="47">
        <f t="shared" si="2"/>
        <v>419076</v>
      </c>
      <c r="R27" s="47">
        <f t="shared" si="2"/>
        <v>93835</v>
      </c>
      <c r="S27" s="47">
        <f t="shared" si="2"/>
        <v>18136</v>
      </c>
      <c r="T27" s="47">
        <f t="shared" si="2"/>
        <v>309882</v>
      </c>
      <c r="U27" s="47">
        <f t="shared" si="2"/>
        <v>29936</v>
      </c>
      <c r="V27" s="47">
        <f t="shared" si="2"/>
        <v>197727</v>
      </c>
      <c r="W27" s="47">
        <f t="shared" si="2"/>
        <v>10236</v>
      </c>
      <c r="X27" s="47">
        <f t="shared" si="2"/>
        <v>1418</v>
      </c>
      <c r="Y27" s="47">
        <f t="shared" si="2"/>
        <v>133475</v>
      </c>
      <c r="Z27" s="47">
        <f t="shared" si="2"/>
        <v>1839232</v>
      </c>
      <c r="AA27" s="47">
        <f t="shared" si="2"/>
        <v>18367</v>
      </c>
      <c r="AB27" s="47">
        <f t="shared" si="2"/>
        <v>10720</v>
      </c>
      <c r="AC27" s="48"/>
      <c r="AD27" s="49">
        <f>SUM(B27:AB27)</f>
        <v>4156250</v>
      </c>
      <c r="AH27" s="7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</row>
    <row r="28" spans="1:61">
      <c r="A28" s="56" t="s">
        <v>84</v>
      </c>
      <c r="B28" s="47">
        <f>B7</f>
        <v>61909</v>
      </c>
      <c r="C28" s="47">
        <f t="shared" ref="C28:AB28" si="3">C7</f>
        <v>232583</v>
      </c>
      <c r="D28" s="47">
        <f t="shared" si="3"/>
        <v>63083</v>
      </c>
      <c r="E28" s="47">
        <f t="shared" si="3"/>
        <v>268295</v>
      </c>
      <c r="F28" s="47">
        <f t="shared" si="3"/>
        <v>1127540</v>
      </c>
      <c r="G28" s="47">
        <f t="shared" si="3"/>
        <v>769858</v>
      </c>
      <c r="H28" s="47">
        <f t="shared" si="3"/>
        <v>711048</v>
      </c>
      <c r="I28" s="47">
        <f t="shared" si="3"/>
        <v>541699</v>
      </c>
      <c r="J28" s="47">
        <f t="shared" si="3"/>
        <v>982813</v>
      </c>
      <c r="K28" s="47">
        <f t="shared" si="3"/>
        <v>461090</v>
      </c>
      <c r="L28" s="47">
        <f t="shared" si="3"/>
        <v>485237</v>
      </c>
      <c r="M28" s="47">
        <f t="shared" si="3"/>
        <v>369735</v>
      </c>
      <c r="N28" s="47">
        <f t="shared" si="3"/>
        <v>2850988</v>
      </c>
      <c r="O28" s="47">
        <f t="shared" si="3"/>
        <v>499684</v>
      </c>
      <c r="P28" s="47">
        <f t="shared" si="3"/>
        <v>338583</v>
      </c>
      <c r="Q28" s="47">
        <f t="shared" si="3"/>
        <v>1879312</v>
      </c>
      <c r="R28" s="47">
        <f t="shared" si="3"/>
        <v>867572</v>
      </c>
      <c r="S28" s="47">
        <f t="shared" si="3"/>
        <v>266258</v>
      </c>
      <c r="T28" s="47">
        <f t="shared" si="3"/>
        <v>1564198</v>
      </c>
      <c r="U28" s="47">
        <f t="shared" si="3"/>
        <v>304225</v>
      </c>
      <c r="V28" s="47">
        <f t="shared" si="3"/>
        <v>1544309</v>
      </c>
      <c r="W28" s="47">
        <f t="shared" si="3"/>
        <v>239223</v>
      </c>
      <c r="X28" s="47">
        <f t="shared" si="3"/>
        <v>50764</v>
      </c>
      <c r="Y28" s="47">
        <f t="shared" si="3"/>
        <v>1344984</v>
      </c>
      <c r="Z28" s="47">
        <f t="shared" si="3"/>
        <v>7701680</v>
      </c>
      <c r="AA28" s="47">
        <f t="shared" si="3"/>
        <v>204964</v>
      </c>
      <c r="AB28" s="47">
        <f t="shared" si="3"/>
        <v>161198</v>
      </c>
      <c r="AC28" s="48"/>
      <c r="AD28" s="49">
        <f t="shared" ref="AD28:AD32" si="4">SUM(B28:AB28)</f>
        <v>25892832</v>
      </c>
      <c r="AH28" s="7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</row>
    <row r="29" spans="1:61">
      <c r="A29" s="56" t="s">
        <v>85</v>
      </c>
      <c r="B29" s="47">
        <f t="shared" ref="B29:AB29" si="5">B8++B10</f>
        <v>20615</v>
      </c>
      <c r="C29" s="47">
        <f t="shared" si="5"/>
        <v>54574</v>
      </c>
      <c r="D29" s="47">
        <f t="shared" si="5"/>
        <v>12091</v>
      </c>
      <c r="E29" s="47">
        <f t="shared" si="5"/>
        <v>59517</v>
      </c>
      <c r="F29" s="47">
        <f t="shared" si="5"/>
        <v>292668</v>
      </c>
      <c r="G29" s="47">
        <f t="shared" si="5"/>
        <v>189335</v>
      </c>
      <c r="H29" s="47">
        <f t="shared" si="5"/>
        <v>89650</v>
      </c>
      <c r="I29" s="47">
        <f t="shared" si="5"/>
        <v>160166</v>
      </c>
      <c r="J29" s="47">
        <f t="shared" si="5"/>
        <v>279006</v>
      </c>
      <c r="K29" s="47">
        <f t="shared" si="5"/>
        <v>96791</v>
      </c>
      <c r="L29" s="47">
        <f t="shared" si="5"/>
        <v>189008</v>
      </c>
      <c r="M29" s="47">
        <f t="shared" si="5"/>
        <v>136337</v>
      </c>
      <c r="N29" s="47">
        <f t="shared" si="5"/>
        <v>700703</v>
      </c>
      <c r="O29" s="47">
        <f t="shared" si="5"/>
        <v>144804</v>
      </c>
      <c r="P29" s="47">
        <f t="shared" si="5"/>
        <v>72607</v>
      </c>
      <c r="Q29" s="47">
        <f t="shared" si="5"/>
        <v>599011</v>
      </c>
      <c r="R29" s="47">
        <f t="shared" si="5"/>
        <v>202277</v>
      </c>
      <c r="S29" s="47">
        <f t="shared" si="5"/>
        <v>71248</v>
      </c>
      <c r="T29" s="47">
        <f t="shared" si="5"/>
        <v>317859</v>
      </c>
      <c r="U29" s="47">
        <f t="shared" si="5"/>
        <v>75334</v>
      </c>
      <c r="V29" s="47">
        <f t="shared" si="5"/>
        <v>507409</v>
      </c>
      <c r="W29" s="47">
        <f t="shared" si="5"/>
        <v>73789</v>
      </c>
      <c r="X29" s="47">
        <f t="shared" si="5"/>
        <v>14270</v>
      </c>
      <c r="Y29" s="47">
        <f t="shared" si="5"/>
        <v>341879</v>
      </c>
      <c r="Z29" s="47">
        <f t="shared" si="5"/>
        <v>1546849</v>
      </c>
      <c r="AA29" s="47">
        <f t="shared" si="5"/>
        <v>46085</v>
      </c>
      <c r="AB29" s="47">
        <f t="shared" si="5"/>
        <v>59143</v>
      </c>
      <c r="AC29" s="48"/>
      <c r="AD29" s="49">
        <f t="shared" si="4"/>
        <v>6353025</v>
      </c>
      <c r="AH29" s="7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</row>
    <row r="30" spans="1:61">
      <c r="A30" s="56" t="s">
        <v>101</v>
      </c>
      <c r="B30" s="47">
        <f>B9+B12+B13+B14+B18+B20</f>
        <v>15</v>
      </c>
      <c r="C30" s="47">
        <f t="shared" ref="C30:AB30" si="6">C9+C12+C13+C14+C18+C20</f>
        <v>0</v>
      </c>
      <c r="D30" s="47">
        <f t="shared" si="6"/>
        <v>10</v>
      </c>
      <c r="E30" s="47">
        <f t="shared" si="6"/>
        <v>55</v>
      </c>
      <c r="F30" s="47">
        <f t="shared" si="6"/>
        <v>75</v>
      </c>
      <c r="G30" s="47">
        <f t="shared" si="6"/>
        <v>22</v>
      </c>
      <c r="H30" s="47">
        <f t="shared" si="6"/>
        <v>83</v>
      </c>
      <c r="I30" s="47">
        <f t="shared" si="6"/>
        <v>36</v>
      </c>
      <c r="J30" s="47">
        <f t="shared" si="6"/>
        <v>73</v>
      </c>
      <c r="K30" s="47">
        <f t="shared" si="6"/>
        <v>79</v>
      </c>
      <c r="L30" s="47">
        <f t="shared" si="6"/>
        <v>211</v>
      </c>
      <c r="M30" s="47">
        <f t="shared" si="6"/>
        <v>42</v>
      </c>
      <c r="N30" s="47">
        <f t="shared" si="6"/>
        <v>164</v>
      </c>
      <c r="O30" s="47">
        <f t="shared" si="6"/>
        <v>55</v>
      </c>
      <c r="P30" s="47">
        <f t="shared" si="6"/>
        <v>3</v>
      </c>
      <c r="Q30" s="47">
        <f t="shared" si="6"/>
        <v>323</v>
      </c>
      <c r="R30" s="47">
        <f t="shared" si="6"/>
        <v>103</v>
      </c>
      <c r="S30" s="47">
        <f t="shared" si="6"/>
        <v>35</v>
      </c>
      <c r="T30" s="47">
        <f t="shared" si="6"/>
        <v>137</v>
      </c>
      <c r="U30" s="47">
        <f t="shared" si="6"/>
        <v>7</v>
      </c>
      <c r="V30" s="47">
        <f t="shared" si="6"/>
        <v>209</v>
      </c>
      <c r="W30" s="47">
        <f t="shared" si="6"/>
        <v>31</v>
      </c>
      <c r="X30" s="47">
        <f t="shared" si="6"/>
        <v>19</v>
      </c>
      <c r="Y30" s="47">
        <f t="shared" si="6"/>
        <v>141</v>
      </c>
      <c r="Z30" s="47">
        <f t="shared" si="6"/>
        <v>1824</v>
      </c>
      <c r="AA30" s="47">
        <f t="shared" si="6"/>
        <v>14</v>
      </c>
      <c r="AB30" s="47">
        <f t="shared" si="6"/>
        <v>19</v>
      </c>
      <c r="AC30" s="48"/>
      <c r="AD30" s="49">
        <f t="shared" si="4"/>
        <v>3785</v>
      </c>
      <c r="AH30" s="7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</row>
    <row r="31" spans="1:61">
      <c r="A31" s="56" t="s">
        <v>16</v>
      </c>
      <c r="B31" s="47">
        <f>B6+B11+B15+B19+B21</f>
        <v>11</v>
      </c>
      <c r="C31" s="47">
        <f t="shared" ref="C31:AB31" si="7">C6+C11+C15+C19+C21</f>
        <v>18408</v>
      </c>
      <c r="D31" s="47">
        <f t="shared" si="7"/>
        <v>6</v>
      </c>
      <c r="E31" s="47">
        <f t="shared" si="7"/>
        <v>1492</v>
      </c>
      <c r="F31" s="47">
        <f t="shared" si="7"/>
        <v>47428</v>
      </c>
      <c r="G31" s="47">
        <f t="shared" si="7"/>
        <v>35822</v>
      </c>
      <c r="H31" s="47">
        <f t="shared" si="7"/>
        <v>1787</v>
      </c>
      <c r="I31" s="47">
        <f t="shared" si="7"/>
        <v>27825</v>
      </c>
      <c r="J31" s="47">
        <f t="shared" si="7"/>
        <v>3742</v>
      </c>
      <c r="K31" s="47">
        <f t="shared" si="7"/>
        <v>184</v>
      </c>
      <c r="L31" s="47">
        <f t="shared" si="7"/>
        <v>1534</v>
      </c>
      <c r="M31" s="47">
        <f t="shared" si="7"/>
        <v>5792</v>
      </c>
      <c r="N31" s="47">
        <f t="shared" si="7"/>
        <v>33829</v>
      </c>
      <c r="O31" s="47">
        <f t="shared" si="7"/>
        <v>240</v>
      </c>
      <c r="P31" s="47">
        <f t="shared" si="7"/>
        <v>21328</v>
      </c>
      <c r="Q31" s="47">
        <f t="shared" si="7"/>
        <v>34894</v>
      </c>
      <c r="R31" s="47">
        <f t="shared" si="7"/>
        <v>44583</v>
      </c>
      <c r="S31" s="47">
        <f t="shared" si="7"/>
        <v>560</v>
      </c>
      <c r="T31" s="47">
        <f t="shared" si="7"/>
        <v>981093</v>
      </c>
      <c r="U31" s="47">
        <f t="shared" si="7"/>
        <v>44586</v>
      </c>
      <c r="V31" s="47">
        <f t="shared" si="7"/>
        <v>60383</v>
      </c>
      <c r="W31" s="47">
        <f t="shared" si="7"/>
        <v>105</v>
      </c>
      <c r="X31" s="47">
        <f t="shared" si="7"/>
        <v>27</v>
      </c>
      <c r="Y31" s="47">
        <f t="shared" si="7"/>
        <v>93435</v>
      </c>
      <c r="Z31" s="47">
        <f t="shared" si="7"/>
        <v>290506</v>
      </c>
      <c r="AA31" s="47">
        <f t="shared" si="7"/>
        <v>19590</v>
      </c>
      <c r="AB31" s="47">
        <f t="shared" si="7"/>
        <v>215</v>
      </c>
      <c r="AC31" s="48"/>
      <c r="AD31" s="49">
        <f t="shared" si="4"/>
        <v>1769405</v>
      </c>
      <c r="AH31" s="7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</row>
    <row r="32" spans="1:61">
      <c r="A32" s="56" t="s">
        <v>94</v>
      </c>
      <c r="B32" s="47">
        <f>B16+B17</f>
        <v>123994</v>
      </c>
      <c r="C32" s="47">
        <f>C16+C17</f>
        <v>293566</v>
      </c>
      <c r="D32" s="47">
        <f t="shared" ref="D32:AB32" si="8">D16+D17</f>
        <v>79587</v>
      </c>
      <c r="E32" s="47">
        <f t="shared" si="8"/>
        <v>365684</v>
      </c>
      <c r="F32" s="47">
        <f t="shared" si="8"/>
        <v>1657861</v>
      </c>
      <c r="G32" s="47">
        <f t="shared" si="8"/>
        <v>1379964</v>
      </c>
      <c r="H32" s="47">
        <f t="shared" si="8"/>
        <v>658974</v>
      </c>
      <c r="I32" s="47">
        <f t="shared" si="8"/>
        <v>803119</v>
      </c>
      <c r="J32" s="47">
        <f t="shared" si="8"/>
        <v>1673063</v>
      </c>
      <c r="K32" s="47">
        <f t="shared" si="8"/>
        <v>695302</v>
      </c>
      <c r="L32" s="47">
        <f t="shared" si="8"/>
        <v>833554</v>
      </c>
      <c r="M32" s="47">
        <f t="shared" si="8"/>
        <v>680178</v>
      </c>
      <c r="N32" s="47">
        <f t="shared" si="8"/>
        <v>4904333</v>
      </c>
      <c r="O32" s="47">
        <f t="shared" si="8"/>
        <v>804040</v>
      </c>
      <c r="P32" s="47">
        <f t="shared" si="8"/>
        <v>526505</v>
      </c>
      <c r="Q32" s="47">
        <f t="shared" si="8"/>
        <v>3326121</v>
      </c>
      <c r="R32" s="47">
        <f t="shared" si="8"/>
        <v>1226537</v>
      </c>
      <c r="S32" s="47">
        <f t="shared" si="8"/>
        <v>537403</v>
      </c>
      <c r="T32" s="47">
        <f t="shared" si="8"/>
        <v>2494471</v>
      </c>
      <c r="U32" s="47">
        <f t="shared" si="8"/>
        <v>533678</v>
      </c>
      <c r="V32" s="47">
        <f t="shared" si="8"/>
        <v>3493183</v>
      </c>
      <c r="W32" s="47">
        <f t="shared" si="8"/>
        <v>442691</v>
      </c>
      <c r="X32" s="47">
        <f t="shared" si="8"/>
        <v>103021</v>
      </c>
      <c r="Y32" s="47">
        <f t="shared" si="8"/>
        <v>2253772</v>
      </c>
      <c r="Z32" s="47">
        <f t="shared" si="8"/>
        <v>13190535</v>
      </c>
      <c r="AA32" s="47">
        <f t="shared" si="8"/>
        <v>293040</v>
      </c>
      <c r="AB32" s="47">
        <f t="shared" si="8"/>
        <v>294944</v>
      </c>
      <c r="AC32" s="48"/>
      <c r="AD32" s="49">
        <f t="shared" si="4"/>
        <v>43669120</v>
      </c>
      <c r="AH32" s="7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</row>
    <row r="33" spans="1:61">
      <c r="A33" s="57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50"/>
      <c r="AH33" s="7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</row>
    <row r="34" spans="1:61">
      <c r="A34" s="1" t="s">
        <v>99</v>
      </c>
      <c r="B34" s="49">
        <f>SUM(B27:B32)</f>
        <v>210148</v>
      </c>
      <c r="C34" s="49">
        <f t="shared" ref="C34:AA34" si="9">SUM(C27:C32)</f>
        <v>622982</v>
      </c>
      <c r="D34" s="49">
        <f t="shared" si="9"/>
        <v>156197</v>
      </c>
      <c r="E34" s="49">
        <f t="shared" si="9"/>
        <v>711262</v>
      </c>
      <c r="F34" s="49">
        <f t="shared" si="9"/>
        <v>3222143</v>
      </c>
      <c r="G34" s="49">
        <f t="shared" si="9"/>
        <v>2437680</v>
      </c>
      <c r="H34" s="49">
        <f t="shared" si="9"/>
        <v>1520286</v>
      </c>
      <c r="I34" s="49">
        <f t="shared" si="9"/>
        <v>1586520</v>
      </c>
      <c r="J34" s="49">
        <f t="shared" si="9"/>
        <v>3097236</v>
      </c>
      <c r="K34" s="49">
        <f t="shared" si="9"/>
        <v>1267073</v>
      </c>
      <c r="L34" s="49">
        <f t="shared" si="9"/>
        <v>1556991</v>
      </c>
      <c r="M34" s="49">
        <f t="shared" si="9"/>
        <v>1245017</v>
      </c>
      <c r="N34" s="49">
        <f t="shared" si="9"/>
        <v>8922042</v>
      </c>
      <c r="O34" s="49">
        <f t="shared" si="9"/>
        <v>1472508</v>
      </c>
      <c r="P34" s="49">
        <f t="shared" si="9"/>
        <v>988217</v>
      </c>
      <c r="Q34" s="49">
        <f t="shared" si="9"/>
        <v>6258737</v>
      </c>
      <c r="R34" s="49">
        <f t="shared" si="9"/>
        <v>2434907</v>
      </c>
      <c r="S34" s="49">
        <f t="shared" si="9"/>
        <v>893640</v>
      </c>
      <c r="T34" s="49">
        <f t="shared" si="9"/>
        <v>5667640</v>
      </c>
      <c r="U34" s="49">
        <f t="shared" si="9"/>
        <v>987766</v>
      </c>
      <c r="V34" s="49">
        <f t="shared" si="9"/>
        <v>5803220</v>
      </c>
      <c r="W34" s="49">
        <f t="shared" si="9"/>
        <v>766075</v>
      </c>
      <c r="X34" s="49">
        <f t="shared" si="9"/>
        <v>169519</v>
      </c>
      <c r="Y34" s="49">
        <f t="shared" si="9"/>
        <v>4167686</v>
      </c>
      <c r="Z34" s="49">
        <f t="shared" si="9"/>
        <v>24570626</v>
      </c>
      <c r="AA34" s="49">
        <f t="shared" si="9"/>
        <v>582060</v>
      </c>
      <c r="AB34" s="49">
        <f>SUM(AB27:AB32)</f>
        <v>526239</v>
      </c>
      <c r="AC34" s="48"/>
      <c r="AD34" s="51">
        <f>IF((SUM(AD27:AD32)=SUM(B34:AB34)),(SUM(B34:AB34)),"erro")</f>
        <v>81844417</v>
      </c>
      <c r="AH34" s="7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</row>
    <row r="35" spans="1:61" ht="15.75" customHeight="1">
      <c r="A35" s="7"/>
    </row>
    <row r="36" spans="1:61">
      <c r="A36" s="99" t="s">
        <v>102</v>
      </c>
    </row>
    <row r="37" spans="1:61">
      <c r="A37" s="100"/>
      <c r="B37" s="6" t="s">
        <v>53</v>
      </c>
      <c r="C37" s="6" t="s">
        <v>54</v>
      </c>
      <c r="D37" s="6" t="s">
        <v>55</v>
      </c>
      <c r="E37" s="6" t="s">
        <v>56</v>
      </c>
      <c r="F37" s="6" t="s">
        <v>57</v>
      </c>
      <c r="G37" s="6" t="s">
        <v>58</v>
      </c>
      <c r="H37" s="6" t="s">
        <v>59</v>
      </c>
      <c r="I37" s="6" t="s">
        <v>60</v>
      </c>
      <c r="J37" s="6" t="s">
        <v>61</v>
      </c>
      <c r="K37" s="6" t="s">
        <v>62</v>
      </c>
      <c r="L37" s="6" t="s">
        <v>63</v>
      </c>
      <c r="M37" s="6" t="s">
        <v>64</v>
      </c>
      <c r="N37" s="6" t="s">
        <v>65</v>
      </c>
      <c r="O37" s="6" t="s">
        <v>66</v>
      </c>
      <c r="P37" s="6" t="s">
        <v>67</v>
      </c>
      <c r="Q37" s="6" t="s">
        <v>68</v>
      </c>
      <c r="R37" s="6" t="s">
        <v>69</v>
      </c>
      <c r="S37" s="6" t="s">
        <v>70</v>
      </c>
      <c r="T37" s="6" t="s">
        <v>71</v>
      </c>
      <c r="U37" s="6" t="s">
        <v>72</v>
      </c>
      <c r="V37" s="6" t="s">
        <v>73</v>
      </c>
      <c r="W37" s="6" t="s">
        <v>74</v>
      </c>
      <c r="X37" s="6" t="s">
        <v>75</v>
      </c>
      <c r="Y37" s="6" t="s">
        <v>76</v>
      </c>
      <c r="Z37" s="6" t="s">
        <v>77</v>
      </c>
      <c r="AA37" s="6" t="s">
        <v>78</v>
      </c>
      <c r="AB37" s="6" t="s">
        <v>79</v>
      </c>
      <c r="AD37" s="6" t="s">
        <v>80</v>
      </c>
    </row>
    <row r="38" spans="1:61">
      <c r="A38" s="58" t="s">
        <v>103</v>
      </c>
      <c r="B38" s="29">
        <v>69631</v>
      </c>
      <c r="C38" s="29">
        <v>285007</v>
      </c>
      <c r="D38" s="29">
        <v>66709</v>
      </c>
      <c r="E38" s="29">
        <v>334704</v>
      </c>
      <c r="F38" s="29">
        <v>1468325</v>
      </c>
      <c r="G38" s="29">
        <v>914352</v>
      </c>
      <c r="H38" s="29">
        <v>1124355</v>
      </c>
      <c r="I38" s="29">
        <v>819380</v>
      </c>
      <c r="J38" s="29">
        <v>1559333</v>
      </c>
      <c r="K38" s="29">
        <v>348336</v>
      </c>
      <c r="L38" s="29">
        <v>564110</v>
      </c>
      <c r="M38" s="29">
        <v>599600</v>
      </c>
      <c r="N38" s="29">
        <v>5059181</v>
      </c>
      <c r="O38" s="29">
        <v>472455</v>
      </c>
      <c r="P38" s="29">
        <v>422013</v>
      </c>
      <c r="Q38" s="29">
        <v>3858676</v>
      </c>
      <c r="R38" s="29">
        <v>1120677</v>
      </c>
      <c r="S38" s="29">
        <v>267069</v>
      </c>
      <c r="T38" s="29">
        <v>3937717</v>
      </c>
      <c r="U38" s="29">
        <v>444880</v>
      </c>
      <c r="V38" s="29">
        <v>3715549</v>
      </c>
      <c r="W38" s="29">
        <v>220949</v>
      </c>
      <c r="X38" s="29">
        <v>55764</v>
      </c>
      <c r="Y38" s="29">
        <v>2487559</v>
      </c>
      <c r="Z38" s="29">
        <v>15980149</v>
      </c>
      <c r="AA38" s="29">
        <v>271665</v>
      </c>
      <c r="AB38" s="29">
        <v>165490</v>
      </c>
      <c r="AC38" s="17"/>
      <c r="AD38" s="49">
        <f>SUM(B38:AB38)</f>
        <v>46633635</v>
      </c>
    </row>
    <row r="39" spans="1:61">
      <c r="A39" s="58" t="s">
        <v>104</v>
      </c>
      <c r="B39" s="29">
        <v>6408</v>
      </c>
      <c r="C39" s="29">
        <v>19389</v>
      </c>
      <c r="D39" s="29">
        <v>3787</v>
      </c>
      <c r="E39" s="29">
        <v>19286</v>
      </c>
      <c r="F39" s="29">
        <v>108337</v>
      </c>
      <c r="G39" s="29">
        <v>62948</v>
      </c>
      <c r="H39" s="29">
        <v>22117</v>
      </c>
      <c r="I39" s="29">
        <v>66143</v>
      </c>
      <c r="J39" s="29">
        <v>102370</v>
      </c>
      <c r="K39" s="29">
        <v>34269</v>
      </c>
      <c r="L39" s="29">
        <v>61582</v>
      </c>
      <c r="M39" s="29">
        <v>46315</v>
      </c>
      <c r="N39" s="29">
        <v>305065</v>
      </c>
      <c r="O39" s="29">
        <v>51803</v>
      </c>
      <c r="P39" s="29">
        <v>26243</v>
      </c>
      <c r="Q39" s="29">
        <v>250581</v>
      </c>
      <c r="R39" s="29">
        <v>85643</v>
      </c>
      <c r="S39" s="29">
        <v>23831</v>
      </c>
      <c r="T39" s="29">
        <v>135731</v>
      </c>
      <c r="U39" s="29">
        <v>28403</v>
      </c>
      <c r="V39" s="29">
        <v>210795</v>
      </c>
      <c r="W39" s="29">
        <v>27342</v>
      </c>
      <c r="X39" s="29">
        <v>3984</v>
      </c>
      <c r="Y39" s="29">
        <v>141810</v>
      </c>
      <c r="Z39" s="29">
        <v>650497</v>
      </c>
      <c r="AA39" s="29">
        <v>19534</v>
      </c>
      <c r="AB39" s="29">
        <v>21012</v>
      </c>
      <c r="AC39" s="17"/>
      <c r="AD39" s="49">
        <f t="shared" ref="AD39:AD47" si="10">SUM(B39:AB39)</f>
        <v>2535225</v>
      </c>
    </row>
    <row r="40" spans="1:61">
      <c r="A40" s="58" t="s">
        <v>105</v>
      </c>
      <c r="B40" s="29">
        <v>615</v>
      </c>
      <c r="C40" s="29">
        <v>2077</v>
      </c>
      <c r="D40" s="29">
        <v>268</v>
      </c>
      <c r="E40" s="29">
        <v>2819</v>
      </c>
      <c r="F40" s="29">
        <v>18240</v>
      </c>
      <c r="G40" s="29">
        <v>6848</v>
      </c>
      <c r="H40" s="29">
        <v>3039</v>
      </c>
      <c r="I40" s="29">
        <v>16845</v>
      </c>
      <c r="J40" s="29">
        <v>25714</v>
      </c>
      <c r="K40" s="29">
        <v>3125</v>
      </c>
      <c r="L40" s="29">
        <v>26739</v>
      </c>
      <c r="M40" s="29">
        <v>13532</v>
      </c>
      <c r="N40" s="29">
        <v>58719</v>
      </c>
      <c r="O40" s="29">
        <v>6096</v>
      </c>
      <c r="P40" s="29">
        <v>2406</v>
      </c>
      <c r="Q40" s="29">
        <v>81077</v>
      </c>
      <c r="R40" s="29">
        <v>10377</v>
      </c>
      <c r="S40" s="29">
        <v>2019</v>
      </c>
      <c r="T40" s="29">
        <v>14797</v>
      </c>
      <c r="U40" s="29">
        <v>2633</v>
      </c>
      <c r="V40" s="29">
        <v>52094</v>
      </c>
      <c r="W40" s="29">
        <v>5311</v>
      </c>
      <c r="X40" s="29">
        <v>489</v>
      </c>
      <c r="Y40" s="29">
        <v>46506</v>
      </c>
      <c r="Z40" s="29">
        <v>151421</v>
      </c>
      <c r="AA40" s="29">
        <v>1998</v>
      </c>
      <c r="AB40" s="29">
        <v>3889</v>
      </c>
      <c r="AC40" s="17"/>
      <c r="AD40" s="49">
        <f t="shared" si="10"/>
        <v>559693</v>
      </c>
    </row>
    <row r="41" spans="1:61">
      <c r="A41" s="58" t="s">
        <v>106</v>
      </c>
      <c r="B41" s="29">
        <v>20046</v>
      </c>
      <c r="C41" s="29">
        <v>43058</v>
      </c>
      <c r="D41" s="29">
        <v>17148</v>
      </c>
      <c r="E41" s="29">
        <v>72846</v>
      </c>
      <c r="F41" s="29">
        <v>269854</v>
      </c>
      <c r="G41" s="29">
        <v>150654</v>
      </c>
      <c r="H41" s="29">
        <v>104253</v>
      </c>
      <c r="I41" s="29">
        <v>133298</v>
      </c>
      <c r="J41" s="29">
        <v>292087</v>
      </c>
      <c r="K41" s="29">
        <v>87914</v>
      </c>
      <c r="L41" s="29">
        <v>165487</v>
      </c>
      <c r="M41" s="29">
        <v>123949</v>
      </c>
      <c r="N41" s="29">
        <v>704136</v>
      </c>
      <c r="O41" s="29">
        <v>105827</v>
      </c>
      <c r="P41" s="29">
        <v>63707</v>
      </c>
      <c r="Q41" s="29">
        <v>531839</v>
      </c>
      <c r="R41" s="29">
        <v>148431</v>
      </c>
      <c r="S41" s="29">
        <v>62469</v>
      </c>
      <c r="T41" s="29">
        <v>285402</v>
      </c>
      <c r="U41" s="29">
        <v>67393</v>
      </c>
      <c r="V41" s="29">
        <v>414623</v>
      </c>
      <c r="W41" s="29">
        <v>68461</v>
      </c>
      <c r="X41" s="29">
        <v>19102</v>
      </c>
      <c r="Y41" s="29">
        <v>302449</v>
      </c>
      <c r="Z41" s="29">
        <v>1637493</v>
      </c>
      <c r="AA41" s="29">
        <v>32691</v>
      </c>
      <c r="AB41" s="29">
        <v>49946</v>
      </c>
      <c r="AC41" s="17"/>
      <c r="AD41" s="49">
        <f t="shared" si="10"/>
        <v>5974563</v>
      </c>
    </row>
    <row r="42" spans="1:61">
      <c r="A42" s="58" t="s">
        <v>107</v>
      </c>
      <c r="B42" s="29">
        <v>3625</v>
      </c>
      <c r="C42" s="29">
        <v>16460</v>
      </c>
      <c r="D42" s="29">
        <v>3832</v>
      </c>
      <c r="E42" s="29">
        <v>25399</v>
      </c>
      <c r="F42" s="29">
        <v>86729</v>
      </c>
      <c r="G42" s="29">
        <v>49484</v>
      </c>
      <c r="H42" s="29">
        <v>63930</v>
      </c>
      <c r="I42" s="29">
        <v>46572</v>
      </c>
      <c r="J42" s="29">
        <v>76963</v>
      </c>
      <c r="K42" s="29">
        <v>18379</v>
      </c>
      <c r="L42" s="29">
        <v>30753</v>
      </c>
      <c r="M42" s="29">
        <v>31214</v>
      </c>
      <c r="N42" s="29">
        <v>245436</v>
      </c>
      <c r="O42" s="29">
        <v>32196</v>
      </c>
      <c r="P42" s="29">
        <v>21280</v>
      </c>
      <c r="Q42" s="29">
        <v>191904</v>
      </c>
      <c r="R42" s="29">
        <v>76055</v>
      </c>
      <c r="S42" s="29">
        <v>12730</v>
      </c>
      <c r="T42" s="29">
        <v>247214</v>
      </c>
      <c r="U42" s="29">
        <v>22054</v>
      </c>
      <c r="V42" s="29">
        <v>194929</v>
      </c>
      <c r="W42" s="29">
        <v>9778</v>
      </c>
      <c r="X42" s="29">
        <v>4013</v>
      </c>
      <c r="Y42" s="29">
        <v>124871</v>
      </c>
      <c r="Z42" s="29">
        <v>965527</v>
      </c>
      <c r="AA42" s="29">
        <v>11703</v>
      </c>
      <c r="AB42" s="29">
        <v>8509</v>
      </c>
      <c r="AC42" s="17"/>
      <c r="AD42" s="49">
        <f t="shared" si="10"/>
        <v>2621539</v>
      </c>
    </row>
    <row r="43" spans="1:61">
      <c r="A43" s="58" t="s">
        <v>108</v>
      </c>
      <c r="B43" s="29">
        <v>303</v>
      </c>
      <c r="C43" s="29">
        <v>5576</v>
      </c>
      <c r="D43" s="29">
        <v>429</v>
      </c>
      <c r="E43" s="29">
        <v>3332</v>
      </c>
      <c r="F43" s="29">
        <v>24426</v>
      </c>
      <c r="G43" s="29">
        <v>9913</v>
      </c>
      <c r="H43" s="29">
        <v>5057</v>
      </c>
      <c r="I43" s="29">
        <v>7088</v>
      </c>
      <c r="J43" s="29">
        <v>8139</v>
      </c>
      <c r="K43" s="29">
        <v>4189</v>
      </c>
      <c r="L43" s="29">
        <v>3011</v>
      </c>
      <c r="M43" s="29">
        <v>3247</v>
      </c>
      <c r="N43" s="29">
        <v>40396</v>
      </c>
      <c r="O43" s="29">
        <v>6065</v>
      </c>
      <c r="P43" s="29">
        <v>4105</v>
      </c>
      <c r="Q43" s="29">
        <v>19476</v>
      </c>
      <c r="R43" s="29">
        <v>16079</v>
      </c>
      <c r="S43" s="29">
        <v>2730</v>
      </c>
      <c r="T43" s="29">
        <v>36735</v>
      </c>
      <c r="U43" s="29">
        <v>4452</v>
      </c>
      <c r="V43" s="29">
        <v>19047</v>
      </c>
      <c r="W43" s="29">
        <v>1057</v>
      </c>
      <c r="X43" s="29">
        <v>587</v>
      </c>
      <c r="Y43" s="29">
        <v>10722</v>
      </c>
      <c r="Z43" s="29">
        <v>110907</v>
      </c>
      <c r="AA43" s="29">
        <v>3141</v>
      </c>
      <c r="AB43" s="29">
        <v>1489</v>
      </c>
      <c r="AC43" s="17"/>
      <c r="AD43" s="49">
        <f t="shared" si="10"/>
        <v>351698</v>
      </c>
    </row>
    <row r="44" spans="1:61">
      <c r="A44" s="58" t="s">
        <v>109</v>
      </c>
      <c r="B44" s="29">
        <v>89427</v>
      </c>
      <c r="C44" s="29">
        <v>210370</v>
      </c>
      <c r="D44" s="29">
        <v>51954</v>
      </c>
      <c r="E44" s="29">
        <v>193581</v>
      </c>
      <c r="F44" s="29">
        <v>1045757</v>
      </c>
      <c r="G44" s="29">
        <v>1087243</v>
      </c>
      <c r="H44" s="29">
        <v>158707</v>
      </c>
      <c r="I44" s="29">
        <v>383194</v>
      </c>
      <c r="J44" s="29">
        <v>762716</v>
      </c>
      <c r="K44" s="29">
        <v>637200</v>
      </c>
      <c r="L44" s="29">
        <v>511484</v>
      </c>
      <c r="M44" s="29">
        <v>321078</v>
      </c>
      <c r="N44" s="29">
        <v>2162656</v>
      </c>
      <c r="O44" s="29">
        <v>631979</v>
      </c>
      <c r="P44" s="29">
        <v>382140</v>
      </c>
      <c r="Q44" s="29">
        <v>1029042</v>
      </c>
      <c r="R44" s="29">
        <v>860850</v>
      </c>
      <c r="S44" s="29">
        <v>432078</v>
      </c>
      <c r="T44" s="29">
        <v>778925</v>
      </c>
      <c r="U44" s="29">
        <v>353828</v>
      </c>
      <c r="V44" s="29">
        <v>976558</v>
      </c>
      <c r="W44" s="29">
        <v>329145</v>
      </c>
      <c r="X44" s="29">
        <v>66841</v>
      </c>
      <c r="Y44" s="29">
        <v>777732</v>
      </c>
      <c r="Z44" s="29">
        <v>4059251</v>
      </c>
      <c r="AA44" s="29">
        <v>198293</v>
      </c>
      <c r="AB44" s="29">
        <v>190348</v>
      </c>
      <c r="AC44" s="17"/>
      <c r="AD44" s="49">
        <f t="shared" si="10"/>
        <v>18682377</v>
      </c>
    </row>
    <row r="45" spans="1:61">
      <c r="A45" s="56" t="s">
        <v>110</v>
      </c>
      <c r="B45" s="29">
        <v>18202</v>
      </c>
      <c r="C45" s="29">
        <v>30890</v>
      </c>
      <c r="D45" s="29">
        <v>9779</v>
      </c>
      <c r="E45" s="29">
        <v>44041</v>
      </c>
      <c r="F45" s="29">
        <v>145578</v>
      </c>
      <c r="G45" s="29">
        <v>124489</v>
      </c>
      <c r="H45" s="29">
        <v>15282</v>
      </c>
      <c r="I45" s="29">
        <v>86844</v>
      </c>
      <c r="J45" s="29">
        <v>227525</v>
      </c>
      <c r="K45" s="29">
        <v>112202</v>
      </c>
      <c r="L45" s="29">
        <v>168122</v>
      </c>
      <c r="M45" s="29">
        <v>91613</v>
      </c>
      <c r="N45" s="29">
        <v>233792</v>
      </c>
      <c r="O45" s="29">
        <v>139276</v>
      </c>
      <c r="P45" s="29">
        <v>53298</v>
      </c>
      <c r="Q45" s="29">
        <v>254786</v>
      </c>
      <c r="R45" s="29">
        <v>87039</v>
      </c>
      <c r="S45" s="29">
        <v>75227</v>
      </c>
      <c r="T45" s="29">
        <v>137462</v>
      </c>
      <c r="U45" s="29">
        <v>48020</v>
      </c>
      <c r="V45" s="29">
        <v>167884</v>
      </c>
      <c r="W45" s="29">
        <v>96783</v>
      </c>
      <c r="X45" s="29">
        <v>16511</v>
      </c>
      <c r="Y45" s="29">
        <v>238651</v>
      </c>
      <c r="Z45" s="29">
        <v>724299</v>
      </c>
      <c r="AA45" s="29">
        <v>34324</v>
      </c>
      <c r="AB45" s="29">
        <v>76814</v>
      </c>
      <c r="AC45" s="17"/>
      <c r="AD45" s="49">
        <f t="shared" si="10"/>
        <v>3458733</v>
      </c>
    </row>
    <row r="46" spans="1:61">
      <c r="A46" s="56" t="s">
        <v>111</v>
      </c>
      <c r="B46" s="29">
        <v>941</v>
      </c>
      <c r="C46" s="29">
        <v>6307</v>
      </c>
      <c r="D46" s="29">
        <v>959</v>
      </c>
      <c r="E46" s="29">
        <v>8703</v>
      </c>
      <c r="F46" s="29">
        <v>35084</v>
      </c>
      <c r="G46" s="29">
        <v>14347</v>
      </c>
      <c r="H46" s="29">
        <v>11734</v>
      </c>
      <c r="I46" s="29">
        <v>13757</v>
      </c>
      <c r="J46" s="29">
        <v>20049</v>
      </c>
      <c r="K46" s="29">
        <v>7134</v>
      </c>
      <c r="L46" s="29">
        <v>9930</v>
      </c>
      <c r="M46" s="29">
        <v>8342</v>
      </c>
      <c r="N46" s="29">
        <v>69504</v>
      </c>
      <c r="O46" s="29">
        <v>15099</v>
      </c>
      <c r="P46" s="29">
        <v>6672</v>
      </c>
      <c r="Q46" s="29">
        <v>37723</v>
      </c>
      <c r="R46" s="29">
        <v>18172</v>
      </c>
      <c r="S46" s="29">
        <v>5513</v>
      </c>
      <c r="T46" s="29">
        <v>44578</v>
      </c>
      <c r="U46" s="29">
        <v>5894</v>
      </c>
      <c r="V46" s="29">
        <v>37485</v>
      </c>
      <c r="W46" s="29">
        <v>4968</v>
      </c>
      <c r="X46" s="29">
        <v>860</v>
      </c>
      <c r="Y46" s="29">
        <v>17847</v>
      </c>
      <c r="Z46" s="29">
        <v>147841</v>
      </c>
      <c r="AA46" s="29">
        <v>5935</v>
      </c>
      <c r="AB46" s="29">
        <v>4745</v>
      </c>
      <c r="AC46" s="17"/>
      <c r="AD46" s="49">
        <f t="shared" si="10"/>
        <v>560123</v>
      </c>
    </row>
    <row r="47" spans="1:61">
      <c r="A47" s="56" t="s">
        <v>112</v>
      </c>
      <c r="B47" s="29">
        <v>885</v>
      </c>
      <c r="C47" s="29">
        <v>3904</v>
      </c>
      <c r="D47" s="29">
        <v>748</v>
      </c>
      <c r="E47" s="29">
        <v>4428</v>
      </c>
      <c r="F47" s="29">
        <v>18788</v>
      </c>
      <c r="G47" s="29">
        <v>21529</v>
      </c>
      <c r="H47" s="29">
        <v>17615</v>
      </c>
      <c r="I47" s="29">
        <v>11260</v>
      </c>
      <c r="J47" s="29">
        <v>15749</v>
      </c>
      <c r="K47" s="29">
        <v>6395</v>
      </c>
      <c r="L47" s="29">
        <v>9144</v>
      </c>
      <c r="M47" s="29">
        <v>7521</v>
      </c>
      <c r="N47" s="29">
        <v>41098</v>
      </c>
      <c r="O47" s="29">
        <v>9859</v>
      </c>
      <c r="P47" s="29">
        <v>6114</v>
      </c>
      <c r="Q47" s="29">
        <v>36199</v>
      </c>
      <c r="R47" s="29">
        <v>12823</v>
      </c>
      <c r="S47" s="29">
        <v>3814</v>
      </c>
      <c r="T47" s="29">
        <v>41646</v>
      </c>
      <c r="U47" s="29">
        <v>10673</v>
      </c>
      <c r="V47" s="29">
        <v>34896</v>
      </c>
      <c r="W47" s="29">
        <v>2371</v>
      </c>
      <c r="X47" s="29">
        <v>902</v>
      </c>
      <c r="Y47" s="29">
        <v>31162</v>
      </c>
      <c r="Z47" s="29">
        <v>165330</v>
      </c>
      <c r="AA47" s="29">
        <v>3151</v>
      </c>
      <c r="AB47" s="29">
        <v>2314</v>
      </c>
      <c r="AC47" s="17"/>
      <c r="AD47" s="49">
        <f t="shared" si="10"/>
        <v>520318</v>
      </c>
    </row>
    <row r="48" spans="1:61">
      <c r="A48" s="57"/>
      <c r="B48" s="17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7"/>
      <c r="AD48" s="53"/>
    </row>
    <row r="49" spans="1:62">
      <c r="A49" s="1" t="s">
        <v>99</v>
      </c>
      <c r="B49" s="49">
        <f>SUM(B38:B47)</f>
        <v>210083</v>
      </c>
      <c r="C49" s="49">
        <f t="shared" ref="C49:AB49" si="11">SUM(C38:C47)</f>
        <v>623038</v>
      </c>
      <c r="D49" s="49">
        <f t="shared" si="11"/>
        <v>155613</v>
      </c>
      <c r="E49" s="49">
        <f t="shared" si="11"/>
        <v>709139</v>
      </c>
      <c r="F49" s="49">
        <f t="shared" si="11"/>
        <v>3221118</v>
      </c>
      <c r="G49" s="49">
        <f t="shared" si="11"/>
        <v>2441807</v>
      </c>
      <c r="H49" s="49">
        <f t="shared" si="11"/>
        <v>1526089</v>
      </c>
      <c r="I49" s="49">
        <f t="shared" si="11"/>
        <v>1584381</v>
      </c>
      <c r="J49" s="49">
        <f t="shared" si="11"/>
        <v>3090645</v>
      </c>
      <c r="K49" s="49">
        <f t="shared" si="11"/>
        <v>1259143</v>
      </c>
      <c r="L49" s="49">
        <f t="shared" si="11"/>
        <v>1550362</v>
      </c>
      <c r="M49" s="49">
        <f t="shared" si="11"/>
        <v>1246411</v>
      </c>
      <c r="N49" s="49">
        <f t="shared" si="11"/>
        <v>8919983</v>
      </c>
      <c r="O49" s="49">
        <f t="shared" si="11"/>
        <v>1470655</v>
      </c>
      <c r="P49" s="49">
        <f t="shared" si="11"/>
        <v>987978</v>
      </c>
      <c r="Q49" s="49">
        <f t="shared" si="11"/>
        <v>6291303</v>
      </c>
      <c r="R49" s="49">
        <f t="shared" si="11"/>
        <v>2436146</v>
      </c>
      <c r="S49" s="49">
        <f t="shared" si="11"/>
        <v>887480</v>
      </c>
      <c r="T49" s="49">
        <f t="shared" si="11"/>
        <v>5660207</v>
      </c>
      <c r="U49" s="49">
        <f t="shared" si="11"/>
        <v>988230</v>
      </c>
      <c r="V49" s="49">
        <f t="shared" si="11"/>
        <v>5823860</v>
      </c>
      <c r="W49" s="49">
        <f t="shared" si="11"/>
        <v>766165</v>
      </c>
      <c r="X49" s="49">
        <f t="shared" si="11"/>
        <v>169053</v>
      </c>
      <c r="Y49" s="49">
        <f t="shared" si="11"/>
        <v>4179309</v>
      </c>
      <c r="Z49" s="49">
        <f t="shared" si="11"/>
        <v>24592715</v>
      </c>
      <c r="AA49" s="49">
        <f t="shared" si="11"/>
        <v>582435</v>
      </c>
      <c r="AB49" s="49">
        <f t="shared" si="11"/>
        <v>524556</v>
      </c>
      <c r="AC49" s="12"/>
      <c r="AD49" s="51">
        <f>IF((SUM(AD38:AD47)=SUM(B49:AB49)),(SUM(B49:AB49)),"erro")</f>
        <v>81897904</v>
      </c>
    </row>
    <row r="51" spans="1:62">
      <c r="J51" t="s">
        <v>113</v>
      </c>
      <c r="L51" s="88">
        <f>ROUND(AD34/AD49,7)</f>
        <v>0.99934690000000004</v>
      </c>
    </row>
    <row r="52" spans="1:62">
      <c r="AD52" s="87"/>
    </row>
    <row r="54" spans="1:62">
      <c r="A54" s="97" t="s">
        <v>117</v>
      </c>
    </row>
    <row r="55" spans="1:62" s="5" customFormat="1">
      <c r="A55" s="98"/>
      <c r="B55" s="16" t="s">
        <v>53</v>
      </c>
      <c r="C55" s="16" t="s">
        <v>54</v>
      </c>
      <c r="D55" s="16" t="s">
        <v>55</v>
      </c>
      <c r="E55" s="16" t="s">
        <v>56</v>
      </c>
      <c r="F55" s="16" t="s">
        <v>57</v>
      </c>
      <c r="G55" s="16" t="s">
        <v>58</v>
      </c>
      <c r="H55" s="16" t="s">
        <v>59</v>
      </c>
      <c r="I55" s="16" t="s">
        <v>60</v>
      </c>
      <c r="J55" s="16" t="s">
        <v>61</v>
      </c>
      <c r="K55" s="16" t="s">
        <v>62</v>
      </c>
      <c r="L55" s="16" t="s">
        <v>63</v>
      </c>
      <c r="M55" s="16" t="s">
        <v>64</v>
      </c>
      <c r="N55" s="16" t="s">
        <v>65</v>
      </c>
      <c r="O55" s="16" t="s">
        <v>66</v>
      </c>
      <c r="P55" s="16" t="s">
        <v>67</v>
      </c>
      <c r="Q55" s="16" t="s">
        <v>68</v>
      </c>
      <c r="R55" s="16" t="s">
        <v>69</v>
      </c>
      <c r="S55" s="16" t="s">
        <v>70</v>
      </c>
      <c r="T55" s="16" t="s">
        <v>71</v>
      </c>
      <c r="U55" s="16" t="s">
        <v>72</v>
      </c>
      <c r="V55" s="16" t="s">
        <v>73</v>
      </c>
      <c r="W55" s="16" t="s">
        <v>74</v>
      </c>
      <c r="X55" s="16" t="s">
        <v>75</v>
      </c>
      <c r="Y55" s="16" t="s">
        <v>76</v>
      </c>
      <c r="Z55" s="16" t="s">
        <v>77</v>
      </c>
      <c r="AA55" s="16" t="s">
        <v>78</v>
      </c>
      <c r="AB55" s="16" t="s">
        <v>79</v>
      </c>
      <c r="AD55" s="6" t="s">
        <v>80</v>
      </c>
    </row>
    <row r="56" spans="1:62">
      <c r="A56" s="85" t="s">
        <v>103</v>
      </c>
      <c r="B56" s="47">
        <f>ROUND(B38*$L$51,0)</f>
        <v>69586</v>
      </c>
      <c r="C56" s="47">
        <f t="shared" ref="C56:AB56" si="12">ROUND(C38*$L$51,0)</f>
        <v>284821</v>
      </c>
      <c r="D56" s="47">
        <f t="shared" si="12"/>
        <v>66665</v>
      </c>
      <c r="E56" s="47">
        <f t="shared" si="12"/>
        <v>334485</v>
      </c>
      <c r="F56" s="47">
        <f t="shared" si="12"/>
        <v>1467366</v>
      </c>
      <c r="G56" s="47">
        <f t="shared" si="12"/>
        <v>913755</v>
      </c>
      <c r="H56" s="47">
        <f t="shared" si="12"/>
        <v>1123621</v>
      </c>
      <c r="I56" s="47">
        <f t="shared" si="12"/>
        <v>818845</v>
      </c>
      <c r="J56" s="47">
        <f t="shared" si="12"/>
        <v>1558315</v>
      </c>
      <c r="K56" s="47">
        <f t="shared" si="12"/>
        <v>348109</v>
      </c>
      <c r="L56" s="47">
        <f t="shared" si="12"/>
        <v>563742</v>
      </c>
      <c r="M56" s="47">
        <f t="shared" si="12"/>
        <v>599208</v>
      </c>
      <c r="N56" s="47">
        <f t="shared" si="12"/>
        <v>5055877</v>
      </c>
      <c r="O56" s="47">
        <f t="shared" si="12"/>
        <v>472146</v>
      </c>
      <c r="P56" s="47">
        <f t="shared" si="12"/>
        <v>421737</v>
      </c>
      <c r="Q56" s="47">
        <f t="shared" si="12"/>
        <v>3856156</v>
      </c>
      <c r="R56" s="47">
        <f t="shared" si="12"/>
        <v>1119945</v>
      </c>
      <c r="S56" s="47">
        <f t="shared" si="12"/>
        <v>266895</v>
      </c>
      <c r="T56" s="47">
        <f t="shared" si="12"/>
        <v>3935145</v>
      </c>
      <c r="U56" s="47">
        <f t="shared" si="12"/>
        <v>444589</v>
      </c>
      <c r="V56" s="47">
        <f t="shared" si="12"/>
        <v>3713122</v>
      </c>
      <c r="W56" s="47">
        <f t="shared" si="12"/>
        <v>220805</v>
      </c>
      <c r="X56" s="47">
        <f t="shared" si="12"/>
        <v>55728</v>
      </c>
      <c r="Y56" s="47">
        <f t="shared" si="12"/>
        <v>2485934</v>
      </c>
      <c r="Z56" s="47">
        <f t="shared" si="12"/>
        <v>15969712</v>
      </c>
      <c r="AA56" s="47">
        <f t="shared" si="12"/>
        <v>271488</v>
      </c>
      <c r="AB56" s="47">
        <f t="shared" si="12"/>
        <v>165382</v>
      </c>
      <c r="AC56" s="48"/>
      <c r="AD56" s="49">
        <f>SUM(B56:AB56)</f>
        <v>46603179</v>
      </c>
      <c r="AH56" s="7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</row>
    <row r="57" spans="1:62" s="14" customFormat="1">
      <c r="A57" s="85" t="s">
        <v>104</v>
      </c>
      <c r="B57" s="47">
        <f t="shared" ref="B57:AB57" si="13">ROUND(B39*$L$51,0)</f>
        <v>6404</v>
      </c>
      <c r="C57" s="47">
        <f t="shared" si="13"/>
        <v>19376</v>
      </c>
      <c r="D57" s="47">
        <f t="shared" si="13"/>
        <v>3785</v>
      </c>
      <c r="E57" s="47">
        <f t="shared" si="13"/>
        <v>19273</v>
      </c>
      <c r="F57" s="47">
        <f t="shared" si="13"/>
        <v>108266</v>
      </c>
      <c r="G57" s="47">
        <f t="shared" si="13"/>
        <v>62907</v>
      </c>
      <c r="H57" s="47">
        <f t="shared" si="13"/>
        <v>22103</v>
      </c>
      <c r="I57" s="47">
        <f t="shared" si="13"/>
        <v>66100</v>
      </c>
      <c r="J57" s="47">
        <f t="shared" si="13"/>
        <v>102303</v>
      </c>
      <c r="K57" s="47">
        <f t="shared" si="13"/>
        <v>34247</v>
      </c>
      <c r="L57" s="47">
        <f t="shared" si="13"/>
        <v>61542</v>
      </c>
      <c r="M57" s="47">
        <f t="shared" si="13"/>
        <v>46285</v>
      </c>
      <c r="N57" s="47">
        <f t="shared" si="13"/>
        <v>304866</v>
      </c>
      <c r="O57" s="47">
        <f t="shared" si="13"/>
        <v>51769</v>
      </c>
      <c r="P57" s="47">
        <f t="shared" si="13"/>
        <v>26226</v>
      </c>
      <c r="Q57" s="47">
        <f t="shared" si="13"/>
        <v>250417</v>
      </c>
      <c r="R57" s="47">
        <f t="shared" si="13"/>
        <v>85587</v>
      </c>
      <c r="S57" s="47">
        <f t="shared" si="13"/>
        <v>23815</v>
      </c>
      <c r="T57" s="47">
        <f t="shared" si="13"/>
        <v>135642</v>
      </c>
      <c r="U57" s="47">
        <f t="shared" si="13"/>
        <v>28384</v>
      </c>
      <c r="V57" s="47">
        <f t="shared" si="13"/>
        <v>210657</v>
      </c>
      <c r="W57" s="47">
        <f t="shared" si="13"/>
        <v>27324</v>
      </c>
      <c r="X57" s="47">
        <f t="shared" si="13"/>
        <v>3981</v>
      </c>
      <c r="Y57" s="47">
        <f t="shared" si="13"/>
        <v>141717</v>
      </c>
      <c r="Z57" s="47">
        <f t="shared" si="13"/>
        <v>650072</v>
      </c>
      <c r="AA57" s="47">
        <f t="shared" si="13"/>
        <v>19521</v>
      </c>
      <c r="AB57" s="47">
        <f t="shared" si="13"/>
        <v>20998</v>
      </c>
      <c r="AC57" s="54"/>
      <c r="AD57" s="49">
        <f t="shared" ref="AD57:AD65" si="14">SUM(B57:AB57)</f>
        <v>2533567</v>
      </c>
      <c r="AH57" s="15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</row>
    <row r="58" spans="1:62" s="14" customFormat="1">
      <c r="A58" s="85" t="s">
        <v>105</v>
      </c>
      <c r="B58" s="47">
        <f t="shared" ref="B58:AB58" si="15">ROUND(B40*$L$51,0)</f>
        <v>615</v>
      </c>
      <c r="C58" s="47">
        <f t="shared" si="15"/>
        <v>2076</v>
      </c>
      <c r="D58" s="47">
        <f t="shared" si="15"/>
        <v>268</v>
      </c>
      <c r="E58" s="47">
        <f t="shared" si="15"/>
        <v>2817</v>
      </c>
      <c r="F58" s="47">
        <f t="shared" si="15"/>
        <v>18228</v>
      </c>
      <c r="G58" s="47">
        <f t="shared" si="15"/>
        <v>6844</v>
      </c>
      <c r="H58" s="47">
        <f t="shared" si="15"/>
        <v>3037</v>
      </c>
      <c r="I58" s="47">
        <f t="shared" si="15"/>
        <v>16834</v>
      </c>
      <c r="J58" s="47">
        <f t="shared" si="15"/>
        <v>25697</v>
      </c>
      <c r="K58" s="47">
        <f t="shared" si="15"/>
        <v>3123</v>
      </c>
      <c r="L58" s="47">
        <f t="shared" si="15"/>
        <v>26722</v>
      </c>
      <c r="M58" s="47">
        <f t="shared" si="15"/>
        <v>13523</v>
      </c>
      <c r="N58" s="47">
        <f t="shared" si="15"/>
        <v>58681</v>
      </c>
      <c r="O58" s="47">
        <f t="shared" si="15"/>
        <v>6092</v>
      </c>
      <c r="P58" s="47">
        <f t="shared" si="15"/>
        <v>2404</v>
      </c>
      <c r="Q58" s="47">
        <f t="shared" si="15"/>
        <v>81024</v>
      </c>
      <c r="R58" s="47">
        <f t="shared" si="15"/>
        <v>10370</v>
      </c>
      <c r="S58" s="47">
        <f t="shared" si="15"/>
        <v>2018</v>
      </c>
      <c r="T58" s="47">
        <f t="shared" si="15"/>
        <v>14787</v>
      </c>
      <c r="U58" s="47">
        <f t="shared" si="15"/>
        <v>2631</v>
      </c>
      <c r="V58" s="47">
        <f t="shared" si="15"/>
        <v>52060</v>
      </c>
      <c r="W58" s="47">
        <f t="shared" si="15"/>
        <v>5308</v>
      </c>
      <c r="X58" s="47">
        <f t="shared" si="15"/>
        <v>489</v>
      </c>
      <c r="Y58" s="47">
        <f t="shared" si="15"/>
        <v>46476</v>
      </c>
      <c r="Z58" s="47">
        <f t="shared" si="15"/>
        <v>151322</v>
      </c>
      <c r="AA58" s="47">
        <f t="shared" si="15"/>
        <v>1997</v>
      </c>
      <c r="AB58" s="47">
        <f t="shared" si="15"/>
        <v>3886</v>
      </c>
      <c r="AC58" s="54"/>
      <c r="AD58" s="49">
        <f t="shared" si="14"/>
        <v>559329</v>
      </c>
      <c r="AH58" s="15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</row>
    <row r="59" spans="1:62">
      <c r="A59" s="85" t="s">
        <v>106</v>
      </c>
      <c r="B59" s="47">
        <f t="shared" ref="B59:AB59" si="16">ROUND(B41*$L$51,0)</f>
        <v>20033</v>
      </c>
      <c r="C59" s="47">
        <f t="shared" si="16"/>
        <v>43030</v>
      </c>
      <c r="D59" s="47">
        <f t="shared" si="16"/>
        <v>17137</v>
      </c>
      <c r="E59" s="47">
        <f t="shared" si="16"/>
        <v>72798</v>
      </c>
      <c r="F59" s="47">
        <f t="shared" si="16"/>
        <v>269678</v>
      </c>
      <c r="G59" s="47">
        <f t="shared" si="16"/>
        <v>150556</v>
      </c>
      <c r="H59" s="47">
        <f t="shared" si="16"/>
        <v>104185</v>
      </c>
      <c r="I59" s="47">
        <f t="shared" si="16"/>
        <v>133211</v>
      </c>
      <c r="J59" s="47">
        <f t="shared" si="16"/>
        <v>291896</v>
      </c>
      <c r="K59" s="47">
        <f t="shared" si="16"/>
        <v>87857</v>
      </c>
      <c r="L59" s="47">
        <f t="shared" si="16"/>
        <v>165379</v>
      </c>
      <c r="M59" s="47">
        <f t="shared" si="16"/>
        <v>123868</v>
      </c>
      <c r="N59" s="47">
        <f t="shared" si="16"/>
        <v>703676</v>
      </c>
      <c r="O59" s="47">
        <f t="shared" si="16"/>
        <v>105758</v>
      </c>
      <c r="P59" s="47">
        <f t="shared" si="16"/>
        <v>63665</v>
      </c>
      <c r="Q59" s="47">
        <f t="shared" si="16"/>
        <v>531492</v>
      </c>
      <c r="R59" s="47">
        <f t="shared" si="16"/>
        <v>148334</v>
      </c>
      <c r="S59" s="47">
        <f t="shared" si="16"/>
        <v>62428</v>
      </c>
      <c r="T59" s="47">
        <f t="shared" si="16"/>
        <v>285216</v>
      </c>
      <c r="U59" s="47">
        <f t="shared" si="16"/>
        <v>67349</v>
      </c>
      <c r="V59" s="47">
        <f t="shared" si="16"/>
        <v>414352</v>
      </c>
      <c r="W59" s="47">
        <f t="shared" si="16"/>
        <v>68416</v>
      </c>
      <c r="X59" s="47">
        <f t="shared" si="16"/>
        <v>19090</v>
      </c>
      <c r="Y59" s="47">
        <f t="shared" si="16"/>
        <v>302251</v>
      </c>
      <c r="Z59" s="47">
        <f t="shared" si="16"/>
        <v>1636424</v>
      </c>
      <c r="AA59" s="47">
        <f t="shared" si="16"/>
        <v>32670</v>
      </c>
      <c r="AB59" s="47">
        <f t="shared" si="16"/>
        <v>49913</v>
      </c>
      <c r="AC59" s="48"/>
      <c r="AD59" s="49">
        <f t="shared" si="14"/>
        <v>5970662</v>
      </c>
      <c r="AH59" s="7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</row>
    <row r="60" spans="1:62">
      <c r="A60" s="85" t="s">
        <v>107</v>
      </c>
      <c r="B60" s="47">
        <f t="shared" ref="B60:AB60" si="17">ROUND(B42*$L$51,0)</f>
        <v>3623</v>
      </c>
      <c r="C60" s="47">
        <f t="shared" si="17"/>
        <v>16449</v>
      </c>
      <c r="D60" s="47">
        <f t="shared" si="17"/>
        <v>3829</v>
      </c>
      <c r="E60" s="47">
        <f t="shared" si="17"/>
        <v>25382</v>
      </c>
      <c r="F60" s="47">
        <f t="shared" si="17"/>
        <v>86672</v>
      </c>
      <c r="G60" s="47">
        <f t="shared" si="17"/>
        <v>49452</v>
      </c>
      <c r="H60" s="47">
        <f t="shared" si="17"/>
        <v>63888</v>
      </c>
      <c r="I60" s="47">
        <f t="shared" si="17"/>
        <v>46542</v>
      </c>
      <c r="J60" s="47">
        <f t="shared" si="17"/>
        <v>76913</v>
      </c>
      <c r="K60" s="47">
        <f t="shared" si="17"/>
        <v>18367</v>
      </c>
      <c r="L60" s="47">
        <f t="shared" si="17"/>
        <v>30733</v>
      </c>
      <c r="M60" s="47">
        <f t="shared" si="17"/>
        <v>31194</v>
      </c>
      <c r="N60" s="47">
        <f t="shared" si="17"/>
        <v>245276</v>
      </c>
      <c r="O60" s="47">
        <f t="shared" si="17"/>
        <v>32175</v>
      </c>
      <c r="P60" s="47">
        <f t="shared" si="17"/>
        <v>21266</v>
      </c>
      <c r="Q60" s="47">
        <f t="shared" si="17"/>
        <v>191779</v>
      </c>
      <c r="R60" s="47">
        <f t="shared" si="17"/>
        <v>76005</v>
      </c>
      <c r="S60" s="47">
        <f t="shared" si="17"/>
        <v>12722</v>
      </c>
      <c r="T60" s="47">
        <f t="shared" si="17"/>
        <v>247053</v>
      </c>
      <c r="U60" s="47">
        <f t="shared" si="17"/>
        <v>22040</v>
      </c>
      <c r="V60" s="47">
        <f t="shared" si="17"/>
        <v>194802</v>
      </c>
      <c r="W60" s="47">
        <f t="shared" si="17"/>
        <v>9772</v>
      </c>
      <c r="X60" s="47">
        <f t="shared" si="17"/>
        <v>4010</v>
      </c>
      <c r="Y60" s="47">
        <f t="shared" si="17"/>
        <v>124789</v>
      </c>
      <c r="Z60" s="47">
        <f t="shared" si="17"/>
        <v>964896</v>
      </c>
      <c r="AA60" s="47">
        <f t="shared" si="17"/>
        <v>11695</v>
      </c>
      <c r="AB60" s="47">
        <f t="shared" si="17"/>
        <v>8503</v>
      </c>
      <c r="AC60" s="48"/>
      <c r="AD60" s="49">
        <f t="shared" si="14"/>
        <v>2619827</v>
      </c>
      <c r="AH60" s="7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</row>
    <row r="61" spans="1:62" s="14" customFormat="1">
      <c r="A61" s="85" t="s">
        <v>108</v>
      </c>
      <c r="B61" s="47">
        <f t="shared" ref="B61:AB61" si="18">ROUND(B43*$L$51,0)</f>
        <v>303</v>
      </c>
      <c r="C61" s="47">
        <f t="shared" si="18"/>
        <v>5572</v>
      </c>
      <c r="D61" s="47">
        <f t="shared" si="18"/>
        <v>429</v>
      </c>
      <c r="E61" s="47">
        <f t="shared" si="18"/>
        <v>3330</v>
      </c>
      <c r="F61" s="47">
        <f t="shared" si="18"/>
        <v>24410</v>
      </c>
      <c r="G61" s="47">
        <f t="shared" si="18"/>
        <v>9907</v>
      </c>
      <c r="H61" s="47">
        <f t="shared" si="18"/>
        <v>5054</v>
      </c>
      <c r="I61" s="47">
        <f t="shared" si="18"/>
        <v>7083</v>
      </c>
      <c r="J61" s="47">
        <f t="shared" si="18"/>
        <v>8134</v>
      </c>
      <c r="K61" s="47">
        <f t="shared" si="18"/>
        <v>4186</v>
      </c>
      <c r="L61" s="47">
        <f t="shared" si="18"/>
        <v>3009</v>
      </c>
      <c r="M61" s="47">
        <f t="shared" si="18"/>
        <v>3245</v>
      </c>
      <c r="N61" s="47">
        <f t="shared" si="18"/>
        <v>40370</v>
      </c>
      <c r="O61" s="47">
        <f t="shared" si="18"/>
        <v>6061</v>
      </c>
      <c r="P61" s="47">
        <f t="shared" si="18"/>
        <v>4102</v>
      </c>
      <c r="Q61" s="47">
        <f t="shared" si="18"/>
        <v>19463</v>
      </c>
      <c r="R61" s="47">
        <f t="shared" si="18"/>
        <v>16068</v>
      </c>
      <c r="S61" s="47">
        <f t="shared" si="18"/>
        <v>2728</v>
      </c>
      <c r="T61" s="47">
        <f t="shared" si="18"/>
        <v>36711</v>
      </c>
      <c r="U61" s="47">
        <f t="shared" si="18"/>
        <v>4449</v>
      </c>
      <c r="V61" s="47">
        <f t="shared" si="18"/>
        <v>19035</v>
      </c>
      <c r="W61" s="47">
        <f t="shared" si="18"/>
        <v>1056</v>
      </c>
      <c r="X61" s="47">
        <f t="shared" si="18"/>
        <v>587</v>
      </c>
      <c r="Y61" s="47">
        <f t="shared" si="18"/>
        <v>10715</v>
      </c>
      <c r="Z61" s="47">
        <f t="shared" si="18"/>
        <v>110835</v>
      </c>
      <c r="AA61" s="47">
        <f t="shared" si="18"/>
        <v>3139</v>
      </c>
      <c r="AB61" s="47">
        <f t="shared" si="18"/>
        <v>1488</v>
      </c>
      <c r="AC61" s="54"/>
      <c r="AD61" s="49">
        <f t="shared" si="14"/>
        <v>351469</v>
      </c>
      <c r="AH61" s="15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</row>
    <row r="62" spans="1:62" s="14" customFormat="1">
      <c r="A62" s="85" t="s">
        <v>109</v>
      </c>
      <c r="B62" s="47">
        <f t="shared" ref="B62:AB62" si="19">ROUND(B44*$L$51,0)</f>
        <v>89369</v>
      </c>
      <c r="C62" s="47">
        <f t="shared" si="19"/>
        <v>210233</v>
      </c>
      <c r="D62" s="47">
        <f t="shared" si="19"/>
        <v>51920</v>
      </c>
      <c r="E62" s="47">
        <f t="shared" si="19"/>
        <v>193455</v>
      </c>
      <c r="F62" s="47">
        <f t="shared" si="19"/>
        <v>1045074</v>
      </c>
      <c r="G62" s="47">
        <f t="shared" si="19"/>
        <v>1086533</v>
      </c>
      <c r="H62" s="47">
        <f t="shared" si="19"/>
        <v>158603</v>
      </c>
      <c r="I62" s="47">
        <f t="shared" si="19"/>
        <v>382944</v>
      </c>
      <c r="J62" s="47">
        <f t="shared" si="19"/>
        <v>762218</v>
      </c>
      <c r="K62" s="47">
        <f t="shared" si="19"/>
        <v>636784</v>
      </c>
      <c r="L62" s="47">
        <f t="shared" si="19"/>
        <v>511150</v>
      </c>
      <c r="M62" s="47">
        <f t="shared" si="19"/>
        <v>320868</v>
      </c>
      <c r="N62" s="47">
        <f t="shared" si="19"/>
        <v>2161244</v>
      </c>
      <c r="O62" s="47">
        <f t="shared" si="19"/>
        <v>631566</v>
      </c>
      <c r="P62" s="47">
        <f t="shared" si="19"/>
        <v>381890</v>
      </c>
      <c r="Q62" s="47">
        <f t="shared" si="19"/>
        <v>1028370</v>
      </c>
      <c r="R62" s="47">
        <f t="shared" si="19"/>
        <v>860288</v>
      </c>
      <c r="S62" s="47">
        <f t="shared" si="19"/>
        <v>431796</v>
      </c>
      <c r="T62" s="47">
        <f t="shared" si="19"/>
        <v>778416</v>
      </c>
      <c r="U62" s="47">
        <f t="shared" si="19"/>
        <v>353597</v>
      </c>
      <c r="V62" s="47">
        <f t="shared" si="19"/>
        <v>975920</v>
      </c>
      <c r="W62" s="47">
        <f t="shared" si="19"/>
        <v>328930</v>
      </c>
      <c r="X62" s="47">
        <f t="shared" si="19"/>
        <v>66797</v>
      </c>
      <c r="Y62" s="47">
        <f t="shared" si="19"/>
        <v>777224</v>
      </c>
      <c r="Z62" s="47">
        <f t="shared" si="19"/>
        <v>4056600</v>
      </c>
      <c r="AA62" s="47">
        <f t="shared" si="19"/>
        <v>198163</v>
      </c>
      <c r="AB62" s="47">
        <f t="shared" si="19"/>
        <v>190224</v>
      </c>
      <c r="AC62" s="54"/>
      <c r="AD62" s="49">
        <f t="shared" si="14"/>
        <v>18670176</v>
      </c>
      <c r="AH62" s="15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</row>
    <row r="63" spans="1:62" s="14" customFormat="1">
      <c r="A63" s="85" t="s">
        <v>110</v>
      </c>
      <c r="B63" s="47">
        <f t="shared" ref="B63:AB63" si="20">ROUND(B45*$L$51,0)</f>
        <v>18190</v>
      </c>
      <c r="C63" s="47">
        <f t="shared" si="20"/>
        <v>30870</v>
      </c>
      <c r="D63" s="47">
        <f t="shared" si="20"/>
        <v>9773</v>
      </c>
      <c r="E63" s="47">
        <f t="shared" si="20"/>
        <v>44012</v>
      </c>
      <c r="F63" s="47">
        <f t="shared" si="20"/>
        <v>145483</v>
      </c>
      <c r="G63" s="47">
        <f t="shared" si="20"/>
        <v>124408</v>
      </c>
      <c r="H63" s="47">
        <f t="shared" si="20"/>
        <v>15272</v>
      </c>
      <c r="I63" s="47">
        <f t="shared" si="20"/>
        <v>86787</v>
      </c>
      <c r="J63" s="47">
        <f t="shared" si="20"/>
        <v>227376</v>
      </c>
      <c r="K63" s="47">
        <f t="shared" si="20"/>
        <v>112129</v>
      </c>
      <c r="L63" s="47">
        <f t="shared" si="20"/>
        <v>168012</v>
      </c>
      <c r="M63" s="47">
        <f t="shared" si="20"/>
        <v>91553</v>
      </c>
      <c r="N63" s="47">
        <f t="shared" si="20"/>
        <v>233639</v>
      </c>
      <c r="O63" s="47">
        <f t="shared" si="20"/>
        <v>139185</v>
      </c>
      <c r="P63" s="47">
        <f t="shared" si="20"/>
        <v>53263</v>
      </c>
      <c r="Q63" s="47">
        <f t="shared" si="20"/>
        <v>254620</v>
      </c>
      <c r="R63" s="47">
        <f t="shared" si="20"/>
        <v>86982</v>
      </c>
      <c r="S63" s="47">
        <f t="shared" si="20"/>
        <v>75178</v>
      </c>
      <c r="T63" s="47">
        <f t="shared" si="20"/>
        <v>137372</v>
      </c>
      <c r="U63" s="47">
        <f t="shared" si="20"/>
        <v>47989</v>
      </c>
      <c r="V63" s="47">
        <f t="shared" si="20"/>
        <v>167774</v>
      </c>
      <c r="W63" s="47">
        <f t="shared" si="20"/>
        <v>96720</v>
      </c>
      <c r="X63" s="47">
        <f t="shared" si="20"/>
        <v>16500</v>
      </c>
      <c r="Y63" s="47">
        <f t="shared" si="20"/>
        <v>238495</v>
      </c>
      <c r="Z63" s="47">
        <f t="shared" si="20"/>
        <v>723826</v>
      </c>
      <c r="AA63" s="47">
        <f t="shared" si="20"/>
        <v>34302</v>
      </c>
      <c r="AB63" s="47">
        <f t="shared" si="20"/>
        <v>76764</v>
      </c>
      <c r="AC63" s="54"/>
      <c r="AD63" s="49">
        <f t="shared" si="14"/>
        <v>3456474</v>
      </c>
      <c r="AH63" s="15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</row>
    <row r="64" spans="1:62" s="14" customFormat="1">
      <c r="A64" s="85" t="s">
        <v>111</v>
      </c>
      <c r="B64" s="47">
        <f t="shared" ref="B64:AB64" si="21">ROUND(B46*$L$51,0)</f>
        <v>940</v>
      </c>
      <c r="C64" s="47">
        <f t="shared" si="21"/>
        <v>6303</v>
      </c>
      <c r="D64" s="47">
        <f t="shared" si="21"/>
        <v>958</v>
      </c>
      <c r="E64" s="47">
        <f t="shared" si="21"/>
        <v>8697</v>
      </c>
      <c r="F64" s="47">
        <f t="shared" si="21"/>
        <v>35061</v>
      </c>
      <c r="G64" s="47">
        <f t="shared" si="21"/>
        <v>14338</v>
      </c>
      <c r="H64" s="47">
        <f t="shared" si="21"/>
        <v>11726</v>
      </c>
      <c r="I64" s="47">
        <f t="shared" si="21"/>
        <v>13748</v>
      </c>
      <c r="J64" s="47">
        <f t="shared" si="21"/>
        <v>20036</v>
      </c>
      <c r="K64" s="47">
        <f t="shared" si="21"/>
        <v>7129</v>
      </c>
      <c r="L64" s="47">
        <f t="shared" si="21"/>
        <v>9924</v>
      </c>
      <c r="M64" s="47">
        <f t="shared" si="21"/>
        <v>8337</v>
      </c>
      <c r="N64" s="47">
        <f t="shared" si="21"/>
        <v>69459</v>
      </c>
      <c r="O64" s="47">
        <f t="shared" si="21"/>
        <v>15089</v>
      </c>
      <c r="P64" s="47">
        <f t="shared" si="21"/>
        <v>6668</v>
      </c>
      <c r="Q64" s="47">
        <f t="shared" si="21"/>
        <v>37698</v>
      </c>
      <c r="R64" s="47">
        <f t="shared" si="21"/>
        <v>18160</v>
      </c>
      <c r="S64" s="47">
        <f t="shared" si="21"/>
        <v>5509</v>
      </c>
      <c r="T64" s="47">
        <f t="shared" si="21"/>
        <v>44549</v>
      </c>
      <c r="U64" s="47">
        <f t="shared" si="21"/>
        <v>5890</v>
      </c>
      <c r="V64" s="47">
        <f t="shared" si="21"/>
        <v>37461</v>
      </c>
      <c r="W64" s="47">
        <f t="shared" si="21"/>
        <v>4965</v>
      </c>
      <c r="X64" s="47">
        <f t="shared" si="21"/>
        <v>859</v>
      </c>
      <c r="Y64" s="47">
        <f t="shared" si="21"/>
        <v>17835</v>
      </c>
      <c r="Z64" s="47">
        <f t="shared" si="21"/>
        <v>147744</v>
      </c>
      <c r="AA64" s="47">
        <f t="shared" si="21"/>
        <v>5931</v>
      </c>
      <c r="AB64" s="47">
        <f t="shared" si="21"/>
        <v>4742</v>
      </c>
      <c r="AC64" s="54"/>
      <c r="AD64" s="49">
        <f t="shared" si="14"/>
        <v>559756</v>
      </c>
      <c r="AH64" s="15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</row>
    <row r="65" spans="1:62">
      <c r="A65" s="85" t="s">
        <v>112</v>
      </c>
      <c r="B65" s="47">
        <f t="shared" ref="B65:AB65" si="22">ROUND(B47*$L$51,0)</f>
        <v>884</v>
      </c>
      <c r="C65" s="47">
        <f t="shared" si="22"/>
        <v>3901</v>
      </c>
      <c r="D65" s="47">
        <f t="shared" si="22"/>
        <v>748</v>
      </c>
      <c r="E65" s="47">
        <f t="shared" si="22"/>
        <v>4425</v>
      </c>
      <c r="F65" s="47">
        <f t="shared" si="22"/>
        <v>18776</v>
      </c>
      <c r="G65" s="47">
        <f t="shared" si="22"/>
        <v>21515</v>
      </c>
      <c r="H65" s="47">
        <f t="shared" si="22"/>
        <v>17603</v>
      </c>
      <c r="I65" s="47">
        <f t="shared" si="22"/>
        <v>11253</v>
      </c>
      <c r="J65" s="47">
        <f t="shared" si="22"/>
        <v>15739</v>
      </c>
      <c r="K65" s="47">
        <f t="shared" si="22"/>
        <v>6391</v>
      </c>
      <c r="L65" s="47">
        <f t="shared" si="22"/>
        <v>9138</v>
      </c>
      <c r="M65" s="47">
        <f t="shared" si="22"/>
        <v>7516</v>
      </c>
      <c r="N65" s="47">
        <f t="shared" si="22"/>
        <v>41071</v>
      </c>
      <c r="O65" s="47">
        <f t="shared" si="22"/>
        <v>9853</v>
      </c>
      <c r="P65" s="47">
        <f t="shared" si="22"/>
        <v>6110</v>
      </c>
      <c r="Q65" s="47">
        <f t="shared" si="22"/>
        <v>36175</v>
      </c>
      <c r="R65" s="47">
        <f t="shared" si="22"/>
        <v>12815</v>
      </c>
      <c r="S65" s="47">
        <f t="shared" si="22"/>
        <v>3812</v>
      </c>
      <c r="T65" s="47">
        <f t="shared" si="22"/>
        <v>41619</v>
      </c>
      <c r="U65" s="47">
        <f t="shared" si="22"/>
        <v>10666</v>
      </c>
      <c r="V65" s="47">
        <f t="shared" si="22"/>
        <v>34873</v>
      </c>
      <c r="W65" s="47">
        <f t="shared" si="22"/>
        <v>2369</v>
      </c>
      <c r="X65" s="47">
        <f t="shared" si="22"/>
        <v>901</v>
      </c>
      <c r="Y65" s="47">
        <f t="shared" si="22"/>
        <v>31142</v>
      </c>
      <c r="Z65" s="47">
        <f t="shared" si="22"/>
        <v>165222</v>
      </c>
      <c r="AA65" s="47">
        <f t="shared" si="22"/>
        <v>3149</v>
      </c>
      <c r="AB65" s="47">
        <f t="shared" si="22"/>
        <v>2312</v>
      </c>
      <c r="AC65" s="48"/>
      <c r="AD65" s="49">
        <f t="shared" si="14"/>
        <v>519978</v>
      </c>
      <c r="AH65" s="7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</row>
    <row r="66" spans="1:62">
      <c r="A66" s="57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50"/>
      <c r="AH66" s="7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</row>
    <row r="67" spans="1:62" s="5" customFormat="1">
      <c r="A67" s="1" t="s">
        <v>99</v>
      </c>
      <c r="B67" s="49">
        <f>SUM(B56:B65)</f>
        <v>209947</v>
      </c>
      <c r="C67" s="49">
        <f t="shared" ref="C67:AB67" si="23">SUM(C56:C65)</f>
        <v>622631</v>
      </c>
      <c r="D67" s="49">
        <f t="shared" si="23"/>
        <v>155512</v>
      </c>
      <c r="E67" s="49">
        <f t="shared" si="23"/>
        <v>708674</v>
      </c>
      <c r="F67" s="49">
        <f t="shared" si="23"/>
        <v>3219014</v>
      </c>
      <c r="G67" s="49">
        <f t="shared" si="23"/>
        <v>2440215</v>
      </c>
      <c r="H67" s="49">
        <f t="shared" si="23"/>
        <v>1525092</v>
      </c>
      <c r="I67" s="49">
        <f t="shared" si="23"/>
        <v>1583347</v>
      </c>
      <c r="J67" s="49">
        <f t="shared" si="23"/>
        <v>3088627</v>
      </c>
      <c r="K67" s="49">
        <f t="shared" si="23"/>
        <v>1258322</v>
      </c>
      <c r="L67" s="49">
        <f t="shared" si="23"/>
        <v>1549351</v>
      </c>
      <c r="M67" s="49">
        <f t="shared" si="23"/>
        <v>1245597</v>
      </c>
      <c r="N67" s="49">
        <f t="shared" si="23"/>
        <v>8914159</v>
      </c>
      <c r="O67" s="49">
        <f t="shared" si="23"/>
        <v>1469694</v>
      </c>
      <c r="P67" s="49">
        <f t="shared" si="23"/>
        <v>987331</v>
      </c>
      <c r="Q67" s="49">
        <f t="shared" si="23"/>
        <v>6287194</v>
      </c>
      <c r="R67" s="49">
        <f t="shared" si="23"/>
        <v>2434554</v>
      </c>
      <c r="S67" s="49">
        <f t="shared" si="23"/>
        <v>886901</v>
      </c>
      <c r="T67" s="49">
        <f t="shared" si="23"/>
        <v>5656510</v>
      </c>
      <c r="U67" s="49">
        <f t="shared" si="23"/>
        <v>987584</v>
      </c>
      <c r="V67" s="49">
        <f t="shared" si="23"/>
        <v>5820056</v>
      </c>
      <c r="W67" s="49">
        <f t="shared" si="23"/>
        <v>765665</v>
      </c>
      <c r="X67" s="49">
        <f t="shared" si="23"/>
        <v>168942</v>
      </c>
      <c r="Y67" s="49">
        <f t="shared" si="23"/>
        <v>4176578</v>
      </c>
      <c r="Z67" s="49">
        <f t="shared" si="23"/>
        <v>24576653</v>
      </c>
      <c r="AA67" s="49">
        <f t="shared" si="23"/>
        <v>582055</v>
      </c>
      <c r="AB67" s="49">
        <f t="shared" si="23"/>
        <v>524212</v>
      </c>
      <c r="AC67" s="50"/>
      <c r="AD67" s="84">
        <f>IF((SUM(AD56:AD65)=SUM(B67:AB67)),(SUM(B67:AB67)),"erro")</f>
        <v>81844417</v>
      </c>
      <c r="AH67" s="7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</row>
    <row r="72" spans="1:62" s="5" customFormat="1"/>
    <row r="73" spans="1:62" s="5" customFormat="1"/>
    <row r="74" spans="1:62" s="5" customFormat="1"/>
    <row r="75" spans="1:62" s="5" customFormat="1"/>
    <row r="76" spans="1:62" s="5" customFormat="1"/>
    <row r="77" spans="1:62" s="5" customFormat="1"/>
    <row r="78" spans="1:62" s="5" customFormat="1"/>
    <row r="79" spans="1:62" s="5" customFormat="1"/>
    <row r="80" spans="1:62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 ht="15" customHeigh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</sheetData>
  <mergeCells count="4">
    <mergeCell ref="A2:A3"/>
    <mergeCell ref="A54:A55"/>
    <mergeCell ref="A36:A37"/>
    <mergeCell ref="A25:A26"/>
  </mergeCells>
  <pageMargins left="0.75" right="0.75" top="1" bottom="1" header="0.5" footer="0.5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Y122"/>
  <sheetViews>
    <sheetView showGridLines="0" topLeftCell="A88" zoomScale="90" zoomScaleNormal="90" workbookViewId="0">
      <selection activeCell="U96" sqref="U96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</cols>
  <sheetData>
    <row r="1" spans="1:24" s="31" customFormat="1" ht="15.75">
      <c r="A1" s="101" t="str">
        <f>"ACRE/"&amp;ONSV_AUX_2018!$A$1&amp;""</f>
        <v>ACRE/2018</v>
      </c>
      <c r="B1" s="102"/>
      <c r="C1" s="102"/>
      <c r="D1" s="102"/>
      <c r="E1" s="102"/>
      <c r="F1" s="102"/>
    </row>
    <row r="2" spans="1:24" s="4" customFormat="1" ht="15.75">
      <c r="A2" s="32"/>
      <c r="B2" s="32"/>
      <c r="C2" s="32"/>
      <c r="D2" s="32"/>
      <c r="E2" s="32"/>
      <c r="F2" s="32"/>
    </row>
    <row r="3" spans="1:24" ht="15.75">
      <c r="A3" s="12"/>
      <c r="H3" s="23" t="s">
        <v>118</v>
      </c>
    </row>
    <row r="4" spans="1:24" ht="15.75">
      <c r="B4" s="5"/>
      <c r="J4" s="9"/>
      <c r="M4" s="25"/>
      <c r="N4" s="25"/>
      <c r="O4" s="25"/>
      <c r="P4" s="25"/>
      <c r="Q4" s="103"/>
      <c r="R4" s="103"/>
      <c r="S4" s="22"/>
      <c r="T4" s="104"/>
      <c r="U4" s="104"/>
      <c r="V4" s="104"/>
      <c r="W4" s="104"/>
      <c r="X4" s="104"/>
    </row>
    <row r="5" spans="1:24" ht="15.75">
      <c r="H5" s="36" t="s">
        <v>81</v>
      </c>
      <c r="I5" s="60">
        <f>ONSV_AUX_2018!B27</f>
        <v>3614</v>
      </c>
      <c r="J5" s="9"/>
      <c r="K5" s="104" t="s">
        <v>119</v>
      </c>
      <c r="L5" s="104"/>
      <c r="M5" s="9"/>
      <c r="N5" s="26" t="s">
        <v>120</v>
      </c>
      <c r="O5" s="26"/>
      <c r="Q5" s="26" t="s">
        <v>121</v>
      </c>
      <c r="R5" s="26"/>
      <c r="S5" s="26"/>
      <c r="T5" s="25" t="s">
        <v>122</v>
      </c>
      <c r="U5" s="25"/>
      <c r="V5" s="25"/>
      <c r="W5" s="25"/>
      <c r="X5" s="25"/>
    </row>
    <row r="6" spans="1:24" ht="15.75">
      <c r="H6" s="36" t="s">
        <v>84</v>
      </c>
      <c r="I6" s="60">
        <f>ONSV_AUX_2018!B28</f>
        <v>100700</v>
      </c>
      <c r="J6" s="9"/>
      <c r="K6" s="9"/>
      <c r="L6" s="9"/>
      <c r="M6" s="9"/>
      <c r="N6" s="9"/>
      <c r="O6" s="9"/>
      <c r="P6" s="20"/>
      <c r="Q6" s="11"/>
      <c r="R6" s="11"/>
      <c r="S6" s="11"/>
    </row>
    <row r="7" spans="1:24" ht="15.75">
      <c r="H7" s="36" t="s">
        <v>85</v>
      </c>
      <c r="I7" s="60">
        <f>ONSV_AUX_2018!B29</f>
        <v>25242</v>
      </c>
      <c r="J7" s="9"/>
      <c r="K7" s="2" t="s">
        <v>123</v>
      </c>
      <c r="L7" s="60">
        <f>I14+I17+I18+I23</f>
        <v>116782</v>
      </c>
      <c r="N7" s="28" t="s">
        <v>124</v>
      </c>
      <c r="O7" s="60">
        <f>J14+J23</f>
        <v>86468.263139867442</v>
      </c>
      <c r="P7" s="64"/>
      <c r="Q7" s="65" t="s">
        <v>125</v>
      </c>
      <c r="R7" s="60">
        <f>J17+J18</f>
        <v>30285.736860132554</v>
      </c>
      <c r="S7" s="66"/>
      <c r="T7" s="65" t="s">
        <v>126</v>
      </c>
      <c r="U7" s="67">
        <f>O11</f>
        <v>1274.6943022041069</v>
      </c>
      <c r="V7" s="48"/>
      <c r="W7" s="65" t="s">
        <v>127</v>
      </c>
      <c r="X7" s="68">
        <f>R13</f>
        <v>2179.1930478988547</v>
      </c>
    </row>
    <row r="8" spans="1:24" ht="15.75">
      <c r="H8" s="36" t="s">
        <v>101</v>
      </c>
      <c r="I8" s="60">
        <f>ONSV_AUX_2018!B30</f>
        <v>28</v>
      </c>
      <c r="J8" s="9"/>
      <c r="K8" s="27"/>
      <c r="L8" s="62"/>
      <c r="M8" s="20"/>
      <c r="N8" s="28" t="s">
        <v>128</v>
      </c>
      <c r="O8" s="69">
        <f>J14/O7</f>
        <v>0.98525824093237291</v>
      </c>
      <c r="P8" s="64"/>
      <c r="Q8" s="70" t="s">
        <v>129</v>
      </c>
      <c r="R8" s="63">
        <f>J17/R7</f>
        <v>0.86118905357673392</v>
      </c>
      <c r="S8" s="71"/>
      <c r="T8" s="65" t="s">
        <v>130</v>
      </c>
      <c r="U8" s="67">
        <f>I23-J23</f>
        <v>0.30569779589313839</v>
      </c>
      <c r="V8" s="48"/>
      <c r="W8" s="65" t="s">
        <v>131</v>
      </c>
      <c r="X8" s="68">
        <f>I18-J18</f>
        <v>1.0082033190046786</v>
      </c>
    </row>
    <row r="9" spans="1:24" ht="15.75">
      <c r="H9" s="36" t="s">
        <v>16</v>
      </c>
      <c r="I9" s="60">
        <f>ONSV_AUX_2018!B31</f>
        <v>16</v>
      </c>
      <c r="J9" s="9"/>
      <c r="K9" s="2" t="s">
        <v>132</v>
      </c>
      <c r="L9" s="63">
        <f>I14/L7</f>
        <v>0.72968436916648116</v>
      </c>
      <c r="M9" s="20"/>
      <c r="N9" s="28" t="s">
        <v>133</v>
      </c>
      <c r="O9" s="69">
        <f>J23/O7</f>
        <v>1.4741759067627098E-2</v>
      </c>
      <c r="P9" s="64"/>
      <c r="Q9" s="70" t="s">
        <v>134</v>
      </c>
      <c r="R9" s="63">
        <f>J18/R7</f>
        <v>0.13881094642326611</v>
      </c>
      <c r="S9" s="71"/>
      <c r="T9" s="65" t="s">
        <v>135</v>
      </c>
      <c r="U9" s="72">
        <f>O13</f>
        <v>0</v>
      </c>
      <c r="V9" s="73"/>
      <c r="W9" s="65" t="s">
        <v>136</v>
      </c>
      <c r="X9" s="72">
        <f>R16</f>
        <v>2024.7987487821406</v>
      </c>
    </row>
    <row r="10" spans="1:24" ht="15.75">
      <c r="H10" s="36" t="s">
        <v>94</v>
      </c>
      <c r="I10" s="60">
        <f>ONSV_AUX_2018!B32</f>
        <v>136114</v>
      </c>
      <c r="J10" s="10"/>
      <c r="K10" s="2" t="s">
        <v>2</v>
      </c>
      <c r="L10" s="63">
        <f>I17/L7</f>
        <v>0.22339059101573872</v>
      </c>
      <c r="M10" s="20"/>
      <c r="N10" s="20"/>
      <c r="O10" s="74"/>
      <c r="P10" s="48"/>
      <c r="Q10" s="48"/>
      <c r="R10" s="48"/>
      <c r="S10" s="48"/>
      <c r="T10" s="48"/>
      <c r="U10" s="62"/>
      <c r="V10" s="75"/>
      <c r="W10" s="48"/>
      <c r="X10" s="62"/>
    </row>
    <row r="11" spans="1:24" ht="15.75">
      <c r="K11" s="2" t="s">
        <v>3</v>
      </c>
      <c r="L11" s="63">
        <f>I18/L7</f>
        <v>3.6007261393022898E-2</v>
      </c>
      <c r="M11" s="20"/>
      <c r="N11" s="28" t="s">
        <v>137</v>
      </c>
      <c r="O11" s="60">
        <f>IF(O9*I6&gt;J23,J23,O9*I6)</f>
        <v>1274.6943022041069</v>
      </c>
      <c r="P11" s="76"/>
      <c r="Q11" s="65" t="s">
        <v>138</v>
      </c>
      <c r="R11" s="60">
        <f>I7-I15-I16-I19-I22</f>
        <v>15699</v>
      </c>
      <c r="S11" s="77"/>
      <c r="T11" s="65" t="s">
        <v>139</v>
      </c>
      <c r="U11" s="67">
        <f>O19</f>
        <v>81563.568837663333</v>
      </c>
      <c r="V11" s="76"/>
      <c r="W11" s="65" t="s">
        <v>140</v>
      </c>
      <c r="X11" s="67">
        <f>I15</f>
        <v>7170</v>
      </c>
    </row>
    <row r="12" spans="1:24" ht="15.75">
      <c r="H12" s="24" t="s">
        <v>141</v>
      </c>
      <c r="K12" s="2" t="s">
        <v>0</v>
      </c>
      <c r="L12" s="63">
        <f>I23/L7</f>
        <v>1.0917778424757239E-2</v>
      </c>
      <c r="O12" s="48"/>
      <c r="P12" s="76"/>
      <c r="Q12" s="65" t="s">
        <v>142</v>
      </c>
      <c r="R12" s="60">
        <f>R8*R11</f>
        <v>13519.806952101146</v>
      </c>
      <c r="S12" s="48"/>
      <c r="T12" s="65" t="s">
        <v>143</v>
      </c>
      <c r="U12" s="67">
        <f>O17</f>
        <v>3614</v>
      </c>
      <c r="V12" s="66"/>
      <c r="W12" s="65" t="s">
        <v>144</v>
      </c>
      <c r="X12" s="67">
        <f>I16</f>
        <v>873</v>
      </c>
    </row>
    <row r="13" spans="1:24" ht="15.75">
      <c r="K13" s="11"/>
      <c r="L13" s="11"/>
      <c r="M13" s="11"/>
      <c r="N13" s="28" t="s">
        <v>145</v>
      </c>
      <c r="O13" s="60">
        <f>J23-O11</f>
        <v>0</v>
      </c>
      <c r="P13" s="76"/>
      <c r="Q13" s="65" t="s">
        <v>127</v>
      </c>
      <c r="R13" s="60">
        <f>R9*R11</f>
        <v>2179.1930478988547</v>
      </c>
      <c r="S13" s="48"/>
      <c r="T13" s="65" t="s">
        <v>146</v>
      </c>
      <c r="U13" s="67">
        <f>O18</f>
        <v>16</v>
      </c>
      <c r="V13" s="71"/>
      <c r="W13" s="48"/>
      <c r="X13" s="62"/>
    </row>
    <row r="14" spans="1:24" ht="15.75">
      <c r="H14" s="37" t="s">
        <v>103</v>
      </c>
      <c r="I14" s="60">
        <f>ONSV_AUX_2018!B56</f>
        <v>85214</v>
      </c>
      <c r="J14" s="61">
        <f>I14-(L9*I8)</f>
        <v>85193.568837663333</v>
      </c>
      <c r="K14" s="11"/>
      <c r="L14" s="11"/>
      <c r="M14" s="11"/>
      <c r="O14" s="76"/>
      <c r="P14" s="76"/>
      <c r="Q14" s="48"/>
      <c r="R14" s="78"/>
      <c r="S14" s="48"/>
      <c r="T14" s="65" t="s">
        <v>147</v>
      </c>
      <c r="U14" s="68">
        <f>I14-J14</f>
        <v>20.431162336666603</v>
      </c>
      <c r="V14" s="71"/>
      <c r="W14" s="65" t="s">
        <v>148</v>
      </c>
      <c r="X14" s="67">
        <f>I22</f>
        <v>1137</v>
      </c>
    </row>
    <row r="15" spans="1:24" ht="15.75">
      <c r="H15" s="37" t="s">
        <v>104</v>
      </c>
      <c r="I15" s="60">
        <f>ONSV_AUX_2018!B57</f>
        <v>7170</v>
      </c>
      <c r="J15" s="10">
        <f>I15</f>
        <v>7170</v>
      </c>
      <c r="K15" s="11"/>
      <c r="L15" s="11"/>
      <c r="M15" s="11"/>
      <c r="N15" s="26" t="s">
        <v>149</v>
      </c>
      <c r="O15" s="76"/>
      <c r="P15" s="76"/>
      <c r="Q15" s="65" t="s">
        <v>150</v>
      </c>
      <c r="R15" s="60">
        <f>J17-R12</f>
        <v>12561.938111350413</v>
      </c>
      <c r="S15" s="48"/>
      <c r="T15" s="65" t="s">
        <v>151</v>
      </c>
      <c r="U15" s="72">
        <f>O20</f>
        <v>0</v>
      </c>
      <c r="V15" s="48"/>
      <c r="W15" s="65" t="s">
        <v>152</v>
      </c>
      <c r="X15" s="67">
        <f>I19</f>
        <v>363</v>
      </c>
    </row>
    <row r="16" spans="1:24" ht="15.75">
      <c r="H16" s="37" t="s">
        <v>105</v>
      </c>
      <c r="I16" s="60">
        <f>ONSV_AUX_2018!B58</f>
        <v>873</v>
      </c>
      <c r="J16" s="10">
        <f>I16</f>
        <v>873</v>
      </c>
      <c r="K16" s="11"/>
      <c r="L16" s="11"/>
      <c r="M16" s="11"/>
      <c r="O16" s="73"/>
      <c r="P16" s="76"/>
      <c r="Q16" s="65" t="s">
        <v>136</v>
      </c>
      <c r="R16" s="60">
        <f>J18-R13</f>
        <v>2024.7987487821406</v>
      </c>
      <c r="S16" s="48"/>
      <c r="T16" s="48"/>
      <c r="U16" s="62"/>
      <c r="V16" s="77"/>
      <c r="W16" s="48"/>
      <c r="X16" s="62"/>
    </row>
    <row r="17" spans="1:24" ht="15.75">
      <c r="H17" s="37" t="s">
        <v>106</v>
      </c>
      <c r="I17" s="60">
        <f>ONSV_AUX_2018!B59</f>
        <v>26088</v>
      </c>
      <c r="J17" s="61">
        <f>I17-(L10*I8)</f>
        <v>26081.745063451559</v>
      </c>
      <c r="K17" s="11"/>
      <c r="L17" s="11"/>
      <c r="M17" s="11"/>
      <c r="N17" s="28" t="s">
        <v>143</v>
      </c>
      <c r="O17" s="60">
        <f>I5</f>
        <v>3614</v>
      </c>
      <c r="P17" s="76"/>
      <c r="Q17" s="48"/>
      <c r="R17" s="48"/>
      <c r="S17" s="77"/>
      <c r="T17" s="65" t="s">
        <v>142</v>
      </c>
      <c r="U17" s="68">
        <f>R12</f>
        <v>13519.806952101146</v>
      </c>
      <c r="V17" s="48"/>
      <c r="W17" s="65" t="s">
        <v>153</v>
      </c>
      <c r="X17" s="67">
        <f>I20</f>
        <v>114726</v>
      </c>
    </row>
    <row r="18" spans="1:24" ht="15.75">
      <c r="H18" s="37" t="s">
        <v>107</v>
      </c>
      <c r="I18" s="60">
        <f>ONSV_AUX_2018!B60</f>
        <v>4205</v>
      </c>
      <c r="J18" s="61">
        <f>I18-(L11*I8)</f>
        <v>4203.9917966809953</v>
      </c>
      <c r="K18" s="11"/>
      <c r="L18" s="11"/>
      <c r="M18" s="11"/>
      <c r="N18" s="28" t="s">
        <v>146</v>
      </c>
      <c r="O18" s="60">
        <f>I9</f>
        <v>16</v>
      </c>
      <c r="P18" s="76"/>
      <c r="Q18" s="48"/>
      <c r="R18" s="48"/>
      <c r="S18" s="48"/>
      <c r="T18" s="65" t="s">
        <v>154</v>
      </c>
      <c r="U18" s="68">
        <f>I17-J17</f>
        <v>6.2549365484410373</v>
      </c>
      <c r="V18" s="48"/>
      <c r="W18" s="65" t="s">
        <v>155</v>
      </c>
      <c r="X18" s="67">
        <f>I21</f>
        <v>24719</v>
      </c>
    </row>
    <row r="19" spans="1:24" ht="15.75">
      <c r="H19" s="37" t="s">
        <v>108</v>
      </c>
      <c r="I19" s="60">
        <f>ONSV_AUX_2018!B61</f>
        <v>363</v>
      </c>
      <c r="J19" s="10">
        <f>I19</f>
        <v>363</v>
      </c>
      <c r="K19" s="11"/>
      <c r="L19" s="11"/>
      <c r="M19" s="11"/>
      <c r="N19" s="28" t="s">
        <v>139</v>
      </c>
      <c r="O19" s="60">
        <f>IF(OR((O8*I6&gt;J14),((O17+O18+(O8*I6))&gt;J14)),(J14-O17-O18),(O8*I6))</f>
        <v>81563.568837663333</v>
      </c>
      <c r="P19" s="76"/>
      <c r="Q19" s="48"/>
      <c r="R19" s="78"/>
      <c r="S19" s="48"/>
      <c r="T19" s="65" t="s">
        <v>150</v>
      </c>
      <c r="U19" s="72">
        <f>R15</f>
        <v>12561.938111350413</v>
      </c>
      <c r="V19" s="48"/>
      <c r="W19" s="48"/>
      <c r="X19" s="48"/>
    </row>
    <row r="20" spans="1:24" ht="15.75">
      <c r="H20" s="37" t="s">
        <v>109</v>
      </c>
      <c r="I20" s="60">
        <f>ONSV_AUX_2018!B62</f>
        <v>114726</v>
      </c>
      <c r="J20" s="10">
        <f t="shared" ref="J20:J22" si="0">I20</f>
        <v>114726</v>
      </c>
      <c r="K20" s="11"/>
      <c r="L20" s="11"/>
      <c r="M20" s="11"/>
      <c r="N20" s="28" t="s">
        <v>151</v>
      </c>
      <c r="O20" s="60">
        <f>IF((J14-O17-O19-O18)&lt;0,0,(J14-O17-O19-O18))</f>
        <v>0</v>
      </c>
      <c r="P20" s="48"/>
      <c r="Q20" s="48"/>
      <c r="R20" s="48"/>
      <c r="S20" s="48"/>
      <c r="T20" s="48"/>
      <c r="U20" s="62"/>
      <c r="V20" s="48"/>
      <c r="W20" s="48"/>
      <c r="X20" s="48"/>
    </row>
    <row r="21" spans="1:24" ht="15.75">
      <c r="H21" s="37" t="s">
        <v>110</v>
      </c>
      <c r="I21" s="60">
        <f>ONSV_AUX_2018!B63</f>
        <v>24719</v>
      </c>
      <c r="J21" s="10">
        <f t="shared" si="0"/>
        <v>24719</v>
      </c>
      <c r="K21" s="11"/>
      <c r="L21" s="11"/>
      <c r="M21" s="11"/>
      <c r="O21" s="48"/>
      <c r="P21" s="76"/>
      <c r="Q21" s="48"/>
      <c r="R21" s="48"/>
      <c r="S21" s="48"/>
      <c r="T21" s="79" t="s">
        <v>156</v>
      </c>
      <c r="U21" s="80">
        <f>(SUM(U7:U19,X7:X18)/SUM(I14:I23))-1</f>
        <v>0</v>
      </c>
      <c r="V21" s="48"/>
      <c r="W21" s="79" t="s">
        <v>10</v>
      </c>
      <c r="X21" s="67">
        <f>SUM(U7:U19,X7:X18)</f>
        <v>265770</v>
      </c>
    </row>
    <row r="22" spans="1:24" ht="15.75">
      <c r="H22" s="37" t="s">
        <v>111</v>
      </c>
      <c r="I22" s="60">
        <f>ONSV_AUX_2018!B64</f>
        <v>1137</v>
      </c>
      <c r="J22" s="10">
        <f t="shared" si="0"/>
        <v>1137</v>
      </c>
      <c r="K22" s="11"/>
      <c r="L22" s="11"/>
      <c r="M22" s="11"/>
      <c r="O22" s="48"/>
      <c r="P22" s="76"/>
      <c r="Q22" s="48"/>
      <c r="R22" s="48"/>
      <c r="S22" s="48"/>
      <c r="T22" s="48"/>
      <c r="U22" s="48"/>
      <c r="V22" s="48"/>
      <c r="W22" s="48"/>
      <c r="X22" s="48"/>
    </row>
    <row r="23" spans="1:24" ht="15.75">
      <c r="H23" s="37" t="s">
        <v>112</v>
      </c>
      <c r="I23" s="60">
        <f>ONSV_AUX_2018!B65</f>
        <v>1275</v>
      </c>
      <c r="J23" s="61">
        <f>I23-(L12*I8)</f>
        <v>1274.6943022041069</v>
      </c>
      <c r="K23" s="12"/>
      <c r="L23" s="12"/>
      <c r="M23" s="12"/>
      <c r="N23" s="12"/>
      <c r="O23" s="12"/>
      <c r="P23" s="12"/>
      <c r="Q23" s="4"/>
      <c r="R23" s="4"/>
    </row>
    <row r="25" spans="1:24" s="31" customFormat="1" ht="15.75">
      <c r="A25" s="101" t="str">
        <f>"ACRE/"&amp;ONSV_AUX_2017!$A$1&amp;""</f>
        <v>ACRE/2017</v>
      </c>
      <c r="B25" s="102"/>
      <c r="C25" s="102"/>
      <c r="D25" s="102"/>
      <c r="E25" s="102"/>
      <c r="F25" s="102"/>
    </row>
    <row r="26" spans="1:24" s="4" customFormat="1" ht="15.75">
      <c r="A26" s="32"/>
      <c r="B26" s="32"/>
      <c r="C26" s="32"/>
      <c r="D26" s="32"/>
      <c r="E26" s="32"/>
      <c r="F26" s="32"/>
    </row>
    <row r="27" spans="1:24" ht="15.75">
      <c r="A27" s="12"/>
      <c r="H27" s="23" t="s">
        <v>118</v>
      </c>
      <c r="N27" s="26"/>
      <c r="O27" s="26"/>
      <c r="P27" s="9"/>
      <c r="Q27" s="26"/>
      <c r="R27" s="26"/>
      <c r="S27" s="26"/>
      <c r="T27" s="104"/>
      <c r="U27" s="104"/>
      <c r="V27" s="104"/>
      <c r="W27" s="104"/>
      <c r="X27" s="104"/>
    </row>
    <row r="28" spans="1:24" ht="15.75">
      <c r="B28" s="5"/>
      <c r="J28" s="9"/>
      <c r="M28" s="25"/>
    </row>
    <row r="29" spans="1:24" ht="15.75">
      <c r="H29" s="36" t="s">
        <v>81</v>
      </c>
      <c r="I29" s="60">
        <f>ONSV_AUX_2017!B27</f>
        <v>3604</v>
      </c>
      <c r="J29" s="9"/>
      <c r="K29" s="104" t="s">
        <v>119</v>
      </c>
      <c r="L29" s="104"/>
      <c r="M29" s="9"/>
      <c r="N29" s="26" t="s">
        <v>120</v>
      </c>
      <c r="O29" s="26"/>
      <c r="Q29" s="26" t="s">
        <v>121</v>
      </c>
      <c r="R29" s="26"/>
      <c r="S29" s="26"/>
      <c r="T29" s="25" t="s">
        <v>122</v>
      </c>
      <c r="U29" s="25"/>
      <c r="V29" s="25"/>
      <c r="W29" s="25"/>
      <c r="X29" s="25"/>
    </row>
    <row r="30" spans="1:24" ht="15.75">
      <c r="H30" s="36" t="s">
        <v>84</v>
      </c>
      <c r="I30" s="60">
        <f>ONSV_AUX_2017!B28</f>
        <v>91874</v>
      </c>
      <c r="J30" s="9"/>
      <c r="K30" s="9"/>
      <c r="L30" s="9"/>
      <c r="M30" s="9"/>
      <c r="N30" s="9"/>
      <c r="O30" s="9"/>
      <c r="P30" s="20"/>
      <c r="Q30" s="11"/>
      <c r="R30" s="11"/>
      <c r="S30" s="11"/>
    </row>
    <row r="31" spans="1:24" ht="15.75">
      <c r="H31" s="36" t="s">
        <v>85</v>
      </c>
      <c r="I31" s="60">
        <f>ONSV_AUX_2017!B29</f>
        <v>24223</v>
      </c>
      <c r="J31" s="9"/>
      <c r="K31" s="2" t="s">
        <v>123</v>
      </c>
      <c r="L31" s="60">
        <f>I38+I41+I42+I47</f>
        <v>112021</v>
      </c>
      <c r="N31" s="28" t="s">
        <v>124</v>
      </c>
      <c r="O31" s="60">
        <f>J38+J47</f>
        <v>83091.42035868275</v>
      </c>
      <c r="P31" s="64"/>
      <c r="Q31" s="65" t="s">
        <v>125</v>
      </c>
      <c r="R31" s="60">
        <f>J41+J42</f>
        <v>28908.579641317254</v>
      </c>
      <c r="S31" s="66"/>
      <c r="T31" s="65" t="s">
        <v>126</v>
      </c>
      <c r="U31" s="67">
        <f>O35</f>
        <v>1176.7793538711492</v>
      </c>
      <c r="V31" s="48"/>
      <c r="W31" s="65" t="s">
        <v>127</v>
      </c>
      <c r="X31" s="68">
        <f>R37</f>
        <v>2112.2446565677524</v>
      </c>
    </row>
    <row r="32" spans="1:24" ht="15.75">
      <c r="H32" s="36" t="s">
        <v>101</v>
      </c>
      <c r="I32" s="60">
        <f>ONSV_AUX_2017!B30</f>
        <v>21</v>
      </c>
      <c r="J32" s="9"/>
      <c r="K32" s="27"/>
      <c r="L32" s="62"/>
      <c r="M32" s="20"/>
      <c r="N32" s="28" t="s">
        <v>128</v>
      </c>
      <c r="O32" s="69">
        <f>J38/O31</f>
        <v>0.98583753474436564</v>
      </c>
      <c r="P32" s="64"/>
      <c r="Q32" s="70" t="s">
        <v>129</v>
      </c>
      <c r="R32" s="63">
        <f>J41/R31</f>
        <v>0.85868437435152523</v>
      </c>
      <c r="S32" s="71"/>
      <c r="T32" s="65" t="s">
        <v>130</v>
      </c>
      <c r="U32" s="67">
        <f>I47-J47</f>
        <v>0.22064612885083079</v>
      </c>
      <c r="V32" s="48"/>
      <c r="W32" s="65" t="s">
        <v>131</v>
      </c>
      <c r="X32" s="68">
        <f>I42-J42</f>
        <v>0.76598137849168779</v>
      </c>
    </row>
    <row r="33" spans="8:24" ht="15.75">
      <c r="H33" s="36" t="s">
        <v>16</v>
      </c>
      <c r="I33" s="60">
        <f>ONSV_AUX_2017!B31</f>
        <v>15</v>
      </c>
      <c r="J33" s="9"/>
      <c r="K33" s="2" t="s">
        <v>132</v>
      </c>
      <c r="L33" s="63">
        <f>I38/L31</f>
        <v>0.73138072325724646</v>
      </c>
      <c r="M33" s="20"/>
      <c r="N33" s="28" t="s">
        <v>133</v>
      </c>
      <c r="O33" s="69">
        <f>J47/O31</f>
        <v>1.4162465255634303E-2</v>
      </c>
      <c r="P33" s="64"/>
      <c r="Q33" s="70" t="s">
        <v>134</v>
      </c>
      <c r="R33" s="63">
        <f>J42/R31</f>
        <v>0.14131562564847477</v>
      </c>
      <c r="S33" s="71"/>
      <c r="T33" s="65" t="s">
        <v>135</v>
      </c>
      <c r="U33" s="72">
        <f>O37</f>
        <v>0</v>
      </c>
      <c r="V33" s="73"/>
      <c r="W33" s="65" t="s">
        <v>136</v>
      </c>
      <c r="X33" s="72">
        <f>R40</f>
        <v>1972.9893620537559</v>
      </c>
    </row>
    <row r="34" spans="8:24" ht="15.75">
      <c r="H34" s="36" t="s">
        <v>94</v>
      </c>
      <c r="I34" s="60">
        <f>ONSV_AUX_2017!B32</f>
        <v>133091</v>
      </c>
      <c r="J34" s="10"/>
      <c r="K34" s="2" t="s">
        <v>2</v>
      </c>
      <c r="L34" s="63">
        <f>I41/L31</f>
        <v>0.22163701448835485</v>
      </c>
      <c r="M34" s="20"/>
      <c r="N34" s="20"/>
      <c r="O34" s="74"/>
      <c r="P34" s="48"/>
      <c r="Q34" s="48"/>
      <c r="R34" s="48"/>
      <c r="S34" s="48"/>
      <c r="T34" s="48"/>
      <c r="U34" s="62"/>
      <c r="V34" s="75"/>
      <c r="W34" s="48"/>
      <c r="X34" s="62"/>
    </row>
    <row r="35" spans="8:24" ht="15.75">
      <c r="K35" s="2" t="s">
        <v>3</v>
      </c>
      <c r="L35" s="63">
        <f>I42/L31</f>
        <v>3.647530373769204E-2</v>
      </c>
      <c r="M35" s="20"/>
      <c r="N35" s="28" t="s">
        <v>137</v>
      </c>
      <c r="O35" s="60">
        <f>IF(O33*I30&gt;J47,J47,O33*I30)</f>
        <v>1176.7793538711492</v>
      </c>
      <c r="P35" s="76"/>
      <c r="Q35" s="65" t="s">
        <v>138</v>
      </c>
      <c r="R35" s="60">
        <f>I31-I39-I40-I43-I46</f>
        <v>14947</v>
      </c>
      <c r="S35" s="77"/>
      <c r="T35" s="65" t="s">
        <v>139</v>
      </c>
      <c r="U35" s="67">
        <f>O43</f>
        <v>78295.641004811594</v>
      </c>
      <c r="V35" s="76"/>
      <c r="W35" s="65" t="s">
        <v>140</v>
      </c>
      <c r="X35" s="67">
        <f>I39</f>
        <v>7008</v>
      </c>
    </row>
    <row r="36" spans="8:24" ht="15.75">
      <c r="H36" s="24" t="s">
        <v>141</v>
      </c>
      <c r="K36" s="2" t="s">
        <v>0</v>
      </c>
      <c r="L36" s="63">
        <f>I47/L31</f>
        <v>1.0506958516706688E-2</v>
      </c>
      <c r="O36" s="48"/>
      <c r="P36" s="76"/>
      <c r="Q36" s="65" t="s">
        <v>142</v>
      </c>
      <c r="R36" s="60">
        <f>R32*R35</f>
        <v>12834.755343432247</v>
      </c>
      <c r="S36" s="48"/>
      <c r="T36" s="65" t="s">
        <v>143</v>
      </c>
      <c r="U36" s="67">
        <f>O41</f>
        <v>3604</v>
      </c>
      <c r="V36" s="66"/>
      <c r="W36" s="65" t="s">
        <v>144</v>
      </c>
      <c r="X36" s="67">
        <f>I40</f>
        <v>811</v>
      </c>
    </row>
    <row r="37" spans="8:24" ht="15.75">
      <c r="K37" s="11"/>
      <c r="L37" s="11"/>
      <c r="M37" s="11"/>
      <c r="N37" s="28" t="s">
        <v>145</v>
      </c>
      <c r="O37" s="60">
        <f>J47-O35</f>
        <v>0</v>
      </c>
      <c r="P37" s="76"/>
      <c r="Q37" s="65" t="s">
        <v>127</v>
      </c>
      <c r="R37" s="60">
        <f>R33*R35</f>
        <v>2112.2446565677524</v>
      </c>
      <c r="S37" s="48"/>
      <c r="T37" s="65" t="s">
        <v>146</v>
      </c>
      <c r="U37" s="67">
        <f>O42</f>
        <v>15</v>
      </c>
      <c r="V37" s="71"/>
      <c r="W37" s="48"/>
      <c r="X37" s="62"/>
    </row>
    <row r="38" spans="8:24" ht="15.75">
      <c r="H38" s="37" t="s">
        <v>103</v>
      </c>
      <c r="I38" s="60">
        <f>ONSV_AUX_2017!B56</f>
        <v>81930</v>
      </c>
      <c r="J38" s="61">
        <f>I38-(L33*I32)</f>
        <v>81914.641004811594</v>
      </c>
      <c r="K38" s="11"/>
      <c r="L38" s="11"/>
      <c r="M38" s="11"/>
      <c r="O38" s="76"/>
      <c r="P38" s="76"/>
      <c r="Q38" s="48"/>
      <c r="R38" s="78"/>
      <c r="S38" s="48"/>
      <c r="T38" s="65" t="s">
        <v>147</v>
      </c>
      <c r="U38" s="68">
        <f>I38-J38</f>
        <v>15.35899518840597</v>
      </c>
      <c r="V38" s="71"/>
      <c r="W38" s="65" t="s">
        <v>148</v>
      </c>
      <c r="X38" s="67">
        <f>I46</f>
        <v>1102</v>
      </c>
    </row>
    <row r="39" spans="8:24" ht="15.75">
      <c r="H39" s="37" t="s">
        <v>104</v>
      </c>
      <c r="I39" s="60">
        <f>ONSV_AUX_2017!B57</f>
        <v>7008</v>
      </c>
      <c r="J39" s="10">
        <f>I39</f>
        <v>7008</v>
      </c>
      <c r="K39" s="11"/>
      <c r="L39" s="11"/>
      <c r="M39" s="11"/>
      <c r="N39" s="26" t="s">
        <v>149</v>
      </c>
      <c r="O39" s="76"/>
      <c r="P39" s="76"/>
      <c r="Q39" s="65" t="s">
        <v>150</v>
      </c>
      <c r="R39" s="60">
        <f>J41-R36</f>
        <v>11988.590279263499</v>
      </c>
      <c r="S39" s="48"/>
      <c r="T39" s="65" t="s">
        <v>151</v>
      </c>
      <c r="U39" s="72">
        <f>O44</f>
        <v>0</v>
      </c>
      <c r="V39" s="48"/>
      <c r="W39" s="65" t="s">
        <v>152</v>
      </c>
      <c r="X39" s="67">
        <f>I43</f>
        <v>355</v>
      </c>
    </row>
    <row r="40" spans="8:24" ht="15.75">
      <c r="H40" s="37" t="s">
        <v>105</v>
      </c>
      <c r="I40" s="60">
        <f>ONSV_AUX_2017!B58</f>
        <v>811</v>
      </c>
      <c r="J40" s="10">
        <f>I40</f>
        <v>811</v>
      </c>
      <c r="K40" s="11"/>
      <c r="L40" s="11"/>
      <c r="M40" s="11"/>
      <c r="O40" s="73"/>
      <c r="P40" s="76"/>
      <c r="Q40" s="65" t="s">
        <v>136</v>
      </c>
      <c r="R40" s="60">
        <f>J42-R37</f>
        <v>1972.9893620537559</v>
      </c>
      <c r="S40" s="48"/>
      <c r="T40" s="48"/>
      <c r="U40" s="62"/>
      <c r="V40" s="77"/>
      <c r="W40" s="48"/>
      <c r="X40" s="62"/>
    </row>
    <row r="41" spans="8:24" ht="15.75">
      <c r="H41" s="37" t="s">
        <v>106</v>
      </c>
      <c r="I41" s="60">
        <f>ONSV_AUX_2017!B59</f>
        <v>24828</v>
      </c>
      <c r="J41" s="61">
        <f>I41-(L34*I32)</f>
        <v>24823.345622695746</v>
      </c>
      <c r="K41" s="11"/>
      <c r="L41" s="11"/>
      <c r="M41" s="11"/>
      <c r="N41" s="28" t="s">
        <v>143</v>
      </c>
      <c r="O41" s="60">
        <f>I29</f>
        <v>3604</v>
      </c>
      <c r="P41" s="76"/>
      <c r="Q41" s="48"/>
      <c r="R41" s="48"/>
      <c r="S41" s="77"/>
      <c r="T41" s="65" t="s">
        <v>142</v>
      </c>
      <c r="U41" s="68">
        <f>R36</f>
        <v>12834.755343432247</v>
      </c>
      <c r="V41" s="48"/>
      <c r="W41" s="65" t="s">
        <v>153</v>
      </c>
      <c r="X41" s="67">
        <f>I44</f>
        <v>108632</v>
      </c>
    </row>
    <row r="42" spans="8:24" ht="15.75">
      <c r="H42" s="37" t="s">
        <v>107</v>
      </c>
      <c r="I42" s="60">
        <f>ONSV_AUX_2017!B60</f>
        <v>4086</v>
      </c>
      <c r="J42" s="61">
        <f>I42-(L35*I32)</f>
        <v>4085.2340186215083</v>
      </c>
      <c r="K42" s="11"/>
      <c r="L42" s="11"/>
      <c r="M42" s="11"/>
      <c r="N42" s="28" t="s">
        <v>146</v>
      </c>
      <c r="O42" s="60">
        <f>I33</f>
        <v>15</v>
      </c>
      <c r="P42" s="76"/>
      <c r="Q42" s="48"/>
      <c r="R42" s="48"/>
      <c r="S42" s="48"/>
      <c r="T42" s="65" t="s">
        <v>154</v>
      </c>
      <c r="U42" s="68">
        <f>I41-J41</f>
        <v>4.6543773042540124</v>
      </c>
      <c r="V42" s="48"/>
      <c r="W42" s="65" t="s">
        <v>155</v>
      </c>
      <c r="X42" s="67">
        <f>I45</f>
        <v>22922</v>
      </c>
    </row>
    <row r="43" spans="8:24" ht="15.75">
      <c r="H43" s="37" t="s">
        <v>108</v>
      </c>
      <c r="I43" s="60">
        <f>ONSV_AUX_2017!B61</f>
        <v>355</v>
      </c>
      <c r="J43" s="10">
        <f>I43</f>
        <v>355</v>
      </c>
      <c r="K43" s="11"/>
      <c r="L43" s="11"/>
      <c r="M43" s="11"/>
      <c r="N43" s="28" t="s">
        <v>139</v>
      </c>
      <c r="O43" s="60">
        <f>IF(OR((O32*I30&gt;J38),((O41+O42+(O32*I30))&gt;J38)),(J38-O41-O42),(O32*I30))</f>
        <v>78295.641004811594</v>
      </c>
      <c r="P43" s="76"/>
      <c r="Q43" s="48"/>
      <c r="R43" s="78"/>
      <c r="S43" s="48"/>
      <c r="T43" s="65" t="s">
        <v>150</v>
      </c>
      <c r="U43" s="72">
        <f>R39</f>
        <v>11988.590279263499</v>
      </c>
      <c r="V43" s="48"/>
      <c r="W43" s="48"/>
      <c r="X43" s="48"/>
    </row>
    <row r="44" spans="8:24" ht="15.75">
      <c r="H44" s="37" t="s">
        <v>109</v>
      </c>
      <c r="I44" s="60">
        <f>ONSV_AUX_2017!B62</f>
        <v>108632</v>
      </c>
      <c r="J44" s="10">
        <f t="shared" ref="J44:J46" si="1">I44</f>
        <v>108632</v>
      </c>
      <c r="K44" s="11"/>
      <c r="L44" s="11"/>
      <c r="M44" s="11"/>
      <c r="N44" s="28" t="s">
        <v>151</v>
      </c>
      <c r="O44" s="60">
        <f>IF((J38-O41-O43-O42)&lt;0,0,(J38-O41-O43-O42))</f>
        <v>0</v>
      </c>
      <c r="P44" s="48"/>
      <c r="Q44" s="48"/>
      <c r="R44" s="48"/>
      <c r="S44" s="48"/>
      <c r="T44" s="48"/>
      <c r="U44" s="62"/>
      <c r="V44" s="48"/>
      <c r="W44" s="48"/>
      <c r="X44" s="48"/>
    </row>
    <row r="45" spans="8:24" ht="15.75">
      <c r="H45" s="37" t="s">
        <v>110</v>
      </c>
      <c r="I45" s="60">
        <f>ONSV_AUX_2017!B63</f>
        <v>22922</v>
      </c>
      <c r="J45" s="10">
        <f t="shared" si="1"/>
        <v>22922</v>
      </c>
      <c r="K45" s="11"/>
      <c r="L45" s="11"/>
      <c r="M45" s="11"/>
      <c r="O45" s="48"/>
      <c r="P45" s="76"/>
      <c r="Q45" s="48"/>
      <c r="R45" s="48"/>
      <c r="S45" s="48"/>
      <c r="T45" s="79" t="s">
        <v>156</v>
      </c>
      <c r="U45" s="80">
        <f>(SUM(U31:U43,X31:X42)/SUM(I38:I47))-1</f>
        <v>0</v>
      </c>
      <c r="V45" s="48"/>
      <c r="W45" s="79" t="s">
        <v>10</v>
      </c>
      <c r="X45" s="67">
        <f>SUM(U31:U43,X31:X42)</f>
        <v>252851</v>
      </c>
    </row>
    <row r="46" spans="8:24" ht="15.75">
      <c r="H46" s="37" t="s">
        <v>111</v>
      </c>
      <c r="I46" s="60">
        <f>ONSV_AUX_2017!B64</f>
        <v>1102</v>
      </c>
      <c r="J46" s="10">
        <f t="shared" si="1"/>
        <v>1102</v>
      </c>
      <c r="K46" s="11"/>
      <c r="L46" s="11"/>
      <c r="M46" s="11"/>
      <c r="O46" s="48"/>
      <c r="P46" s="76"/>
      <c r="Q46" s="48"/>
      <c r="R46" s="48"/>
      <c r="S46" s="48"/>
      <c r="T46" s="48"/>
      <c r="U46" s="48"/>
      <c r="V46" s="48"/>
      <c r="W46" s="48"/>
      <c r="X46" s="48"/>
    </row>
    <row r="47" spans="8:24" ht="15.75">
      <c r="H47" s="37" t="s">
        <v>112</v>
      </c>
      <c r="I47" s="60">
        <f>ONSV_AUX_2017!B65</f>
        <v>1177</v>
      </c>
      <c r="J47" s="61">
        <f>I47-(L36*I32)</f>
        <v>1176.7793538711492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39"/>
      <c r="I48" s="40"/>
      <c r="J48" s="40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1" customFormat="1" ht="15.75">
      <c r="A50" s="101" t="str">
        <f>"ACRE/"&amp;ONSV_AUX_2016!$A$1&amp;""</f>
        <v>ACRE/2016</v>
      </c>
      <c r="B50" s="102"/>
      <c r="C50" s="102"/>
      <c r="D50" s="102"/>
      <c r="E50" s="102"/>
      <c r="F50" s="102"/>
    </row>
    <row r="52" spans="1:24" ht="15.75">
      <c r="H52" s="23" t="s">
        <v>118</v>
      </c>
      <c r="N52" s="26"/>
      <c r="O52" s="26"/>
      <c r="P52" s="9"/>
      <c r="Q52" s="26"/>
      <c r="R52" s="26"/>
      <c r="S52" s="26"/>
      <c r="T52" s="104"/>
      <c r="U52" s="104"/>
      <c r="V52" s="104"/>
      <c r="W52" s="104"/>
      <c r="X52" s="104"/>
    </row>
    <row r="53" spans="1:24" ht="15.75">
      <c r="J53" s="9"/>
      <c r="M53" s="25"/>
      <c r="N53" s="9"/>
      <c r="O53" s="9"/>
      <c r="P53" s="9"/>
      <c r="Q53" s="11"/>
      <c r="R53" s="11"/>
      <c r="S53" s="11"/>
    </row>
    <row r="54" spans="1:24" ht="15.75">
      <c r="H54" s="36" t="s">
        <v>81</v>
      </c>
      <c r="I54" s="60">
        <f>ONSV_AUX_2016!B27</f>
        <v>3605</v>
      </c>
      <c r="J54" s="9"/>
      <c r="K54" s="104" t="s">
        <v>119</v>
      </c>
      <c r="L54" s="104"/>
      <c r="M54" s="9"/>
      <c r="N54" s="26" t="s">
        <v>120</v>
      </c>
      <c r="O54" s="26"/>
      <c r="Q54" s="26" t="s">
        <v>121</v>
      </c>
      <c r="R54" s="26"/>
      <c r="S54" s="26"/>
      <c r="T54" s="25" t="s">
        <v>122</v>
      </c>
      <c r="U54" s="25"/>
      <c r="V54" s="25"/>
      <c r="W54" s="25"/>
      <c r="X54" s="25"/>
    </row>
    <row r="55" spans="1:24" ht="15.75">
      <c r="H55" s="36" t="s">
        <v>84</v>
      </c>
      <c r="I55" s="60">
        <f>ONSV_AUX_2016!B28</f>
        <v>84303</v>
      </c>
      <c r="J55" s="9"/>
      <c r="K55" s="9"/>
      <c r="L55" s="9"/>
      <c r="M55" s="9"/>
      <c r="N55" s="9"/>
      <c r="O55" s="9"/>
      <c r="P55" s="20"/>
      <c r="Q55" s="11"/>
      <c r="R55" s="11"/>
      <c r="S55" s="11"/>
    </row>
    <row r="56" spans="1:24" ht="15.75">
      <c r="H56" s="36" t="s">
        <v>85</v>
      </c>
      <c r="I56" s="60">
        <f>ONSV_AUX_2016!B29</f>
        <v>23292</v>
      </c>
      <c r="J56" s="9"/>
      <c r="K56" s="2" t="s">
        <v>123</v>
      </c>
      <c r="L56" s="60">
        <f>I63+I66+I67+I72</f>
        <v>107809</v>
      </c>
      <c r="N56" s="28" t="s">
        <v>124</v>
      </c>
      <c r="O56" s="60">
        <f>J63+J72</f>
        <v>80225.091977478689</v>
      </c>
      <c r="P56" s="64"/>
      <c r="Q56" s="65" t="s">
        <v>125</v>
      </c>
      <c r="R56" s="60">
        <f>J66+J67</f>
        <v>27567.908022521311</v>
      </c>
      <c r="S56" s="66"/>
      <c r="T56" s="65" t="s">
        <v>126</v>
      </c>
      <c r="U56" s="67">
        <f>O60</f>
        <v>1093.8376387871142</v>
      </c>
      <c r="V56" s="48"/>
      <c r="W56" s="65" t="s">
        <v>127</v>
      </c>
      <c r="X56" s="68">
        <f>R62</f>
        <v>2066.8325837806469</v>
      </c>
    </row>
    <row r="57" spans="1:24" ht="15.75">
      <c r="H57" s="36" t="s">
        <v>101</v>
      </c>
      <c r="I57" s="60">
        <f>ONSV_AUX_2016!B30</f>
        <v>16</v>
      </c>
      <c r="J57" s="9"/>
      <c r="K57" s="27"/>
      <c r="L57" s="62"/>
      <c r="M57" s="20"/>
      <c r="N57" s="28" t="s">
        <v>128</v>
      </c>
      <c r="O57" s="69">
        <f>J63/O56</f>
        <v>0.98636539252464583</v>
      </c>
      <c r="P57" s="64"/>
      <c r="Q57" s="70" t="s">
        <v>129</v>
      </c>
      <c r="R57" s="63">
        <f>J66/R56</f>
        <v>0.85481648048745107</v>
      </c>
      <c r="S57" s="71"/>
      <c r="T57" s="65" t="s">
        <v>130</v>
      </c>
      <c r="U57" s="67">
        <f>I72-J72</f>
        <v>0.16236121288579852</v>
      </c>
      <c r="V57" s="48"/>
      <c r="W57" s="65" t="s">
        <v>131</v>
      </c>
      <c r="X57" s="68">
        <f>I67-J67</f>
        <v>0.59408769212222978</v>
      </c>
    </row>
    <row r="58" spans="1:24" ht="15.75">
      <c r="H58" s="36" t="s">
        <v>16</v>
      </c>
      <c r="I58" s="60">
        <f>ONSV_AUX_2016!B31</f>
        <v>14</v>
      </c>
      <c r="J58" s="9"/>
      <c r="K58" s="2" t="s">
        <v>132</v>
      </c>
      <c r="L58" s="63">
        <f>I63/L56</f>
        <v>0.73410383177656779</v>
      </c>
      <c r="M58" s="20"/>
      <c r="N58" s="28" t="s">
        <v>133</v>
      </c>
      <c r="O58" s="69">
        <f>J72/O56</f>
        <v>1.3634607475354263E-2</v>
      </c>
      <c r="P58" s="64"/>
      <c r="Q58" s="70" t="s">
        <v>134</v>
      </c>
      <c r="R58" s="63">
        <f>J67/R56</f>
        <v>0.14518351951254896</v>
      </c>
      <c r="S58" s="71"/>
      <c r="T58" s="65" t="s">
        <v>135</v>
      </c>
      <c r="U58" s="72">
        <f>O62</f>
        <v>0</v>
      </c>
      <c r="V58" s="73"/>
      <c r="W58" s="65" t="s">
        <v>136</v>
      </c>
      <c r="X58" s="72">
        <f>R65</f>
        <v>1935.5733285272308</v>
      </c>
    </row>
    <row r="59" spans="1:24" ht="15.75">
      <c r="H59" s="36" t="s">
        <v>94</v>
      </c>
      <c r="I59" s="60">
        <f>ONSV_AUX_2016!B32</f>
        <v>130399</v>
      </c>
      <c r="J59" s="10"/>
      <c r="K59" s="2" t="s">
        <v>2</v>
      </c>
      <c r="L59" s="63">
        <f>I66/L56</f>
        <v>0.21861811166043651</v>
      </c>
      <c r="M59" s="20"/>
      <c r="N59" s="20"/>
      <c r="O59" s="74"/>
      <c r="P59" s="48"/>
      <c r="Q59" s="48"/>
      <c r="R59" s="48"/>
      <c r="S59" s="48"/>
      <c r="T59" s="48"/>
      <c r="U59" s="62"/>
      <c r="V59" s="75"/>
      <c r="W59" s="48"/>
      <c r="X59" s="62"/>
    </row>
    <row r="60" spans="1:24" ht="15.75">
      <c r="K60" s="2" t="s">
        <v>3</v>
      </c>
      <c r="L60" s="63">
        <f>I67/L56</f>
        <v>3.713048075763619E-2</v>
      </c>
      <c r="M60" s="20"/>
      <c r="N60" s="28" t="s">
        <v>137</v>
      </c>
      <c r="O60" s="60">
        <f>IF(O58*I55&gt;J72,J72,O58*I55)</f>
        <v>1093.8376387871142</v>
      </c>
      <c r="P60" s="76"/>
      <c r="Q60" s="65" t="s">
        <v>138</v>
      </c>
      <c r="R60" s="60">
        <f>I56-I64-I65-I68-I71</f>
        <v>14236</v>
      </c>
      <c r="S60" s="77"/>
      <c r="T60" s="65" t="s">
        <v>139</v>
      </c>
      <c r="U60" s="67">
        <f>O68</f>
        <v>75512.254338691579</v>
      </c>
      <c r="V60" s="76"/>
      <c r="W60" s="65" t="s">
        <v>140</v>
      </c>
      <c r="X60" s="67">
        <f>I64</f>
        <v>6907</v>
      </c>
    </row>
    <row r="61" spans="1:24" ht="15.75">
      <c r="H61" s="24" t="s">
        <v>141</v>
      </c>
      <c r="K61" s="2" t="s">
        <v>0</v>
      </c>
      <c r="L61" s="63">
        <f>I72/L56</f>
        <v>1.0147575805359478E-2</v>
      </c>
      <c r="O61" s="48"/>
      <c r="P61" s="76"/>
      <c r="Q61" s="65" t="s">
        <v>142</v>
      </c>
      <c r="R61" s="60">
        <f>R57*R60</f>
        <v>12169.167416219354</v>
      </c>
      <c r="S61" s="48"/>
      <c r="T61" s="65" t="s">
        <v>143</v>
      </c>
      <c r="U61" s="67">
        <f>O66</f>
        <v>3605</v>
      </c>
      <c r="V61" s="66"/>
      <c r="W61" s="65" t="s">
        <v>144</v>
      </c>
      <c r="X61" s="67">
        <f>I65</f>
        <v>775</v>
      </c>
    </row>
    <row r="62" spans="1:24" ht="15.75">
      <c r="K62" s="11"/>
      <c r="L62" s="11"/>
      <c r="M62" s="11"/>
      <c r="N62" s="28" t="s">
        <v>145</v>
      </c>
      <c r="O62" s="60">
        <f>J72-O60</f>
        <v>0</v>
      </c>
      <c r="P62" s="76"/>
      <c r="Q62" s="65" t="s">
        <v>127</v>
      </c>
      <c r="R62" s="60">
        <f>R58*R60</f>
        <v>2066.8325837806469</v>
      </c>
      <c r="S62" s="48"/>
      <c r="T62" s="65" t="s">
        <v>146</v>
      </c>
      <c r="U62" s="67">
        <f>O67</f>
        <v>14</v>
      </c>
      <c r="V62" s="71"/>
      <c r="W62" s="48"/>
      <c r="X62" s="62"/>
    </row>
    <row r="63" spans="1:24" ht="15.75">
      <c r="H63" s="37" t="s">
        <v>103</v>
      </c>
      <c r="I63" s="60">
        <f>ONSV_AUX_2016!B56</f>
        <v>79143</v>
      </c>
      <c r="J63" s="61">
        <f>I63-(L58*I57)</f>
        <v>79131.254338691579</v>
      </c>
      <c r="K63" s="11"/>
      <c r="L63" s="11"/>
      <c r="M63" s="11"/>
      <c r="O63" s="76"/>
      <c r="P63" s="76"/>
      <c r="Q63" s="48"/>
      <c r="R63" s="78"/>
      <c r="S63" s="48"/>
      <c r="T63" s="65" t="s">
        <v>147</v>
      </c>
      <c r="U63" s="68">
        <f>I63-J63</f>
        <v>11.745661308421404</v>
      </c>
      <c r="V63" s="71"/>
      <c r="W63" s="65" t="s">
        <v>148</v>
      </c>
      <c r="X63" s="67">
        <f>I71</f>
        <v>1030</v>
      </c>
    </row>
    <row r="64" spans="1:24" ht="15.75">
      <c r="H64" s="37" t="s">
        <v>104</v>
      </c>
      <c r="I64" s="60">
        <f>ONSV_AUX_2016!B57</f>
        <v>6907</v>
      </c>
      <c r="J64" s="10">
        <f>I64</f>
        <v>6907</v>
      </c>
      <c r="K64" s="11"/>
      <c r="L64" s="11"/>
      <c r="M64" s="11"/>
      <c r="N64" s="26" t="s">
        <v>149</v>
      </c>
      <c r="O64" s="76"/>
      <c r="P64" s="76"/>
      <c r="Q64" s="65" t="s">
        <v>150</v>
      </c>
      <c r="R64" s="60">
        <f>J66-R61</f>
        <v>11396.33469399408</v>
      </c>
      <c r="S64" s="48"/>
      <c r="T64" s="65" t="s">
        <v>151</v>
      </c>
      <c r="U64" s="72">
        <f>O69</f>
        <v>0</v>
      </c>
      <c r="V64" s="48"/>
      <c r="W64" s="65" t="s">
        <v>152</v>
      </c>
      <c r="X64" s="67">
        <f>I68</f>
        <v>344</v>
      </c>
    </row>
    <row r="65" spans="1:25" ht="15.75">
      <c r="H65" s="37" t="s">
        <v>105</v>
      </c>
      <c r="I65" s="60">
        <f>ONSV_AUX_2016!B58</f>
        <v>775</v>
      </c>
      <c r="J65" s="10">
        <f>I65</f>
        <v>775</v>
      </c>
      <c r="K65" s="11"/>
      <c r="L65" s="11"/>
      <c r="M65" s="11"/>
      <c r="O65" s="73"/>
      <c r="P65" s="76"/>
      <c r="Q65" s="65" t="s">
        <v>136</v>
      </c>
      <c r="R65" s="60">
        <f>J67-R62</f>
        <v>1935.5733285272308</v>
      </c>
      <c r="S65" s="48"/>
      <c r="T65" s="48"/>
      <c r="U65" s="62"/>
      <c r="V65" s="77"/>
      <c r="W65" s="48"/>
      <c r="X65" s="62"/>
    </row>
    <row r="66" spans="1:25" ht="15.75">
      <c r="H66" s="37" t="s">
        <v>106</v>
      </c>
      <c r="I66" s="60">
        <f>ONSV_AUX_2016!B59</f>
        <v>23569</v>
      </c>
      <c r="J66" s="61">
        <f>I66-(L59*I57)</f>
        <v>23565.502110213434</v>
      </c>
      <c r="K66" s="11"/>
      <c r="L66" s="11"/>
      <c r="M66" s="11"/>
      <c r="N66" s="28" t="s">
        <v>143</v>
      </c>
      <c r="O66" s="60">
        <f>I54</f>
        <v>3605</v>
      </c>
      <c r="P66" s="76"/>
      <c r="Q66" s="48"/>
      <c r="R66" s="48"/>
      <c r="S66" s="77"/>
      <c r="T66" s="65" t="s">
        <v>142</v>
      </c>
      <c r="U66" s="68">
        <f>R61</f>
        <v>12169.167416219354</v>
      </c>
      <c r="V66" s="48"/>
      <c r="W66" s="65" t="s">
        <v>153</v>
      </c>
      <c r="X66" s="67">
        <f>I69</f>
        <v>103188</v>
      </c>
    </row>
    <row r="67" spans="1:25" ht="15.75">
      <c r="H67" s="37" t="s">
        <v>107</v>
      </c>
      <c r="I67" s="60">
        <f>ONSV_AUX_2016!B60</f>
        <v>4003</v>
      </c>
      <c r="J67" s="61">
        <f>I67-(L60*I57)</f>
        <v>4002.4059123078778</v>
      </c>
      <c r="K67" s="11"/>
      <c r="L67" s="11"/>
      <c r="M67" s="11"/>
      <c r="N67" s="28" t="s">
        <v>146</v>
      </c>
      <c r="O67" s="60">
        <f>I58</f>
        <v>14</v>
      </c>
      <c r="P67" s="76"/>
      <c r="Q67" s="48"/>
      <c r="R67" s="48"/>
      <c r="S67" s="48"/>
      <c r="T67" s="65" t="s">
        <v>154</v>
      </c>
      <c r="U67" s="68">
        <f>I66-J66</f>
        <v>3.4978897865657927</v>
      </c>
      <c r="V67" s="48"/>
      <c r="W67" s="65" t="s">
        <v>155</v>
      </c>
      <c r="X67" s="67">
        <f>I70</f>
        <v>21589</v>
      </c>
    </row>
    <row r="68" spans="1:25" ht="15.75">
      <c r="H68" s="37" t="s">
        <v>108</v>
      </c>
      <c r="I68" s="60">
        <f>ONSV_AUX_2016!B61</f>
        <v>344</v>
      </c>
      <c r="J68" s="10">
        <f>I68</f>
        <v>344</v>
      </c>
      <c r="K68" s="11"/>
      <c r="L68" s="11"/>
      <c r="M68" s="11"/>
      <c r="N68" s="28" t="s">
        <v>139</v>
      </c>
      <c r="O68" s="60">
        <f>IF(OR((O57*I55&gt;J63),((O66+O67+(O57*I55))&gt;J63)),(J63-O66-O67),(O57*I55))</f>
        <v>75512.254338691579</v>
      </c>
      <c r="P68" s="76"/>
      <c r="Q68" s="48"/>
      <c r="R68" s="78"/>
      <c r="S68" s="48"/>
      <c r="T68" s="65" t="s">
        <v>150</v>
      </c>
      <c r="U68" s="72">
        <f>R64</f>
        <v>11396.33469399408</v>
      </c>
      <c r="V68" s="48"/>
      <c r="W68" s="48"/>
      <c r="X68" s="48"/>
    </row>
    <row r="69" spans="1:25" ht="15.75">
      <c r="H69" s="37" t="s">
        <v>109</v>
      </c>
      <c r="I69" s="60">
        <f>ONSV_AUX_2016!B62</f>
        <v>103188</v>
      </c>
      <c r="J69" s="10">
        <f t="shared" ref="J69:J71" si="2">I69</f>
        <v>103188</v>
      </c>
      <c r="K69" s="11"/>
      <c r="L69" s="11"/>
      <c r="M69" s="11"/>
      <c r="N69" s="28" t="s">
        <v>151</v>
      </c>
      <c r="O69" s="60">
        <f>IF((J63-O66-O68-O67)&lt;0,0,(J63-O66-O68-O67))</f>
        <v>0</v>
      </c>
      <c r="P69" s="48"/>
      <c r="Q69" s="48"/>
      <c r="R69" s="48"/>
      <c r="S69" s="48"/>
      <c r="T69" s="48"/>
      <c r="U69" s="62"/>
      <c r="V69" s="48"/>
      <c r="W69" s="48"/>
      <c r="X69" s="48"/>
    </row>
    <row r="70" spans="1:25" ht="15.75">
      <c r="H70" s="37" t="s">
        <v>110</v>
      </c>
      <c r="I70" s="60">
        <f>ONSV_AUX_2016!B63</f>
        <v>21589</v>
      </c>
      <c r="J70" s="10">
        <f t="shared" si="2"/>
        <v>21589</v>
      </c>
      <c r="K70" s="11"/>
      <c r="L70" s="11"/>
      <c r="M70" s="11"/>
      <c r="O70" s="48"/>
      <c r="P70" s="76"/>
      <c r="Q70" s="48"/>
      <c r="R70" s="48"/>
      <c r="S70" s="48"/>
      <c r="T70" s="79" t="s">
        <v>156</v>
      </c>
      <c r="U70" s="80">
        <f>(SUM(U56:U68,X56:X67)/SUM(I63:I72))-1</f>
        <v>0</v>
      </c>
      <c r="V70" s="48"/>
      <c r="W70" s="79" t="s">
        <v>10</v>
      </c>
      <c r="X70" s="67">
        <f>SUM(U56:U68,X56:X67)</f>
        <v>241642</v>
      </c>
    </row>
    <row r="71" spans="1:25" ht="15.75">
      <c r="H71" s="37" t="s">
        <v>111</v>
      </c>
      <c r="I71" s="60">
        <f>ONSV_AUX_2016!B64</f>
        <v>1030</v>
      </c>
      <c r="J71" s="10">
        <f t="shared" si="2"/>
        <v>1030</v>
      </c>
      <c r="K71" s="11"/>
      <c r="L71" s="11"/>
      <c r="M71" s="11"/>
      <c r="O71" s="48"/>
      <c r="P71" s="76"/>
      <c r="Q71" s="48"/>
      <c r="R71" s="48"/>
      <c r="S71" s="48"/>
      <c r="T71" s="48"/>
      <c r="U71" s="48"/>
      <c r="V71" s="48"/>
      <c r="W71" s="48"/>
      <c r="X71" s="48"/>
    </row>
    <row r="72" spans="1:25" ht="15.75">
      <c r="H72" s="37" t="s">
        <v>112</v>
      </c>
      <c r="I72" s="60">
        <f>ONSV_AUX_2016!B65</f>
        <v>1094</v>
      </c>
      <c r="J72" s="61">
        <f>I72-(L61*I57)</f>
        <v>1093.8376387871142</v>
      </c>
      <c r="K72" s="12"/>
      <c r="L72" s="12"/>
      <c r="M72" s="12"/>
      <c r="N72" s="12"/>
      <c r="O72" s="12"/>
      <c r="P72" s="12"/>
      <c r="Q72" s="4"/>
      <c r="R72" s="4"/>
    </row>
    <row r="75" spans="1:25" s="31" customFormat="1" ht="15.75">
      <c r="A75" s="101" t="str">
        <f>"ACRE/"&amp;ONSV_AUX_2015!$A$1&amp;""</f>
        <v>ACRE/2015</v>
      </c>
      <c r="B75" s="102"/>
      <c r="C75" s="102"/>
      <c r="D75" s="102"/>
      <c r="E75" s="102"/>
      <c r="F75" s="102"/>
    </row>
    <row r="76" spans="1:25"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5.75">
      <c r="H77" s="23" t="s">
        <v>118</v>
      </c>
      <c r="P77" s="9"/>
    </row>
    <row r="78" spans="1:25" ht="15.75">
      <c r="J78" s="9"/>
      <c r="M78" s="25"/>
      <c r="P78" s="9"/>
    </row>
    <row r="79" spans="1:25" ht="15.75">
      <c r="H79" s="36" t="s">
        <v>81</v>
      </c>
      <c r="I79" s="60">
        <f>ONSV_AUX_2015!B27</f>
        <v>3603</v>
      </c>
      <c r="J79" s="9"/>
      <c r="K79" s="104" t="s">
        <v>119</v>
      </c>
      <c r="L79" s="104"/>
      <c r="M79" s="9"/>
      <c r="N79" s="26" t="s">
        <v>120</v>
      </c>
      <c r="O79" s="26"/>
      <c r="Q79" s="26" t="s">
        <v>121</v>
      </c>
      <c r="R79" s="26"/>
      <c r="S79" s="26"/>
      <c r="T79" s="25" t="s">
        <v>122</v>
      </c>
      <c r="U79" s="25"/>
      <c r="V79" s="25"/>
      <c r="W79" s="25"/>
      <c r="X79" s="25"/>
    </row>
    <row r="80" spans="1:25" ht="15.75">
      <c r="H80" s="36" t="s">
        <v>84</v>
      </c>
      <c r="I80" s="60">
        <f>ONSV_AUX_2015!B28</f>
        <v>74612</v>
      </c>
      <c r="J80" s="9"/>
      <c r="K80" s="9"/>
      <c r="L80" s="9"/>
      <c r="M80" s="9"/>
      <c r="N80" s="9"/>
      <c r="O80" s="9"/>
      <c r="P80" s="20"/>
      <c r="Q80" s="11"/>
      <c r="R80" s="11"/>
      <c r="S80" s="11"/>
    </row>
    <row r="81" spans="8:24" ht="15.75">
      <c r="H81" s="36" t="s">
        <v>85</v>
      </c>
      <c r="I81" s="60">
        <f>ONSV_AUX_2015!B29</f>
        <v>22324</v>
      </c>
      <c r="J81" s="9"/>
      <c r="K81" s="2" t="s">
        <v>123</v>
      </c>
      <c r="L81" s="60">
        <f>I88+I91+I92+I97</f>
        <v>102325</v>
      </c>
      <c r="N81" s="28" t="s">
        <v>124</v>
      </c>
      <c r="O81" s="60">
        <f>J88+J97</f>
        <v>76282.815929635966</v>
      </c>
      <c r="P81" s="64"/>
      <c r="Q81" s="65" t="s">
        <v>125</v>
      </c>
      <c r="R81" s="60">
        <f>J91+J92</f>
        <v>26027.184070364034</v>
      </c>
      <c r="S81" s="66"/>
      <c r="T81" s="65" t="s">
        <v>126</v>
      </c>
      <c r="U81" s="67">
        <f>O85</f>
        <v>981.86552022439503</v>
      </c>
      <c r="V81" s="48"/>
      <c r="W81" s="65" t="s">
        <v>127</v>
      </c>
      <c r="X81" s="68">
        <f>R87</f>
        <v>1998.1239291613847</v>
      </c>
    </row>
    <row r="82" spans="8:24" ht="15.75">
      <c r="H82" s="36" t="s">
        <v>101</v>
      </c>
      <c r="I82" s="60">
        <f>ONSV_AUX_2015!B30</f>
        <v>15</v>
      </c>
      <c r="J82" s="9"/>
      <c r="K82" s="27"/>
      <c r="L82" s="62"/>
      <c r="M82" s="20"/>
      <c r="N82" s="28" t="s">
        <v>128</v>
      </c>
      <c r="O82" s="69">
        <f>J88/O81</f>
        <v>0.9868403806328151</v>
      </c>
      <c r="P82" s="64"/>
      <c r="Q82" s="70" t="s">
        <v>129</v>
      </c>
      <c r="R82" s="63">
        <f>J91/R81</f>
        <v>0.85232991433291083</v>
      </c>
      <c r="S82" s="71"/>
      <c r="T82" s="65" t="s">
        <v>130</v>
      </c>
      <c r="U82" s="67">
        <f>I97-J97</f>
        <v>0.14717810896650008</v>
      </c>
      <c r="V82" s="48"/>
      <c r="W82" s="65" t="s">
        <v>131</v>
      </c>
      <c r="X82" s="68">
        <f>I92-J92</f>
        <v>0.56349865624224549</v>
      </c>
    </row>
    <row r="83" spans="8:24" ht="15.75">
      <c r="H83" s="36" t="s">
        <v>16</v>
      </c>
      <c r="I83" s="60">
        <f>ONSV_AUX_2015!B31</f>
        <v>13</v>
      </c>
      <c r="J83" s="9"/>
      <c r="K83" s="2" t="s">
        <v>132</v>
      </c>
      <c r="L83" s="63">
        <f>I88/L81</f>
        <v>0.73579281700464205</v>
      </c>
      <c r="M83" s="20"/>
      <c r="N83" s="28" t="s">
        <v>133</v>
      </c>
      <c r="O83" s="69">
        <f>J97/O81</f>
        <v>1.3159619367184837E-2</v>
      </c>
      <c r="P83" s="64"/>
      <c r="Q83" s="70" t="s">
        <v>134</v>
      </c>
      <c r="R83" s="63">
        <f>J92/R81</f>
        <v>0.14767008566708925</v>
      </c>
      <c r="S83" s="71"/>
      <c r="T83" s="65" t="s">
        <v>135</v>
      </c>
      <c r="U83" s="72">
        <f>O87</f>
        <v>21.987301666638473</v>
      </c>
      <c r="V83" s="73"/>
      <c r="W83" s="65" t="s">
        <v>136</v>
      </c>
      <c r="X83" s="72">
        <f>R90</f>
        <v>1845.3125721823731</v>
      </c>
    </row>
    <row r="84" spans="8:24" ht="15.75">
      <c r="H84" s="36" t="s">
        <v>94</v>
      </c>
      <c r="I84" s="60">
        <f>ONSV_AUX_2015!B32</f>
        <v>127746</v>
      </c>
      <c r="J84" s="10"/>
      <c r="K84" s="2" t="s">
        <v>2</v>
      </c>
      <c r="L84" s="63">
        <f>I91/L81</f>
        <v>0.21682873198143171</v>
      </c>
      <c r="M84" s="20"/>
      <c r="N84" s="20"/>
      <c r="O84" s="74"/>
      <c r="P84" s="48"/>
      <c r="Q84" s="48"/>
      <c r="R84" s="48"/>
      <c r="S84" s="48"/>
      <c r="T84" s="48"/>
      <c r="U84" s="62"/>
      <c r="V84" s="75"/>
      <c r="W84" s="48"/>
      <c r="X84" s="62"/>
    </row>
    <row r="85" spans="8:24" ht="15.75">
      <c r="K85" s="2" t="s">
        <v>3</v>
      </c>
      <c r="L85" s="63">
        <f>I92/L81</f>
        <v>3.7566577082824334E-2</v>
      </c>
      <c r="M85" s="20"/>
      <c r="N85" s="28" t="s">
        <v>137</v>
      </c>
      <c r="O85" s="60">
        <f>IF(O83*I80&gt;J97,J97,O83*I80)</f>
        <v>981.86552022439503</v>
      </c>
      <c r="P85" s="76"/>
      <c r="Q85" s="65" t="s">
        <v>138</v>
      </c>
      <c r="R85" s="60">
        <f>I81-I89-I90-I93-I96</f>
        <v>13531</v>
      </c>
      <c r="S85" s="77"/>
      <c r="T85" s="65" t="s">
        <v>139</v>
      </c>
      <c r="U85" s="67">
        <f>O93</f>
        <v>71662.96310774493</v>
      </c>
      <c r="V85" s="76"/>
      <c r="W85" s="65" t="s">
        <v>140</v>
      </c>
      <c r="X85" s="67">
        <f>I89</f>
        <v>6735</v>
      </c>
    </row>
    <row r="86" spans="8:24" ht="15.75">
      <c r="H86" s="24" t="s">
        <v>141</v>
      </c>
      <c r="K86" s="2" t="s">
        <v>0</v>
      </c>
      <c r="L86" s="63">
        <f>I97/L81</f>
        <v>9.8118739311018818E-3</v>
      </c>
      <c r="O86" s="48"/>
      <c r="P86" s="76"/>
      <c r="Q86" s="65" t="s">
        <v>142</v>
      </c>
      <c r="R86" s="60">
        <f>R82*R85</f>
        <v>11532.876070838616</v>
      </c>
      <c r="S86" s="48"/>
      <c r="T86" s="65" t="s">
        <v>143</v>
      </c>
      <c r="U86" s="67">
        <f>O91</f>
        <v>3603</v>
      </c>
      <c r="V86" s="66"/>
      <c r="W86" s="65" t="s">
        <v>144</v>
      </c>
      <c r="X86" s="67">
        <f>I90</f>
        <v>702</v>
      </c>
    </row>
    <row r="87" spans="8:24" ht="15.75">
      <c r="K87" s="11"/>
      <c r="L87" s="11"/>
      <c r="M87" s="11"/>
      <c r="N87" s="28" t="s">
        <v>145</v>
      </c>
      <c r="O87" s="60">
        <f>J97-O85</f>
        <v>21.987301666638473</v>
      </c>
      <c r="P87" s="76"/>
      <c r="Q87" s="65" t="s">
        <v>127</v>
      </c>
      <c r="R87" s="60">
        <f>R83*R85</f>
        <v>1998.1239291613847</v>
      </c>
      <c r="S87" s="48"/>
      <c r="T87" s="65" t="s">
        <v>146</v>
      </c>
      <c r="U87" s="67">
        <f>O92</f>
        <v>13</v>
      </c>
      <c r="V87" s="71"/>
      <c r="W87" s="48"/>
      <c r="X87" s="62"/>
    </row>
    <row r="88" spans="8:24" ht="15.75">
      <c r="H88" s="37" t="s">
        <v>103</v>
      </c>
      <c r="I88" s="60">
        <f>ONSV_AUX_2015!B56</f>
        <v>75290</v>
      </c>
      <c r="J88" s="61">
        <f>I88-(L83*I82)</f>
        <v>75278.96310774493</v>
      </c>
      <c r="K88" s="11"/>
      <c r="L88" s="11"/>
      <c r="M88" s="11"/>
      <c r="O88" s="76"/>
      <c r="P88" s="76"/>
      <c r="Q88" s="48"/>
      <c r="R88" s="78"/>
      <c r="S88" s="48"/>
      <c r="T88" s="65" t="s">
        <v>147</v>
      </c>
      <c r="U88" s="68">
        <f>I88-J88</f>
        <v>11.036892255069688</v>
      </c>
      <c r="V88" s="71"/>
      <c r="W88" s="65" t="s">
        <v>148</v>
      </c>
      <c r="X88" s="67">
        <f>I96</f>
        <v>1026</v>
      </c>
    </row>
    <row r="89" spans="8:24" ht="15.75">
      <c r="H89" s="37" t="s">
        <v>104</v>
      </c>
      <c r="I89" s="60">
        <f>ONSV_AUX_2015!B57</f>
        <v>6735</v>
      </c>
      <c r="J89" s="10">
        <f>I89</f>
        <v>6735</v>
      </c>
      <c r="K89" s="11"/>
      <c r="L89" s="11"/>
      <c r="M89" s="11"/>
      <c r="N89" s="26" t="s">
        <v>149</v>
      </c>
      <c r="O89" s="76"/>
      <c r="P89" s="76"/>
      <c r="Q89" s="65" t="s">
        <v>150</v>
      </c>
      <c r="R89" s="60">
        <f>J91-R86</f>
        <v>10650.871498181661</v>
      </c>
      <c r="S89" s="48"/>
      <c r="T89" s="65" t="s">
        <v>151</v>
      </c>
      <c r="U89" s="72">
        <f>O94</f>
        <v>0</v>
      </c>
      <c r="V89" s="48"/>
      <c r="W89" s="65" t="s">
        <v>152</v>
      </c>
      <c r="X89" s="67">
        <f>I93</f>
        <v>330</v>
      </c>
    </row>
    <row r="90" spans="8:24" ht="15.75">
      <c r="H90" s="37" t="s">
        <v>105</v>
      </c>
      <c r="I90" s="60">
        <f>ONSV_AUX_2015!B58</f>
        <v>702</v>
      </c>
      <c r="J90" s="10">
        <f>I90</f>
        <v>702</v>
      </c>
      <c r="K90" s="11"/>
      <c r="L90" s="11"/>
      <c r="M90" s="11"/>
      <c r="O90" s="73"/>
      <c r="P90" s="76"/>
      <c r="Q90" s="65" t="s">
        <v>136</v>
      </c>
      <c r="R90" s="60">
        <f>J92-R87</f>
        <v>1845.3125721823731</v>
      </c>
      <c r="S90" s="48"/>
      <c r="T90" s="48"/>
      <c r="U90" s="62"/>
      <c r="V90" s="77"/>
      <c r="W90" s="48"/>
      <c r="X90" s="62"/>
    </row>
    <row r="91" spans="8:24" ht="15.75">
      <c r="H91" s="37" t="s">
        <v>106</v>
      </c>
      <c r="I91" s="60">
        <f>ONSV_AUX_2015!B59</f>
        <v>22187</v>
      </c>
      <c r="J91" s="61">
        <f>I91-(L84*I82)</f>
        <v>22183.747569020277</v>
      </c>
      <c r="K91" s="11"/>
      <c r="L91" s="11"/>
      <c r="M91" s="11"/>
      <c r="N91" s="28" t="s">
        <v>143</v>
      </c>
      <c r="O91" s="60">
        <f>I79</f>
        <v>3603</v>
      </c>
      <c r="P91" s="76"/>
      <c r="Q91" s="48"/>
      <c r="R91" s="48"/>
      <c r="S91" s="77"/>
      <c r="T91" s="65" t="s">
        <v>142</v>
      </c>
      <c r="U91" s="68">
        <f>R86</f>
        <v>11532.876070838616</v>
      </c>
      <c r="V91" s="48"/>
      <c r="W91" s="65" t="s">
        <v>153</v>
      </c>
      <c r="X91" s="67">
        <f>I94</f>
        <v>96921</v>
      </c>
    </row>
    <row r="92" spans="8:24" ht="15.75">
      <c r="H92" s="37" t="s">
        <v>107</v>
      </c>
      <c r="I92" s="60">
        <f>ONSV_AUX_2015!B60</f>
        <v>3844</v>
      </c>
      <c r="J92" s="61">
        <f>I92-(L85*I82)</f>
        <v>3843.4365013437578</v>
      </c>
      <c r="K92" s="11"/>
      <c r="L92" s="11"/>
      <c r="M92" s="11"/>
      <c r="N92" s="28" t="s">
        <v>146</v>
      </c>
      <c r="O92" s="60">
        <f>I83</f>
        <v>13</v>
      </c>
      <c r="P92" s="76"/>
      <c r="Q92" s="48"/>
      <c r="R92" s="48"/>
      <c r="S92" s="48"/>
      <c r="T92" s="65" t="s">
        <v>154</v>
      </c>
      <c r="U92" s="68">
        <f>I91-J91</f>
        <v>3.2524309797227033</v>
      </c>
      <c r="V92" s="48"/>
      <c r="W92" s="65" t="s">
        <v>155</v>
      </c>
      <c r="X92" s="67">
        <f>I95</f>
        <v>20092</v>
      </c>
    </row>
    <row r="93" spans="8:24" ht="15.75">
      <c r="H93" s="37" t="s">
        <v>108</v>
      </c>
      <c r="I93" s="60">
        <f>ONSV_AUX_2015!B61</f>
        <v>330</v>
      </c>
      <c r="J93" s="10">
        <f>I93</f>
        <v>330</v>
      </c>
      <c r="K93" s="11"/>
      <c r="L93" s="11"/>
      <c r="M93" s="11"/>
      <c r="N93" s="28" t="s">
        <v>139</v>
      </c>
      <c r="O93" s="60">
        <f>IF(OR((O82*I80&gt;J88),((O91+O92+(O82*I80))&gt;J88)),(J88-O91-O92),(O82*I80))</f>
        <v>71662.96310774493</v>
      </c>
      <c r="P93" s="76"/>
      <c r="Q93" s="48"/>
      <c r="R93" s="78"/>
      <c r="S93" s="48"/>
      <c r="T93" s="65" t="s">
        <v>150</v>
      </c>
      <c r="U93" s="72">
        <f>R89</f>
        <v>10650.871498181661</v>
      </c>
      <c r="V93" s="48"/>
      <c r="W93" s="48"/>
      <c r="X93" s="48"/>
    </row>
    <row r="94" spans="8:24" ht="15.75">
      <c r="H94" s="37" t="s">
        <v>109</v>
      </c>
      <c r="I94" s="60">
        <f>ONSV_AUX_2015!B62</f>
        <v>96921</v>
      </c>
      <c r="J94" s="10">
        <f t="shared" ref="J94:J96" si="3">I94</f>
        <v>96921</v>
      </c>
      <c r="K94" s="11"/>
      <c r="L94" s="11"/>
      <c r="M94" s="11"/>
      <c r="N94" s="28" t="s">
        <v>151</v>
      </c>
      <c r="O94" s="60">
        <f>IF((J88-O91-O93-O92)&lt;0,0,(J88-O91-O93-O92))</f>
        <v>0</v>
      </c>
      <c r="P94" s="48"/>
      <c r="Q94" s="48"/>
      <c r="R94" s="48"/>
      <c r="S94" s="48"/>
      <c r="T94" s="48"/>
      <c r="U94" s="62"/>
      <c r="V94" s="48"/>
      <c r="W94" s="48"/>
      <c r="X94" s="48"/>
    </row>
    <row r="95" spans="8:24" ht="15.75">
      <c r="H95" s="37" t="s">
        <v>110</v>
      </c>
      <c r="I95" s="60">
        <f>ONSV_AUX_2015!B63</f>
        <v>20092</v>
      </c>
      <c r="J95" s="10">
        <f t="shared" si="3"/>
        <v>20092</v>
      </c>
      <c r="K95" s="11"/>
      <c r="L95" s="11"/>
      <c r="M95" s="11"/>
      <c r="O95" s="48"/>
      <c r="P95" s="76"/>
      <c r="Q95" s="48"/>
      <c r="R95" s="48"/>
      <c r="S95" s="48"/>
      <c r="T95" s="79" t="s">
        <v>156</v>
      </c>
      <c r="U95" s="80">
        <f>(SUM(U81:U93,X81:X92)/SUM(I88:I97))-1</f>
        <v>0</v>
      </c>
      <c r="V95" s="48"/>
      <c r="W95" s="79" t="s">
        <v>10</v>
      </c>
      <c r="X95" s="67">
        <f>SUM(U81:U93,X81:X92)</f>
        <v>228131</v>
      </c>
    </row>
    <row r="96" spans="8:24" ht="15.75">
      <c r="H96" s="37" t="s">
        <v>111</v>
      </c>
      <c r="I96" s="60">
        <f>ONSV_AUX_2015!B64</f>
        <v>1026</v>
      </c>
      <c r="J96" s="10">
        <f t="shared" si="3"/>
        <v>1026</v>
      </c>
      <c r="K96" s="11"/>
      <c r="L96" s="11"/>
      <c r="M96" s="11"/>
      <c r="O96" s="48"/>
      <c r="P96" s="76"/>
      <c r="Q96" s="48"/>
      <c r="R96" s="48"/>
      <c r="S96" s="48"/>
      <c r="T96" s="48"/>
      <c r="U96" s="48"/>
      <c r="V96" s="48"/>
      <c r="W96" s="48"/>
      <c r="X96" s="48"/>
    </row>
    <row r="97" spans="1:25" ht="15.75">
      <c r="H97" s="37" t="s">
        <v>112</v>
      </c>
      <c r="I97" s="60">
        <f>ONSV_AUX_2015!B65</f>
        <v>1004</v>
      </c>
      <c r="J97" s="61">
        <f>I97-(L86*I82)</f>
        <v>1003.8528218910335</v>
      </c>
      <c r="K97" s="12"/>
      <c r="L97" s="12"/>
      <c r="M97" s="12"/>
      <c r="N97" s="12"/>
      <c r="O97" s="12"/>
      <c r="P97" s="12"/>
      <c r="Q97" s="4"/>
      <c r="R97" s="4"/>
    </row>
    <row r="98" spans="1:25" ht="15.75">
      <c r="H98" s="39"/>
      <c r="I98" s="40"/>
      <c r="J98" s="21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5" ht="15.75">
      <c r="H99" s="39"/>
      <c r="I99" s="40"/>
      <c r="J99" s="21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5" s="31" customFormat="1" ht="15.75">
      <c r="A100" s="101" t="str">
        <f>"ACRE/"&amp;ONSV_AUX_2014!$A$1&amp;""</f>
        <v>ACRE/2014</v>
      </c>
      <c r="B100" s="102"/>
      <c r="C100" s="102"/>
      <c r="D100" s="102"/>
      <c r="E100" s="102"/>
      <c r="F100" s="102"/>
    </row>
    <row r="101" spans="1:25"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.75">
      <c r="H102" s="23" t="s">
        <v>118</v>
      </c>
      <c r="N102" s="26"/>
      <c r="O102" s="26"/>
      <c r="P102" s="9"/>
      <c r="Q102" s="26"/>
      <c r="R102" s="26"/>
      <c r="S102" s="26"/>
      <c r="T102" s="25"/>
      <c r="U102" s="25"/>
      <c r="V102" s="25"/>
      <c r="W102" s="25"/>
      <c r="X102" s="25"/>
    </row>
    <row r="103" spans="1:25" ht="15.75">
      <c r="J103" s="9"/>
      <c r="M103" s="25"/>
      <c r="N103" s="9"/>
      <c r="O103" s="9"/>
      <c r="P103" s="9"/>
      <c r="Q103" s="11"/>
      <c r="R103" s="11"/>
      <c r="S103" s="11"/>
    </row>
    <row r="104" spans="1:25" ht="15.75">
      <c r="H104" s="36" t="s">
        <v>81</v>
      </c>
      <c r="I104" s="60">
        <f>ONSV_AUX_2014!B27</f>
        <v>3604</v>
      </c>
      <c r="J104" s="9"/>
      <c r="K104" s="104" t="s">
        <v>119</v>
      </c>
      <c r="L104" s="104"/>
      <c r="M104" s="9"/>
      <c r="N104" s="26" t="s">
        <v>120</v>
      </c>
      <c r="O104" s="26"/>
      <c r="Q104" s="26" t="s">
        <v>121</v>
      </c>
      <c r="R104" s="26"/>
      <c r="S104" s="26"/>
      <c r="T104" s="25" t="s">
        <v>122</v>
      </c>
      <c r="U104" s="25"/>
      <c r="V104" s="25"/>
      <c r="W104" s="25"/>
      <c r="X104" s="25"/>
    </row>
    <row r="105" spans="1:25" ht="15.75">
      <c r="H105" s="36" t="s">
        <v>84</v>
      </c>
      <c r="I105" s="60">
        <f>ONSV_AUX_2014!B28</f>
        <v>61909</v>
      </c>
      <c r="J105" s="9"/>
      <c r="K105" s="9"/>
      <c r="L105" s="9"/>
      <c r="M105" s="9"/>
      <c r="N105" s="9"/>
      <c r="O105" s="9"/>
      <c r="P105" s="20"/>
      <c r="Q105" s="11"/>
      <c r="R105" s="11"/>
      <c r="S105" s="11"/>
    </row>
    <row r="106" spans="1:25" ht="15.75">
      <c r="H106" s="36" t="s">
        <v>85</v>
      </c>
      <c r="I106" s="60">
        <f>ONSV_AUX_2014!B29</f>
        <v>20615</v>
      </c>
      <c r="J106" s="9"/>
      <c r="K106" s="2" t="s">
        <v>123</v>
      </c>
      <c r="L106" s="60">
        <f>I113+I116+I117+I122</f>
        <v>94126</v>
      </c>
      <c r="N106" s="28" t="s">
        <v>124</v>
      </c>
      <c r="O106" s="60">
        <f>J113+J122</f>
        <v>70458.769840426656</v>
      </c>
      <c r="P106" s="64"/>
      <c r="Q106" s="65" t="s">
        <v>125</v>
      </c>
      <c r="R106" s="60">
        <f>J116+J117</f>
        <v>23652.230159573337</v>
      </c>
      <c r="S106" s="66"/>
      <c r="T106" s="65" t="s">
        <v>126</v>
      </c>
      <c r="U106" s="67">
        <f>O110</f>
        <v>776.60786150134822</v>
      </c>
      <c r="V106" s="48"/>
      <c r="W106" s="65" t="s">
        <v>127</v>
      </c>
      <c r="X106" s="68">
        <f>R112</f>
        <v>1891.9056053432535</v>
      </c>
    </row>
    <row r="107" spans="1:25" ht="15.75">
      <c r="H107" s="36" t="s">
        <v>101</v>
      </c>
      <c r="I107" s="60">
        <f>ONSV_AUX_2014!B30</f>
        <v>15</v>
      </c>
      <c r="J107" s="9"/>
      <c r="K107" s="27"/>
      <c r="L107" s="62"/>
      <c r="M107" s="20"/>
      <c r="N107" s="28" t="s">
        <v>128</v>
      </c>
      <c r="O107" s="69">
        <f>J113/O106</f>
        <v>0.98745565488860509</v>
      </c>
      <c r="P107" s="64"/>
      <c r="Q107" s="70" t="s">
        <v>129</v>
      </c>
      <c r="R107" s="63">
        <f>J116/R106</f>
        <v>0.84684646601285096</v>
      </c>
      <c r="S107" s="71"/>
      <c r="T107" s="65" t="s">
        <v>130</v>
      </c>
      <c r="U107" s="67">
        <f>I122-J122</f>
        <v>0.14087499734398534</v>
      </c>
      <c r="V107" s="48"/>
      <c r="W107" s="65" t="s">
        <v>131</v>
      </c>
      <c r="X107" s="68">
        <f>I117-J117</f>
        <v>0.57736438391111733</v>
      </c>
    </row>
    <row r="108" spans="1:25" ht="15.75">
      <c r="H108" s="36" t="s">
        <v>16</v>
      </c>
      <c r="I108" s="60">
        <f>ONSV_AUX_2014!B31</f>
        <v>11</v>
      </c>
      <c r="J108" s="9"/>
      <c r="K108" s="2" t="s">
        <v>132</v>
      </c>
      <c r="L108" s="63">
        <f>I113/L106</f>
        <v>0.73928563839959205</v>
      </c>
      <c r="M108" s="20"/>
      <c r="N108" s="28" t="s">
        <v>133</v>
      </c>
      <c r="O108" s="69">
        <f>J122/O106</f>
        <v>1.2544345111394921E-2</v>
      </c>
      <c r="P108" s="64"/>
      <c r="Q108" s="70" t="s">
        <v>134</v>
      </c>
      <c r="R108" s="63">
        <f>J117/R106</f>
        <v>0.15315353398714915</v>
      </c>
      <c r="S108" s="71"/>
      <c r="T108" s="65" t="s">
        <v>135</v>
      </c>
      <c r="U108" s="72">
        <f>O112</f>
        <v>107.25126350130779</v>
      </c>
      <c r="V108" s="73"/>
      <c r="W108" s="65" t="s">
        <v>136</v>
      </c>
      <c r="X108" s="72">
        <f>R115</f>
        <v>1730.5170302728354</v>
      </c>
    </row>
    <row r="109" spans="1:25" ht="15.75">
      <c r="H109" s="36" t="s">
        <v>94</v>
      </c>
      <c r="I109" s="60">
        <f>ONSV_AUX_2014!B32</f>
        <v>123994</v>
      </c>
      <c r="J109" s="10"/>
      <c r="K109" s="2" t="s">
        <v>2</v>
      </c>
      <c r="L109" s="63">
        <f>I116/L106</f>
        <v>0.21283173618341372</v>
      </c>
      <c r="M109" s="20"/>
      <c r="N109" s="20"/>
      <c r="O109" s="74"/>
      <c r="P109" s="48"/>
      <c r="Q109" s="48"/>
      <c r="R109" s="48"/>
      <c r="S109" s="48"/>
      <c r="T109" s="48"/>
      <c r="U109" s="62"/>
      <c r="V109" s="75"/>
      <c r="W109" s="48"/>
      <c r="X109" s="62"/>
    </row>
    <row r="110" spans="1:25" ht="15.75">
      <c r="K110" s="2" t="s">
        <v>3</v>
      </c>
      <c r="L110" s="63">
        <f>I117/L106</f>
        <v>3.8490958927395194E-2</v>
      </c>
      <c r="M110" s="20"/>
      <c r="N110" s="28" t="s">
        <v>137</v>
      </c>
      <c r="O110" s="60">
        <f>IF(O108*I105&gt;J122,J122,O108*I105)</f>
        <v>776.60786150134822</v>
      </c>
      <c r="P110" s="76"/>
      <c r="Q110" s="65" t="s">
        <v>138</v>
      </c>
      <c r="R110" s="60">
        <f>I106-I114-I115-I118-I121</f>
        <v>12353</v>
      </c>
      <c r="S110" s="77"/>
      <c r="T110" s="65" t="s">
        <v>139</v>
      </c>
      <c r="U110" s="67">
        <f>O118</f>
        <v>61132.392138498653</v>
      </c>
      <c r="V110" s="76"/>
      <c r="W110" s="65" t="s">
        <v>140</v>
      </c>
      <c r="X110" s="67">
        <f>I114</f>
        <v>6404</v>
      </c>
    </row>
    <row r="111" spans="1:25" ht="15.75">
      <c r="H111" s="24" t="s">
        <v>141</v>
      </c>
      <c r="K111" s="2" t="s">
        <v>0</v>
      </c>
      <c r="L111" s="63">
        <f>I122/L106</f>
        <v>9.3916664895990487E-3</v>
      </c>
      <c r="O111" s="48"/>
      <c r="P111" s="76"/>
      <c r="Q111" s="65" t="s">
        <v>142</v>
      </c>
      <c r="R111" s="60">
        <f>R107*R110</f>
        <v>10461.094394656748</v>
      </c>
      <c r="S111" s="48"/>
      <c r="T111" s="65" t="s">
        <v>143</v>
      </c>
      <c r="U111" s="67">
        <f>O116</f>
        <v>3604</v>
      </c>
      <c r="V111" s="66"/>
      <c r="W111" s="65" t="s">
        <v>144</v>
      </c>
      <c r="X111" s="67">
        <f>I115</f>
        <v>615</v>
      </c>
    </row>
    <row r="112" spans="1:25" ht="15.75">
      <c r="K112" s="11"/>
      <c r="L112" s="11"/>
      <c r="M112" s="11"/>
      <c r="N112" s="28" t="s">
        <v>145</v>
      </c>
      <c r="O112" s="60">
        <f>J122-O110</f>
        <v>107.25126350130779</v>
      </c>
      <c r="P112" s="76"/>
      <c r="Q112" s="65" t="s">
        <v>127</v>
      </c>
      <c r="R112" s="60">
        <f>R108*R110</f>
        <v>1891.9056053432535</v>
      </c>
      <c r="S112" s="48"/>
      <c r="T112" s="65" t="s">
        <v>146</v>
      </c>
      <c r="U112" s="67">
        <f>O117</f>
        <v>11</v>
      </c>
      <c r="V112" s="71"/>
      <c r="W112" s="48"/>
      <c r="X112" s="62"/>
    </row>
    <row r="113" spans="8:24" ht="15.75">
      <c r="H113" s="37" t="s">
        <v>103</v>
      </c>
      <c r="I113" s="60">
        <f>ONSV_AUX_2014!B56</f>
        <v>69586</v>
      </c>
      <c r="J113" s="61">
        <f>I113-(L108*I107)</f>
        <v>69574.910715424005</v>
      </c>
      <c r="K113" s="11"/>
      <c r="L113" s="11"/>
      <c r="M113" s="11"/>
      <c r="O113" s="76"/>
      <c r="P113" s="76"/>
      <c r="Q113" s="48"/>
      <c r="R113" s="78"/>
      <c r="S113" s="48"/>
      <c r="T113" s="65" t="s">
        <v>147</v>
      </c>
      <c r="U113" s="68">
        <f>I113-J113</f>
        <v>11.089284575995407</v>
      </c>
      <c r="V113" s="71"/>
      <c r="W113" s="65" t="s">
        <v>148</v>
      </c>
      <c r="X113" s="67">
        <f>I121</f>
        <v>940</v>
      </c>
    </row>
    <row r="114" spans="8:24" ht="15.75">
      <c r="H114" s="37" t="s">
        <v>104</v>
      </c>
      <c r="I114" s="60">
        <f>ONSV_AUX_2014!B57</f>
        <v>6404</v>
      </c>
      <c r="J114" s="10">
        <f>I114</f>
        <v>6404</v>
      </c>
      <c r="K114" s="11"/>
      <c r="L114" s="11"/>
      <c r="M114" s="11"/>
      <c r="N114" s="26" t="s">
        <v>149</v>
      </c>
      <c r="O114" s="76"/>
      <c r="P114" s="76"/>
      <c r="Q114" s="65" t="s">
        <v>150</v>
      </c>
      <c r="R114" s="60">
        <f>J116-R111</f>
        <v>9568.7131293005023</v>
      </c>
      <c r="S114" s="48"/>
      <c r="T114" s="65" t="s">
        <v>151</v>
      </c>
      <c r="U114" s="72">
        <f>O119</f>
        <v>4827.5185769253512</v>
      </c>
      <c r="V114" s="48"/>
      <c r="W114" s="65" t="s">
        <v>152</v>
      </c>
      <c r="X114" s="67">
        <f>I118</f>
        <v>303</v>
      </c>
    </row>
    <row r="115" spans="8:24" ht="15.75">
      <c r="H115" s="37" t="s">
        <v>105</v>
      </c>
      <c r="I115" s="60">
        <f>ONSV_AUX_2014!B58</f>
        <v>615</v>
      </c>
      <c r="J115" s="10">
        <f>I115</f>
        <v>615</v>
      </c>
      <c r="K115" s="11"/>
      <c r="L115" s="11"/>
      <c r="M115" s="11"/>
      <c r="O115" s="73"/>
      <c r="P115" s="76"/>
      <c r="Q115" s="65" t="s">
        <v>136</v>
      </c>
      <c r="R115" s="60">
        <f>J117-R112</f>
        <v>1730.5170302728354</v>
      </c>
      <c r="S115" s="48"/>
      <c r="T115" s="48"/>
      <c r="U115" s="62"/>
      <c r="V115" s="77"/>
      <c r="W115" s="48"/>
      <c r="X115" s="62"/>
    </row>
    <row r="116" spans="8:24" ht="15.75">
      <c r="H116" s="37" t="s">
        <v>106</v>
      </c>
      <c r="I116" s="60">
        <f>ONSV_AUX_2014!B59</f>
        <v>20033</v>
      </c>
      <c r="J116" s="61">
        <f>I116-(L109*I107)</f>
        <v>20029.80752395725</v>
      </c>
      <c r="K116" s="11"/>
      <c r="L116" s="11"/>
      <c r="M116" s="11"/>
      <c r="N116" s="28" t="s">
        <v>143</v>
      </c>
      <c r="O116" s="60">
        <f>I104</f>
        <v>3604</v>
      </c>
      <c r="P116" s="76"/>
      <c r="Q116" s="48"/>
      <c r="R116" s="48"/>
      <c r="S116" s="77"/>
      <c r="T116" s="65" t="s">
        <v>142</v>
      </c>
      <c r="U116" s="68">
        <f>R111</f>
        <v>10461.094394656748</v>
      </c>
      <c r="V116" s="48"/>
      <c r="W116" s="65" t="s">
        <v>153</v>
      </c>
      <c r="X116" s="67">
        <f>I119</f>
        <v>89369</v>
      </c>
    </row>
    <row r="117" spans="8:24" ht="15.75">
      <c r="H117" s="37" t="s">
        <v>107</v>
      </c>
      <c r="I117" s="60">
        <f>ONSV_AUX_2014!B60</f>
        <v>3623</v>
      </c>
      <c r="J117" s="61">
        <f>I117-(L110*I107)</f>
        <v>3622.4226356160889</v>
      </c>
      <c r="K117" s="11"/>
      <c r="L117" s="11"/>
      <c r="M117" s="11"/>
      <c r="N117" s="28" t="s">
        <v>146</v>
      </c>
      <c r="O117" s="60">
        <f>I108</f>
        <v>11</v>
      </c>
      <c r="P117" s="76"/>
      <c r="Q117" s="48"/>
      <c r="R117" s="48"/>
      <c r="S117" s="48"/>
      <c r="T117" s="65" t="s">
        <v>154</v>
      </c>
      <c r="U117" s="68">
        <f>I116-J116</f>
        <v>3.1924760427500587</v>
      </c>
      <c r="V117" s="48"/>
      <c r="W117" s="65" t="s">
        <v>155</v>
      </c>
      <c r="X117" s="67">
        <f>I120</f>
        <v>18190</v>
      </c>
    </row>
    <row r="118" spans="8:24" ht="15.75">
      <c r="H118" s="37" t="s">
        <v>108</v>
      </c>
      <c r="I118" s="60">
        <f>ONSV_AUX_2014!B61</f>
        <v>303</v>
      </c>
      <c r="J118" s="10">
        <f>I118</f>
        <v>303</v>
      </c>
      <c r="K118" s="11"/>
      <c r="L118" s="11"/>
      <c r="M118" s="11"/>
      <c r="N118" s="28" t="s">
        <v>139</v>
      </c>
      <c r="O118" s="60">
        <f>IF(OR((O107*I105&gt;J113),((O116+O117+(O107*I105))&gt;J113)),(J113-O116-O117),(O107*I105))</f>
        <v>61132.392138498653</v>
      </c>
      <c r="P118" s="76"/>
      <c r="Q118" s="48"/>
      <c r="R118" s="78"/>
      <c r="S118" s="48"/>
      <c r="T118" s="65" t="s">
        <v>150</v>
      </c>
      <c r="U118" s="72">
        <f>R114</f>
        <v>9568.7131293005023</v>
      </c>
      <c r="V118" s="48"/>
      <c r="W118" s="48"/>
      <c r="X118" s="48"/>
    </row>
    <row r="119" spans="8:24" ht="15.75">
      <c r="H119" s="37" t="s">
        <v>109</v>
      </c>
      <c r="I119" s="60">
        <f>ONSV_AUX_2014!B62</f>
        <v>89369</v>
      </c>
      <c r="J119" s="10">
        <f t="shared" ref="J119:J121" si="4">I119</f>
        <v>89369</v>
      </c>
      <c r="K119" s="11"/>
      <c r="L119" s="11"/>
      <c r="M119" s="11"/>
      <c r="N119" s="28" t="s">
        <v>151</v>
      </c>
      <c r="O119" s="60">
        <f>IF((J113-O116-O118-O117)&lt;0,0,(J113-O116-O118-O117))</f>
        <v>4827.5185769253512</v>
      </c>
      <c r="P119" s="48"/>
      <c r="Q119" s="48"/>
      <c r="R119" s="48"/>
      <c r="S119" s="48"/>
      <c r="T119" s="48"/>
      <c r="U119" s="62"/>
      <c r="V119" s="48"/>
      <c r="W119" s="48"/>
      <c r="X119" s="48"/>
    </row>
    <row r="120" spans="8:24" ht="15.75">
      <c r="H120" s="37" t="s">
        <v>110</v>
      </c>
      <c r="I120" s="60">
        <f>ONSV_AUX_2014!B63</f>
        <v>18190</v>
      </c>
      <c r="J120" s="10">
        <f t="shared" si="4"/>
        <v>18190</v>
      </c>
      <c r="K120" s="11"/>
      <c r="L120" s="11"/>
      <c r="M120" s="11"/>
      <c r="O120" s="48"/>
      <c r="P120" s="76"/>
      <c r="Q120" s="48"/>
      <c r="R120" s="48"/>
      <c r="S120" s="48"/>
      <c r="T120" s="79" t="s">
        <v>156</v>
      </c>
      <c r="U120" s="80">
        <f>(SUM(U106:U118,X106:X117)/SUM(I113:I122))-1</f>
        <v>0</v>
      </c>
      <c r="V120" s="48"/>
      <c r="W120" s="79" t="s">
        <v>10</v>
      </c>
      <c r="X120" s="67">
        <f>SUM(U106:U118,X106:X117)</f>
        <v>209947</v>
      </c>
    </row>
    <row r="121" spans="8:24" ht="15.75">
      <c r="H121" s="37" t="s">
        <v>111</v>
      </c>
      <c r="I121" s="60">
        <f>ONSV_AUX_2014!B64</f>
        <v>940</v>
      </c>
      <c r="J121" s="10">
        <f t="shared" si="4"/>
        <v>940</v>
      </c>
      <c r="K121" s="11"/>
      <c r="L121" s="11"/>
      <c r="M121" s="11"/>
      <c r="O121" s="48"/>
      <c r="P121" s="76"/>
      <c r="Q121" s="48"/>
      <c r="R121" s="48"/>
      <c r="S121" s="48"/>
      <c r="T121" s="48"/>
      <c r="U121" s="48"/>
      <c r="V121" s="48"/>
      <c r="W121" s="48"/>
      <c r="X121" s="48"/>
    </row>
    <row r="122" spans="8:24" ht="15.75">
      <c r="H122" s="37" t="s">
        <v>112</v>
      </c>
      <c r="I122" s="60">
        <f>ONSV_AUX_2014!B65</f>
        <v>884</v>
      </c>
      <c r="J122" s="61">
        <f>I122-(L111*I107)</f>
        <v>883.85912500265601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K104:L104"/>
    <mergeCell ref="K29:L29"/>
    <mergeCell ref="K54:L54"/>
    <mergeCell ref="A50:F50"/>
    <mergeCell ref="T27:X27"/>
    <mergeCell ref="T52:X52"/>
    <mergeCell ref="A75:F75"/>
    <mergeCell ref="K79:L79"/>
    <mergeCell ref="A1:F1"/>
    <mergeCell ref="Q4:R4"/>
    <mergeCell ref="T4:X4"/>
    <mergeCell ref="K5:L5"/>
    <mergeCell ref="A100:F100"/>
    <mergeCell ref="A25:F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A1:Y122"/>
  <sheetViews>
    <sheetView showGridLines="0" topLeftCell="A85" zoomScale="90" zoomScaleNormal="90" workbookViewId="0">
      <selection activeCell="E52" sqref="E52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</cols>
  <sheetData>
    <row r="1" spans="1:24" s="31" customFormat="1" ht="15.75">
      <c r="A1" s="101" t="str">
        <f>"ALAGOAS/"&amp;ONSV_AUX_2018!$A$1&amp;""</f>
        <v>ALAGOAS/2018</v>
      </c>
      <c r="B1" s="102"/>
      <c r="C1" s="102"/>
      <c r="D1" s="102"/>
      <c r="E1" s="102"/>
      <c r="F1" s="102"/>
    </row>
    <row r="2" spans="1:24" s="4" customFormat="1" ht="15.75">
      <c r="A2" s="32"/>
      <c r="B2" s="32"/>
      <c r="C2" s="32"/>
      <c r="D2" s="32"/>
      <c r="E2" s="32"/>
      <c r="F2" s="32"/>
    </row>
    <row r="3" spans="1:24" ht="15.75">
      <c r="A3" s="12"/>
      <c r="H3" s="23" t="s">
        <v>118</v>
      </c>
    </row>
    <row r="4" spans="1:24" ht="15.75">
      <c r="B4" s="5"/>
      <c r="J4" s="9"/>
      <c r="M4" s="25"/>
      <c r="N4" s="25"/>
      <c r="O4" s="25"/>
      <c r="P4" s="25"/>
      <c r="Q4" s="103"/>
      <c r="R4" s="103"/>
      <c r="S4" s="22"/>
      <c r="T4" s="104"/>
      <c r="U4" s="104"/>
      <c r="V4" s="104"/>
      <c r="W4" s="104"/>
      <c r="X4" s="104"/>
    </row>
    <row r="5" spans="1:24" ht="15.75">
      <c r="H5" s="36" t="s">
        <v>81</v>
      </c>
      <c r="I5" s="60">
        <f>ONSV_AUX_2018!C27</f>
        <v>24121</v>
      </c>
      <c r="J5" s="9"/>
      <c r="K5" s="104" t="s">
        <v>119</v>
      </c>
      <c r="L5" s="104"/>
      <c r="M5" s="9"/>
      <c r="N5" s="26" t="s">
        <v>120</v>
      </c>
      <c r="O5" s="26"/>
      <c r="Q5" s="26" t="s">
        <v>121</v>
      </c>
      <c r="R5" s="26"/>
      <c r="S5" s="26"/>
      <c r="T5" s="25" t="s">
        <v>122</v>
      </c>
      <c r="U5" s="25"/>
      <c r="V5" s="25"/>
      <c r="W5" s="25"/>
      <c r="X5" s="25"/>
    </row>
    <row r="6" spans="1:24" ht="15.75">
      <c r="H6" s="36" t="s">
        <v>84</v>
      </c>
      <c r="I6" s="60">
        <f>ONSV_AUX_2018!C28</f>
        <v>344109</v>
      </c>
      <c r="J6" s="9"/>
      <c r="K6" s="9"/>
      <c r="L6" s="9"/>
      <c r="M6" s="9"/>
      <c r="N6" s="9"/>
      <c r="O6" s="9"/>
      <c r="P6" s="20"/>
      <c r="Q6" s="11"/>
      <c r="R6" s="11"/>
      <c r="S6" s="11"/>
    </row>
    <row r="7" spans="1:24" ht="15.75">
      <c r="H7" s="36" t="s">
        <v>85</v>
      </c>
      <c r="I7" s="60">
        <f>ONSV_AUX_2018!C29</f>
        <v>63748</v>
      </c>
      <c r="J7" s="9"/>
      <c r="K7" s="2" t="s">
        <v>123</v>
      </c>
      <c r="L7" s="60">
        <f>I14+I17+I18+I23</f>
        <v>428286</v>
      </c>
      <c r="N7" s="28" t="s">
        <v>124</v>
      </c>
      <c r="O7" s="60">
        <f>J14+J23</f>
        <v>353868.16906459705</v>
      </c>
      <c r="P7" s="64"/>
      <c r="Q7" s="65" t="s">
        <v>125</v>
      </c>
      <c r="R7" s="60">
        <f>J17+J18</f>
        <v>74393.830935402977</v>
      </c>
      <c r="S7" s="66"/>
      <c r="T7" s="65" t="s">
        <v>126</v>
      </c>
      <c r="U7" s="67">
        <f>O11</f>
        <v>5643.6178564969696</v>
      </c>
      <c r="V7" s="48"/>
      <c r="W7" s="65" t="s">
        <v>127</v>
      </c>
      <c r="X7" s="68">
        <f>R13</f>
        <v>7303.2286620608074</v>
      </c>
    </row>
    <row r="8" spans="1:24" ht="15.75">
      <c r="H8" s="36" t="s">
        <v>101</v>
      </c>
      <c r="I8" s="60">
        <f>ONSV_AUX_2018!C30</f>
        <v>24</v>
      </c>
      <c r="J8" s="9"/>
      <c r="K8" s="27"/>
      <c r="L8" s="62"/>
      <c r="M8" s="20"/>
      <c r="N8" s="28" t="s">
        <v>128</v>
      </c>
      <c r="O8" s="69">
        <f>J14/O7</f>
        <v>0.98359933086174156</v>
      </c>
      <c r="P8" s="64"/>
      <c r="Q8" s="70" t="s">
        <v>129</v>
      </c>
      <c r="R8" s="63">
        <f>J17/R7</f>
        <v>0.71960267749133044</v>
      </c>
      <c r="S8" s="71"/>
      <c r="T8" s="65" t="s">
        <v>130</v>
      </c>
      <c r="U8" s="67">
        <f>I23-J23</f>
        <v>0.32524061024651019</v>
      </c>
      <c r="V8" s="48"/>
      <c r="W8" s="65" t="s">
        <v>131</v>
      </c>
      <c r="X8" s="68">
        <f>I18-J18</f>
        <v>1.1689945503712806</v>
      </c>
    </row>
    <row r="9" spans="1:24" ht="15.75">
      <c r="H9" s="36" t="s">
        <v>16</v>
      </c>
      <c r="I9" s="60">
        <f>ONSV_AUX_2018!C31</f>
        <v>19854</v>
      </c>
      <c r="J9" s="9"/>
      <c r="K9" s="2" t="s">
        <v>132</v>
      </c>
      <c r="L9" s="63">
        <f>I14/L7</f>
        <v>0.8127372830304983</v>
      </c>
      <c r="M9" s="20"/>
      <c r="N9" s="28" t="s">
        <v>133</v>
      </c>
      <c r="O9" s="69">
        <f>J23/O7</f>
        <v>1.6400669138258429E-2</v>
      </c>
      <c r="P9" s="64"/>
      <c r="Q9" s="70" t="s">
        <v>134</v>
      </c>
      <c r="R9" s="63">
        <f>J18/R7</f>
        <v>0.28039732250866956</v>
      </c>
      <c r="S9" s="71"/>
      <c r="T9" s="65" t="s">
        <v>135</v>
      </c>
      <c r="U9" s="72">
        <f>O13</f>
        <v>160.05690289278391</v>
      </c>
      <c r="V9" s="73"/>
      <c r="W9" s="65" t="s">
        <v>136</v>
      </c>
      <c r="X9" s="72">
        <f>R16</f>
        <v>13556.602343388822</v>
      </c>
    </row>
    <row r="10" spans="1:24" ht="15.75">
      <c r="H10" s="36" t="s">
        <v>94</v>
      </c>
      <c r="I10" s="60">
        <f>ONSV_AUX_2018!C32</f>
        <v>333601</v>
      </c>
      <c r="J10" s="10"/>
      <c r="K10" s="2" t="s">
        <v>2</v>
      </c>
      <c r="L10" s="63">
        <f>I17/L7</f>
        <v>0.12500291861046123</v>
      </c>
      <c r="M10" s="20"/>
      <c r="N10" s="20"/>
      <c r="O10" s="74"/>
      <c r="P10" s="48"/>
      <c r="Q10" s="48"/>
      <c r="R10" s="48"/>
      <c r="S10" s="48"/>
      <c r="T10" s="48"/>
      <c r="U10" s="62"/>
      <c r="V10" s="75"/>
      <c r="W10" s="48"/>
      <c r="X10" s="62"/>
    </row>
    <row r="11" spans="1:24" ht="15.75">
      <c r="K11" s="2" t="s">
        <v>3</v>
      </c>
      <c r="L11" s="63">
        <f>I18/L7</f>
        <v>4.8708106265439449E-2</v>
      </c>
      <c r="M11" s="20"/>
      <c r="N11" s="28" t="s">
        <v>137</v>
      </c>
      <c r="O11" s="60">
        <f>IF(O9*I6&gt;J23,J23,O9*I6)</f>
        <v>5643.6178564969696</v>
      </c>
      <c r="P11" s="76"/>
      <c r="Q11" s="65" t="s">
        <v>138</v>
      </c>
      <c r="R11" s="60">
        <f>I7-I15-I16-I19-I22</f>
        <v>26046</v>
      </c>
      <c r="S11" s="77"/>
      <c r="T11" s="65" t="s">
        <v>139</v>
      </c>
      <c r="U11" s="67">
        <f>O19</f>
        <v>304089.49430520728</v>
      </c>
      <c r="V11" s="76"/>
      <c r="W11" s="65" t="s">
        <v>140</v>
      </c>
      <c r="X11" s="67">
        <f>I15</f>
        <v>21251</v>
      </c>
    </row>
    <row r="12" spans="1:24" ht="15.75">
      <c r="H12" s="24" t="s">
        <v>141</v>
      </c>
      <c r="K12" s="2" t="s">
        <v>0</v>
      </c>
      <c r="L12" s="63">
        <f>I23/L7</f>
        <v>1.3551692093601004E-2</v>
      </c>
      <c r="O12" s="48"/>
      <c r="P12" s="76"/>
      <c r="Q12" s="65" t="s">
        <v>142</v>
      </c>
      <c r="R12" s="60">
        <f>R8*R11</f>
        <v>18742.771337939193</v>
      </c>
      <c r="S12" s="48"/>
      <c r="T12" s="65" t="s">
        <v>143</v>
      </c>
      <c r="U12" s="67">
        <f>O17</f>
        <v>24121</v>
      </c>
      <c r="V12" s="66"/>
      <c r="W12" s="65" t="s">
        <v>144</v>
      </c>
      <c r="X12" s="67">
        <f>I16</f>
        <v>2398</v>
      </c>
    </row>
    <row r="13" spans="1:24" ht="15.75">
      <c r="K13" s="11"/>
      <c r="L13" s="11"/>
      <c r="M13" s="11"/>
      <c r="N13" s="28" t="s">
        <v>145</v>
      </c>
      <c r="O13" s="60">
        <f>J23-O11</f>
        <v>160.05690289278391</v>
      </c>
      <c r="P13" s="76"/>
      <c r="Q13" s="65" t="s">
        <v>127</v>
      </c>
      <c r="R13" s="60">
        <f>R9*R11</f>
        <v>7303.2286620608074</v>
      </c>
      <c r="S13" s="48"/>
      <c r="T13" s="65" t="s">
        <v>146</v>
      </c>
      <c r="U13" s="67">
        <f>O18</f>
        <v>19854</v>
      </c>
      <c r="V13" s="71"/>
      <c r="W13" s="48"/>
      <c r="X13" s="62"/>
    </row>
    <row r="14" spans="1:24" ht="15.75">
      <c r="H14" s="37" t="s">
        <v>103</v>
      </c>
      <c r="I14" s="60">
        <f>ONSV_AUX_2018!C56</f>
        <v>348084</v>
      </c>
      <c r="J14" s="61">
        <f>I14-(L9*I8)</f>
        <v>348064.49430520728</v>
      </c>
      <c r="K14" s="11"/>
      <c r="L14" s="11"/>
      <c r="M14" s="11"/>
      <c r="O14" s="76"/>
      <c r="P14" s="76"/>
      <c r="Q14" s="48"/>
      <c r="R14" s="78"/>
      <c r="S14" s="48"/>
      <c r="T14" s="65" t="s">
        <v>147</v>
      </c>
      <c r="U14" s="68">
        <f>I14-J14</f>
        <v>19.505694792722352</v>
      </c>
      <c r="V14" s="71"/>
      <c r="W14" s="65" t="s">
        <v>148</v>
      </c>
      <c r="X14" s="67">
        <f>I22</f>
        <v>7557</v>
      </c>
    </row>
    <row r="15" spans="1:24" ht="15.75">
      <c r="H15" s="37" t="s">
        <v>104</v>
      </c>
      <c r="I15" s="60">
        <f>ONSV_AUX_2018!C57</f>
        <v>21251</v>
      </c>
      <c r="J15" s="10">
        <f>I15</f>
        <v>21251</v>
      </c>
      <c r="K15" s="11"/>
      <c r="L15" s="11"/>
      <c r="M15" s="11"/>
      <c r="N15" s="26" t="s">
        <v>149</v>
      </c>
      <c r="O15" s="76"/>
      <c r="P15" s="76"/>
      <c r="Q15" s="65" t="s">
        <v>150</v>
      </c>
      <c r="R15" s="60">
        <f>J17-R12</f>
        <v>34791.228592014158</v>
      </c>
      <c r="S15" s="48"/>
      <c r="T15" s="65" t="s">
        <v>151</v>
      </c>
      <c r="U15" s="72">
        <f>O20</f>
        <v>0</v>
      </c>
      <c r="V15" s="48"/>
      <c r="W15" s="65" t="s">
        <v>152</v>
      </c>
      <c r="X15" s="67">
        <f>I19</f>
        <v>6496</v>
      </c>
    </row>
    <row r="16" spans="1:24" ht="15.75">
      <c r="H16" s="37" t="s">
        <v>105</v>
      </c>
      <c r="I16" s="60">
        <f>ONSV_AUX_2018!C58</f>
        <v>2398</v>
      </c>
      <c r="J16" s="10">
        <f>I16</f>
        <v>2398</v>
      </c>
      <c r="K16" s="11"/>
      <c r="L16" s="11"/>
      <c r="M16" s="11"/>
      <c r="O16" s="73"/>
      <c r="P16" s="76"/>
      <c r="Q16" s="65" t="s">
        <v>136</v>
      </c>
      <c r="R16" s="60">
        <f>J18-R13</f>
        <v>13556.602343388822</v>
      </c>
      <c r="S16" s="48"/>
      <c r="T16" s="48"/>
      <c r="U16" s="62"/>
      <c r="V16" s="77"/>
      <c r="W16" s="48"/>
      <c r="X16" s="62"/>
    </row>
    <row r="17" spans="1:24" ht="15.75">
      <c r="H17" s="37" t="s">
        <v>106</v>
      </c>
      <c r="I17" s="60">
        <f>ONSV_AUX_2018!C59</f>
        <v>53537</v>
      </c>
      <c r="J17" s="61">
        <f>I17-(L10*I8)</f>
        <v>53533.999929953352</v>
      </c>
      <c r="K17" s="11"/>
      <c r="L17" s="11"/>
      <c r="M17" s="11"/>
      <c r="N17" s="28" t="s">
        <v>143</v>
      </c>
      <c r="O17" s="60">
        <f>I5</f>
        <v>24121</v>
      </c>
      <c r="P17" s="76"/>
      <c r="Q17" s="48"/>
      <c r="R17" s="48"/>
      <c r="S17" s="77"/>
      <c r="T17" s="65" t="s">
        <v>142</v>
      </c>
      <c r="U17" s="68">
        <f>R12</f>
        <v>18742.771337939193</v>
      </c>
      <c r="V17" s="48"/>
      <c r="W17" s="65" t="s">
        <v>153</v>
      </c>
      <c r="X17" s="67">
        <f>I20</f>
        <v>281025</v>
      </c>
    </row>
    <row r="18" spans="1:24" ht="15.75">
      <c r="H18" s="37" t="s">
        <v>107</v>
      </c>
      <c r="I18" s="60">
        <f>ONSV_AUX_2018!C60</f>
        <v>20861</v>
      </c>
      <c r="J18" s="61">
        <f>I18-(L11*I8)</f>
        <v>20859.831005449629</v>
      </c>
      <c r="K18" s="11"/>
      <c r="L18" s="11"/>
      <c r="M18" s="11"/>
      <c r="N18" s="28" t="s">
        <v>146</v>
      </c>
      <c r="O18" s="60">
        <f>I9</f>
        <v>19854</v>
      </c>
      <c r="P18" s="76"/>
      <c r="Q18" s="48"/>
      <c r="R18" s="48"/>
      <c r="S18" s="48"/>
      <c r="T18" s="65" t="s">
        <v>154</v>
      </c>
      <c r="U18" s="68">
        <f>I17-J17</f>
        <v>3.0000700466480339</v>
      </c>
      <c r="V18" s="48"/>
      <c r="W18" s="65" t="s">
        <v>155</v>
      </c>
      <c r="X18" s="67">
        <f>I21</f>
        <v>39293</v>
      </c>
    </row>
    <row r="19" spans="1:24" ht="15.75">
      <c r="H19" s="37" t="s">
        <v>108</v>
      </c>
      <c r="I19" s="60">
        <f>ONSV_AUX_2018!C61</f>
        <v>6496</v>
      </c>
      <c r="J19" s="10">
        <f>I19</f>
        <v>6496</v>
      </c>
      <c r="K19" s="11"/>
      <c r="L19" s="11"/>
      <c r="M19" s="11"/>
      <c r="N19" s="28" t="s">
        <v>139</v>
      </c>
      <c r="O19" s="60">
        <f>IF(OR((O8*I6&gt;J14),((O17+O18+(O8*I6))&gt;J14)),(J14-O17-O18),(O8*I6))</f>
        <v>304089.49430520728</v>
      </c>
      <c r="P19" s="76"/>
      <c r="Q19" s="48"/>
      <c r="R19" s="78"/>
      <c r="S19" s="48"/>
      <c r="T19" s="65" t="s">
        <v>150</v>
      </c>
      <c r="U19" s="72">
        <f>R15</f>
        <v>34791.228592014158</v>
      </c>
      <c r="V19" s="48"/>
      <c r="W19" s="48"/>
      <c r="X19" s="48"/>
    </row>
    <row r="20" spans="1:24" ht="15.75">
      <c r="H20" s="37" t="s">
        <v>109</v>
      </c>
      <c r="I20" s="60">
        <f>ONSV_AUX_2018!C62</f>
        <v>281025</v>
      </c>
      <c r="J20" s="10">
        <f t="shared" ref="J20:J22" si="0">I20</f>
        <v>281025</v>
      </c>
      <c r="K20" s="11"/>
      <c r="L20" s="11"/>
      <c r="M20" s="11"/>
      <c r="N20" s="28" t="s">
        <v>151</v>
      </c>
      <c r="O20" s="60">
        <f>IF((J14-O17-O19-O18)&lt;0,0,(J14-O17-O19-O18))</f>
        <v>0</v>
      </c>
      <c r="P20" s="48"/>
      <c r="Q20" s="48"/>
      <c r="R20" s="48"/>
      <c r="S20" s="48"/>
      <c r="T20" s="48"/>
      <c r="U20" s="62"/>
      <c r="V20" s="48"/>
      <c r="W20" s="48"/>
      <c r="X20" s="48"/>
    </row>
    <row r="21" spans="1:24" ht="15.75">
      <c r="H21" s="37" t="s">
        <v>110</v>
      </c>
      <c r="I21" s="60">
        <f>ONSV_AUX_2018!C63</f>
        <v>39293</v>
      </c>
      <c r="J21" s="10">
        <f t="shared" si="0"/>
        <v>39293</v>
      </c>
      <c r="K21" s="11"/>
      <c r="L21" s="11"/>
      <c r="M21" s="11"/>
      <c r="O21" s="48"/>
      <c r="P21" s="76"/>
      <c r="Q21" s="48"/>
      <c r="R21" s="48"/>
      <c r="S21" s="48"/>
      <c r="T21" s="79" t="s">
        <v>156</v>
      </c>
      <c r="U21" s="80">
        <f>(SUM(U7:U19,X7:X18)/SUM(I14:I23))-1</f>
        <v>0</v>
      </c>
      <c r="V21" s="48"/>
      <c r="W21" s="79" t="s">
        <v>10</v>
      </c>
      <c r="X21" s="67">
        <f>SUM(U7:U19,X7:X18)</f>
        <v>786306</v>
      </c>
    </row>
    <row r="22" spans="1:24" ht="15.75">
      <c r="H22" s="37" t="s">
        <v>111</v>
      </c>
      <c r="I22" s="60">
        <f>ONSV_AUX_2018!C64</f>
        <v>7557</v>
      </c>
      <c r="J22" s="10">
        <f t="shared" si="0"/>
        <v>7557</v>
      </c>
      <c r="K22" s="11"/>
      <c r="L22" s="11"/>
      <c r="M22" s="11"/>
      <c r="O22" s="48"/>
      <c r="P22" s="76"/>
      <c r="Q22" s="48"/>
      <c r="R22" s="48"/>
      <c r="S22" s="48"/>
      <c r="T22" s="48"/>
      <c r="U22" s="48"/>
      <c r="V22" s="48"/>
      <c r="W22" s="48"/>
      <c r="X22" s="48"/>
    </row>
    <row r="23" spans="1:24" ht="15.75">
      <c r="H23" s="37" t="s">
        <v>112</v>
      </c>
      <c r="I23" s="60">
        <f>ONSV_AUX_2018!C65</f>
        <v>5804</v>
      </c>
      <c r="J23" s="61">
        <f>I23-(L12*I8)</f>
        <v>5803.6747593897535</v>
      </c>
      <c r="K23" s="12"/>
      <c r="L23" s="12"/>
      <c r="M23" s="12"/>
      <c r="N23" s="12"/>
      <c r="O23" s="12"/>
      <c r="P23" s="12"/>
      <c r="Q23" s="4"/>
      <c r="R23" s="4"/>
    </row>
    <row r="25" spans="1:24" s="31" customFormat="1" ht="15.75">
      <c r="A25" s="101" t="str">
        <f>"ALAGOAS/"&amp;ONSV_AUX_2017!$A$1&amp;""</f>
        <v>ALAGOAS/2017</v>
      </c>
      <c r="B25" s="102"/>
      <c r="C25" s="102"/>
      <c r="D25" s="102"/>
      <c r="E25" s="102"/>
      <c r="F25" s="102"/>
    </row>
    <row r="26" spans="1:24" s="4" customFormat="1" ht="15.75">
      <c r="A26" s="32"/>
      <c r="B26" s="32"/>
      <c r="C26" s="32"/>
      <c r="D26" s="32"/>
      <c r="E26" s="32"/>
      <c r="F26" s="32"/>
    </row>
    <row r="27" spans="1:24" ht="15.75">
      <c r="A27" s="12"/>
      <c r="H27" s="23" t="s">
        <v>118</v>
      </c>
      <c r="N27" s="26"/>
      <c r="O27" s="26"/>
      <c r="P27" s="9"/>
      <c r="Q27" s="26"/>
      <c r="R27" s="26"/>
      <c r="S27" s="26"/>
      <c r="T27" s="104"/>
      <c r="U27" s="104"/>
      <c r="V27" s="104"/>
      <c r="W27" s="104"/>
      <c r="X27" s="104"/>
    </row>
    <row r="28" spans="1:24" ht="15.75">
      <c r="B28" s="5"/>
      <c r="J28" s="9"/>
      <c r="M28" s="25"/>
    </row>
    <row r="29" spans="1:24" ht="15.75">
      <c r="H29" s="36" t="s">
        <v>81</v>
      </c>
      <c r="I29" s="60">
        <f>ONSV_AUX_2017!C27</f>
        <v>24057</v>
      </c>
      <c r="J29" s="9"/>
      <c r="K29" s="104" t="s">
        <v>119</v>
      </c>
      <c r="L29" s="104"/>
      <c r="M29" s="9"/>
      <c r="N29" s="26" t="s">
        <v>120</v>
      </c>
      <c r="O29" s="26"/>
      <c r="Q29" s="26" t="s">
        <v>121</v>
      </c>
      <c r="R29" s="26"/>
      <c r="S29" s="26"/>
      <c r="T29" s="25" t="s">
        <v>122</v>
      </c>
      <c r="U29" s="25"/>
      <c r="V29" s="25"/>
      <c r="W29" s="25"/>
      <c r="X29" s="25"/>
    </row>
    <row r="30" spans="1:24" ht="15.75">
      <c r="H30" s="36" t="s">
        <v>84</v>
      </c>
      <c r="I30" s="60">
        <f>ONSV_AUX_2017!C28</f>
        <v>319954</v>
      </c>
      <c r="J30" s="9"/>
      <c r="K30" s="9"/>
      <c r="L30" s="9"/>
      <c r="M30" s="9"/>
      <c r="N30" s="9"/>
      <c r="O30" s="9"/>
      <c r="P30" s="20"/>
      <c r="Q30" s="11"/>
      <c r="R30" s="11"/>
      <c r="S30" s="11"/>
    </row>
    <row r="31" spans="1:24" ht="15.75">
      <c r="H31" s="36" t="s">
        <v>85</v>
      </c>
      <c r="I31" s="60">
        <f>ONSV_AUX_2017!C29</f>
        <v>61163</v>
      </c>
      <c r="J31" s="9"/>
      <c r="K31" s="2" t="s">
        <v>123</v>
      </c>
      <c r="L31" s="60">
        <f>I38+I41+I42+I47</f>
        <v>409038</v>
      </c>
      <c r="N31" s="28" t="s">
        <v>124</v>
      </c>
      <c r="O31" s="60">
        <f>J38+J47</f>
        <v>338278.0378742317</v>
      </c>
      <c r="P31" s="64"/>
      <c r="Q31" s="65" t="s">
        <v>125</v>
      </c>
      <c r="R31" s="60">
        <f>J41+J42</f>
        <v>70753.962125768259</v>
      </c>
      <c r="S31" s="66"/>
      <c r="T31" s="65" t="s">
        <v>126</v>
      </c>
      <c r="U31" s="67">
        <f>O35</f>
        <v>5081.8777236810602</v>
      </c>
      <c r="V31" s="48"/>
      <c r="W31" s="65" t="s">
        <v>127</v>
      </c>
      <c r="X31" s="68">
        <f>R37</f>
        <v>6884.357345770617</v>
      </c>
    </row>
    <row r="32" spans="1:24" ht="15.75">
      <c r="H32" s="36" t="s">
        <v>101</v>
      </c>
      <c r="I32" s="60">
        <f>ONSV_AUX_2017!C30</f>
        <v>6</v>
      </c>
      <c r="J32" s="9"/>
      <c r="K32" s="27"/>
      <c r="L32" s="62"/>
      <c r="M32" s="20"/>
      <c r="N32" s="28" t="s">
        <v>128</v>
      </c>
      <c r="O32" s="69">
        <f>J38/O31</f>
        <v>0.98411684891052764</v>
      </c>
      <c r="P32" s="64"/>
      <c r="Q32" s="70" t="s">
        <v>129</v>
      </c>
      <c r="R32" s="63">
        <f>J41/R31</f>
        <v>0.71859232563069753</v>
      </c>
      <c r="S32" s="71"/>
      <c r="T32" s="65" t="s">
        <v>130</v>
      </c>
      <c r="U32" s="67">
        <f>I47-J47</f>
        <v>7.8814193302605418E-2</v>
      </c>
      <c r="V32" s="48"/>
      <c r="W32" s="65" t="s">
        <v>131</v>
      </c>
      <c r="X32" s="68">
        <f>I42-J42</f>
        <v>0.29206577383956756</v>
      </c>
    </row>
    <row r="33" spans="8:24" ht="15.75">
      <c r="H33" s="36" t="s">
        <v>16</v>
      </c>
      <c r="I33" s="60">
        <f>ONSV_AUX_2017!C31</f>
        <v>19002</v>
      </c>
      <c r="J33" s="9"/>
      <c r="K33" s="2" t="s">
        <v>132</v>
      </c>
      <c r="L33" s="63">
        <f>I38/L31</f>
        <v>0.81388526249394921</v>
      </c>
      <c r="M33" s="20"/>
      <c r="N33" s="28" t="s">
        <v>133</v>
      </c>
      <c r="O33" s="69">
        <f>J47/O31</f>
        <v>1.5883151089472424E-2</v>
      </c>
      <c r="P33" s="64"/>
      <c r="Q33" s="70" t="s">
        <v>134</v>
      </c>
      <c r="R33" s="63">
        <f>J42/R31</f>
        <v>0.28140767436930253</v>
      </c>
      <c r="S33" s="71"/>
      <c r="T33" s="65" t="s">
        <v>135</v>
      </c>
      <c r="U33" s="72">
        <f>O37</f>
        <v>291.04346212563723</v>
      </c>
      <c r="V33" s="73"/>
      <c r="W33" s="65" t="s">
        <v>136</v>
      </c>
      <c r="X33" s="72">
        <f>R40</f>
        <v>13026.350588455543</v>
      </c>
    </row>
    <row r="34" spans="8:24" ht="15.75">
      <c r="H34" s="36" t="s">
        <v>94</v>
      </c>
      <c r="I34" s="60">
        <f>ONSV_AUX_2017!C32</f>
        <v>324848</v>
      </c>
      <c r="J34" s="10"/>
      <c r="K34" s="2" t="s">
        <v>2</v>
      </c>
      <c r="L34" s="63">
        <f>I41/L31</f>
        <v>0.12430140964898127</v>
      </c>
      <c r="M34" s="20"/>
      <c r="N34" s="20"/>
      <c r="O34" s="74"/>
      <c r="P34" s="48"/>
      <c r="Q34" s="48"/>
      <c r="R34" s="48"/>
      <c r="S34" s="48"/>
      <c r="T34" s="48"/>
      <c r="U34" s="62"/>
      <c r="V34" s="75"/>
      <c r="W34" s="48"/>
      <c r="X34" s="62"/>
    </row>
    <row r="35" spans="8:24" ht="15.75">
      <c r="K35" s="2" t="s">
        <v>3</v>
      </c>
      <c r="L35" s="63">
        <f>I42/L31</f>
        <v>4.8677628973347223E-2</v>
      </c>
      <c r="M35" s="20"/>
      <c r="N35" s="28" t="s">
        <v>137</v>
      </c>
      <c r="O35" s="60">
        <f>IF(O33*I30&gt;J47,J47,O33*I30)</f>
        <v>5081.8777236810602</v>
      </c>
      <c r="P35" s="76"/>
      <c r="Q35" s="65" t="s">
        <v>138</v>
      </c>
      <c r="R35" s="60">
        <f>I31-I39-I40-I43-I46</f>
        <v>24464</v>
      </c>
      <c r="S35" s="77"/>
      <c r="T35" s="65" t="s">
        <v>139</v>
      </c>
      <c r="U35" s="67">
        <f>O43</f>
        <v>289846.11668842501</v>
      </c>
      <c r="V35" s="76"/>
      <c r="W35" s="65" t="s">
        <v>140</v>
      </c>
      <c r="X35" s="67">
        <f>I39</f>
        <v>20814</v>
      </c>
    </row>
    <row r="36" spans="8:24" ht="15.75">
      <c r="H36" s="24" t="s">
        <v>141</v>
      </c>
      <c r="K36" s="2" t="s">
        <v>0</v>
      </c>
      <c r="L36" s="63">
        <f>I47/L31</f>
        <v>1.3135698883722294E-2</v>
      </c>
      <c r="O36" s="48"/>
      <c r="P36" s="76"/>
      <c r="Q36" s="65" t="s">
        <v>142</v>
      </c>
      <c r="R36" s="60">
        <f>R32*R35</f>
        <v>17579.642654229385</v>
      </c>
      <c r="S36" s="48"/>
      <c r="T36" s="65" t="s">
        <v>143</v>
      </c>
      <c r="U36" s="67">
        <f>O41</f>
        <v>24057</v>
      </c>
      <c r="V36" s="66"/>
      <c r="W36" s="65" t="s">
        <v>144</v>
      </c>
      <c r="X36" s="67">
        <f>I40</f>
        <v>2311</v>
      </c>
    </row>
    <row r="37" spans="8:24" ht="15.75">
      <c r="K37" s="11"/>
      <c r="L37" s="11"/>
      <c r="M37" s="11"/>
      <c r="N37" s="28" t="s">
        <v>145</v>
      </c>
      <c r="O37" s="60">
        <f>J47-O35</f>
        <v>291.04346212563723</v>
      </c>
      <c r="P37" s="76"/>
      <c r="Q37" s="65" t="s">
        <v>127</v>
      </c>
      <c r="R37" s="60">
        <f>R33*R35</f>
        <v>6884.357345770617</v>
      </c>
      <c r="S37" s="48"/>
      <c r="T37" s="65" t="s">
        <v>146</v>
      </c>
      <c r="U37" s="67">
        <f>O42</f>
        <v>19002</v>
      </c>
      <c r="V37" s="71"/>
      <c r="W37" s="48"/>
      <c r="X37" s="62"/>
    </row>
    <row r="38" spans="8:24" ht="15.75">
      <c r="H38" s="37" t="s">
        <v>103</v>
      </c>
      <c r="I38" s="60">
        <f>ONSV_AUX_2017!C56</f>
        <v>332910</v>
      </c>
      <c r="J38" s="61">
        <f>I38-(L33*I32)</f>
        <v>332905.11668842501</v>
      </c>
      <c r="K38" s="11"/>
      <c r="L38" s="11"/>
      <c r="M38" s="11"/>
      <c r="O38" s="76"/>
      <c r="P38" s="76"/>
      <c r="Q38" s="48"/>
      <c r="R38" s="78"/>
      <c r="S38" s="48"/>
      <c r="T38" s="65" t="s">
        <v>147</v>
      </c>
      <c r="U38" s="68">
        <f>I38-J38</f>
        <v>4.8833115749876015</v>
      </c>
      <c r="V38" s="71"/>
      <c r="W38" s="65" t="s">
        <v>148</v>
      </c>
      <c r="X38" s="67">
        <f>I46</f>
        <v>7258</v>
      </c>
    </row>
    <row r="39" spans="8:24" ht="15.75">
      <c r="H39" s="37" t="s">
        <v>104</v>
      </c>
      <c r="I39" s="60">
        <f>ONSV_AUX_2017!C57</f>
        <v>20814</v>
      </c>
      <c r="J39" s="10">
        <f>I39</f>
        <v>20814</v>
      </c>
      <c r="K39" s="11"/>
      <c r="L39" s="11"/>
      <c r="M39" s="11"/>
      <c r="N39" s="26" t="s">
        <v>149</v>
      </c>
      <c r="O39" s="76"/>
      <c r="P39" s="76"/>
      <c r="Q39" s="65" t="s">
        <v>150</v>
      </c>
      <c r="R39" s="60">
        <f>J41-R36</f>
        <v>33263.611537312718</v>
      </c>
      <c r="S39" s="48"/>
      <c r="T39" s="65" t="s">
        <v>151</v>
      </c>
      <c r="U39" s="72">
        <f>O44</f>
        <v>0</v>
      </c>
      <c r="V39" s="48"/>
      <c r="W39" s="65" t="s">
        <v>152</v>
      </c>
      <c r="X39" s="67">
        <f>I43</f>
        <v>6316</v>
      </c>
    </row>
    <row r="40" spans="8:24" ht="15.75">
      <c r="H40" s="37" t="s">
        <v>105</v>
      </c>
      <c r="I40" s="60">
        <f>ONSV_AUX_2017!C58</f>
        <v>2311</v>
      </c>
      <c r="J40" s="10">
        <f>I40</f>
        <v>2311</v>
      </c>
      <c r="K40" s="11"/>
      <c r="L40" s="11"/>
      <c r="M40" s="11"/>
      <c r="O40" s="73"/>
      <c r="P40" s="76"/>
      <c r="Q40" s="65" t="s">
        <v>136</v>
      </c>
      <c r="R40" s="60">
        <f>J42-R37</f>
        <v>13026.350588455543</v>
      </c>
      <c r="S40" s="48"/>
      <c r="T40" s="48"/>
      <c r="U40" s="62"/>
      <c r="V40" s="77"/>
      <c r="W40" s="48"/>
      <c r="X40" s="62"/>
    </row>
    <row r="41" spans="8:24" ht="15.75">
      <c r="H41" s="37" t="s">
        <v>106</v>
      </c>
      <c r="I41" s="60">
        <f>ONSV_AUX_2017!C59</f>
        <v>50844</v>
      </c>
      <c r="J41" s="61">
        <f>I41-(L34*I32)</f>
        <v>50843.254191542102</v>
      </c>
      <c r="K41" s="11"/>
      <c r="L41" s="11"/>
      <c r="M41" s="11"/>
      <c r="N41" s="28" t="s">
        <v>143</v>
      </c>
      <c r="O41" s="60">
        <f>I29</f>
        <v>24057</v>
      </c>
      <c r="P41" s="76"/>
      <c r="Q41" s="48"/>
      <c r="R41" s="48"/>
      <c r="S41" s="77"/>
      <c r="T41" s="65" t="s">
        <v>142</v>
      </c>
      <c r="U41" s="68">
        <f>R36</f>
        <v>17579.642654229385</v>
      </c>
      <c r="V41" s="48"/>
      <c r="W41" s="65" t="s">
        <v>153</v>
      </c>
      <c r="X41" s="67">
        <f>I44</f>
        <v>266544</v>
      </c>
    </row>
    <row r="42" spans="8:24" ht="15.75">
      <c r="H42" s="37" t="s">
        <v>107</v>
      </c>
      <c r="I42" s="60">
        <f>ONSV_AUX_2017!C60</f>
        <v>19911</v>
      </c>
      <c r="J42" s="61">
        <f>I42-(L35*I32)</f>
        <v>19910.70793422616</v>
      </c>
      <c r="K42" s="11"/>
      <c r="L42" s="11"/>
      <c r="M42" s="11"/>
      <c r="N42" s="28" t="s">
        <v>146</v>
      </c>
      <c r="O42" s="60">
        <f>I33</f>
        <v>19002</v>
      </c>
      <c r="P42" s="76"/>
      <c r="Q42" s="48"/>
      <c r="R42" s="48"/>
      <c r="S42" s="48"/>
      <c r="T42" s="65" t="s">
        <v>154</v>
      </c>
      <c r="U42" s="68">
        <f>I41-J41</f>
        <v>0.74580845789751038</v>
      </c>
      <c r="V42" s="48"/>
      <c r="W42" s="65" t="s">
        <v>155</v>
      </c>
      <c r="X42" s="67">
        <f>I45</f>
        <v>37565</v>
      </c>
    </row>
    <row r="43" spans="8:24" ht="15.75">
      <c r="H43" s="37" t="s">
        <v>108</v>
      </c>
      <c r="I43" s="60">
        <f>ONSV_AUX_2017!C61</f>
        <v>6316</v>
      </c>
      <c r="J43" s="10">
        <f>I43</f>
        <v>6316</v>
      </c>
      <c r="K43" s="11"/>
      <c r="L43" s="11"/>
      <c r="M43" s="11"/>
      <c r="N43" s="28" t="s">
        <v>139</v>
      </c>
      <c r="O43" s="60">
        <f>IF(OR((O32*I30&gt;J38),((O41+O42+(O32*I30))&gt;J38)),(J38-O41-O42),(O32*I30))</f>
        <v>289846.11668842501</v>
      </c>
      <c r="P43" s="76"/>
      <c r="Q43" s="48"/>
      <c r="R43" s="78"/>
      <c r="S43" s="48"/>
      <c r="T43" s="65" t="s">
        <v>150</v>
      </c>
      <c r="U43" s="72">
        <f>R39</f>
        <v>33263.611537312718</v>
      </c>
      <c r="V43" s="48"/>
      <c r="W43" s="48"/>
      <c r="X43" s="48"/>
    </row>
    <row r="44" spans="8:24" ht="15.75">
      <c r="H44" s="37" t="s">
        <v>109</v>
      </c>
      <c r="I44" s="60">
        <f>ONSV_AUX_2017!C62</f>
        <v>266544</v>
      </c>
      <c r="J44" s="10">
        <f t="shared" ref="J44:J46" si="1">I44</f>
        <v>266544</v>
      </c>
      <c r="K44" s="11"/>
      <c r="L44" s="11"/>
      <c r="M44" s="11"/>
      <c r="N44" s="28" t="s">
        <v>151</v>
      </c>
      <c r="O44" s="60">
        <f>IF((J38-O41-O43-O42)&lt;0,0,(J38-O41-O43-O42))</f>
        <v>0</v>
      </c>
      <c r="P44" s="48"/>
      <c r="Q44" s="48"/>
      <c r="R44" s="48"/>
      <c r="S44" s="48"/>
      <c r="T44" s="48"/>
      <c r="U44" s="62"/>
      <c r="V44" s="48"/>
      <c r="W44" s="48"/>
      <c r="X44" s="48"/>
    </row>
    <row r="45" spans="8:24" ht="15.75">
      <c r="H45" s="37" t="s">
        <v>110</v>
      </c>
      <c r="I45" s="60">
        <f>ONSV_AUX_2017!C63</f>
        <v>37565</v>
      </c>
      <c r="J45" s="10">
        <f t="shared" si="1"/>
        <v>37565</v>
      </c>
      <c r="K45" s="11"/>
      <c r="L45" s="11"/>
      <c r="M45" s="11"/>
      <c r="O45" s="48"/>
      <c r="P45" s="76"/>
      <c r="Q45" s="48"/>
      <c r="R45" s="48"/>
      <c r="S45" s="48"/>
      <c r="T45" s="79" t="s">
        <v>156</v>
      </c>
      <c r="U45" s="80">
        <f>(SUM(U31:U43,X31:X42)/SUM(I38:I47))-1</f>
        <v>0</v>
      </c>
      <c r="V45" s="48"/>
      <c r="W45" s="79" t="s">
        <v>10</v>
      </c>
      <c r="X45" s="67">
        <f>SUM(U31:U43,X31:X42)</f>
        <v>749846</v>
      </c>
    </row>
    <row r="46" spans="8:24" ht="15.75">
      <c r="H46" s="37" t="s">
        <v>111</v>
      </c>
      <c r="I46" s="60">
        <f>ONSV_AUX_2017!C64</f>
        <v>7258</v>
      </c>
      <c r="J46" s="10">
        <f t="shared" si="1"/>
        <v>7258</v>
      </c>
      <c r="K46" s="11"/>
      <c r="L46" s="11"/>
      <c r="M46" s="11"/>
      <c r="O46" s="48"/>
      <c r="P46" s="76"/>
      <c r="Q46" s="48"/>
      <c r="R46" s="48"/>
      <c r="S46" s="48"/>
      <c r="T46" s="48"/>
      <c r="U46" s="48"/>
      <c r="V46" s="48"/>
      <c r="W46" s="48"/>
      <c r="X46" s="48"/>
    </row>
    <row r="47" spans="8:24" ht="15.75">
      <c r="H47" s="37" t="s">
        <v>112</v>
      </c>
      <c r="I47" s="60">
        <f>ONSV_AUX_2017!C65</f>
        <v>5373</v>
      </c>
      <c r="J47" s="61">
        <f>I47-(L36*I32)</f>
        <v>5372.9211858066974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39"/>
      <c r="I48" s="40"/>
      <c r="J48" s="40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1" customFormat="1" ht="15.75">
      <c r="A50" s="101" t="str">
        <f>"ALAGOAS/"&amp;ONSV_AUX_2016!$A$1&amp;""</f>
        <v>ALAGOAS/2016</v>
      </c>
      <c r="B50" s="102"/>
      <c r="C50" s="102"/>
      <c r="D50" s="102"/>
      <c r="E50" s="102"/>
      <c r="F50" s="102"/>
    </row>
    <row r="52" spans="1:24" ht="15.75">
      <c r="H52" s="23" t="s">
        <v>118</v>
      </c>
      <c r="N52" s="26"/>
      <c r="O52" s="26"/>
      <c r="P52" s="9"/>
      <c r="Q52" s="26"/>
      <c r="R52" s="26"/>
      <c r="S52" s="26"/>
      <c r="T52" s="104"/>
      <c r="U52" s="104"/>
      <c r="V52" s="104"/>
      <c r="W52" s="104"/>
      <c r="X52" s="104"/>
    </row>
    <row r="53" spans="1:24" ht="15.75">
      <c r="J53" s="9"/>
      <c r="M53" s="25"/>
      <c r="N53" s="9"/>
      <c r="O53" s="9"/>
      <c r="P53" s="9"/>
      <c r="Q53" s="11"/>
      <c r="R53" s="11"/>
      <c r="S53" s="11"/>
    </row>
    <row r="54" spans="1:24" ht="15.75">
      <c r="H54" s="36" t="s">
        <v>81</v>
      </c>
      <c r="I54" s="60">
        <f>ONSV_AUX_2016!C27</f>
        <v>24005</v>
      </c>
      <c r="J54" s="9"/>
      <c r="K54" s="104" t="s">
        <v>119</v>
      </c>
      <c r="L54" s="104"/>
      <c r="M54" s="9"/>
      <c r="N54" s="26" t="s">
        <v>120</v>
      </c>
      <c r="O54" s="26"/>
      <c r="Q54" s="26" t="s">
        <v>121</v>
      </c>
      <c r="R54" s="26"/>
      <c r="S54" s="26"/>
      <c r="T54" s="25" t="s">
        <v>122</v>
      </c>
      <c r="U54" s="25"/>
      <c r="V54" s="25"/>
      <c r="W54" s="25"/>
      <c r="X54" s="25"/>
    </row>
    <row r="55" spans="1:24" ht="15.75">
      <c r="H55" s="36" t="s">
        <v>84</v>
      </c>
      <c r="I55" s="60">
        <f>ONSV_AUX_2016!C28</f>
        <v>297078</v>
      </c>
      <c r="J55" s="9"/>
      <c r="K55" s="9"/>
      <c r="L55" s="9"/>
      <c r="M55" s="9"/>
      <c r="N55" s="9"/>
      <c r="O55" s="9"/>
      <c r="P55" s="20"/>
      <c r="Q55" s="11"/>
      <c r="R55" s="11"/>
      <c r="S55" s="11"/>
    </row>
    <row r="56" spans="1:24" ht="15.75">
      <c r="H56" s="36" t="s">
        <v>85</v>
      </c>
      <c r="I56" s="60">
        <f>ONSV_AUX_2016!C29</f>
        <v>59223</v>
      </c>
      <c r="J56" s="9"/>
      <c r="K56" s="2" t="s">
        <v>123</v>
      </c>
      <c r="L56" s="60">
        <f>I63+I66+I67+I72</f>
        <v>391622</v>
      </c>
      <c r="N56" s="28" t="s">
        <v>124</v>
      </c>
      <c r="O56" s="60">
        <f>J63+J72</f>
        <v>324088.34488358669</v>
      </c>
      <c r="P56" s="64"/>
      <c r="Q56" s="65" t="s">
        <v>125</v>
      </c>
      <c r="R56" s="60">
        <f>J66+J67</f>
        <v>67531.655116413283</v>
      </c>
      <c r="S56" s="66"/>
      <c r="T56" s="65" t="s">
        <v>126</v>
      </c>
      <c r="U56" s="67">
        <f>O60</f>
        <v>4586.9305193001946</v>
      </c>
      <c r="V56" s="48"/>
      <c r="W56" s="65" t="s">
        <v>127</v>
      </c>
      <c r="X56" s="68">
        <f>R62</f>
        <v>6556.20932298762</v>
      </c>
    </row>
    <row r="57" spans="1:24" ht="15.75">
      <c r="H57" s="36" t="s">
        <v>101</v>
      </c>
      <c r="I57" s="60">
        <f>ONSV_AUX_2016!C30</f>
        <v>2</v>
      </c>
      <c r="J57" s="9"/>
      <c r="K57" s="27"/>
      <c r="L57" s="62"/>
      <c r="M57" s="20"/>
      <c r="N57" s="28" t="s">
        <v>128</v>
      </c>
      <c r="O57" s="69">
        <f>J63/O56</f>
        <v>0.98455984448764233</v>
      </c>
      <c r="P57" s="64"/>
      <c r="Q57" s="70" t="s">
        <v>129</v>
      </c>
      <c r="R57" s="63">
        <f>J66/R56</f>
        <v>0.71905170881952252</v>
      </c>
      <c r="S57" s="71"/>
      <c r="T57" s="65" t="s">
        <v>130</v>
      </c>
      <c r="U57" s="67">
        <f>I72-J72</f>
        <v>2.5555254812388739E-2</v>
      </c>
      <c r="V57" s="48"/>
      <c r="W57" s="65" t="s">
        <v>131</v>
      </c>
      <c r="X57" s="68">
        <f>I67-J67</f>
        <v>9.6894454345601844E-2</v>
      </c>
    </row>
    <row r="58" spans="1:24" ht="15.75">
      <c r="H58" s="36" t="s">
        <v>16</v>
      </c>
      <c r="I58" s="60">
        <f>ONSV_AUX_2016!C31</f>
        <v>18502</v>
      </c>
      <c r="J58" s="9"/>
      <c r="K58" s="2" t="s">
        <v>132</v>
      </c>
      <c r="L58" s="63">
        <f>I63/L56</f>
        <v>0.81478057923201452</v>
      </c>
      <c r="M58" s="20"/>
      <c r="N58" s="28" t="s">
        <v>133</v>
      </c>
      <c r="O58" s="69">
        <f>J72/O56</f>
        <v>1.5440155512357679E-2</v>
      </c>
      <c r="P58" s="64"/>
      <c r="Q58" s="70" t="s">
        <v>134</v>
      </c>
      <c r="R58" s="63">
        <f>J67/R56</f>
        <v>0.28094829118047737</v>
      </c>
      <c r="S58" s="71"/>
      <c r="T58" s="65" t="s">
        <v>135</v>
      </c>
      <c r="U58" s="72">
        <f>O62</f>
        <v>417.04392544499296</v>
      </c>
      <c r="V58" s="73"/>
      <c r="W58" s="65" t="s">
        <v>136</v>
      </c>
      <c r="X58" s="72">
        <f>R65</f>
        <v>12416.693782558035</v>
      </c>
    </row>
    <row r="59" spans="1:24" ht="15.75">
      <c r="H59" s="36" t="s">
        <v>94</v>
      </c>
      <c r="I59" s="60">
        <f>ONSV_AUX_2016!C32</f>
        <v>315364</v>
      </c>
      <c r="J59" s="10"/>
      <c r="K59" s="2" t="s">
        <v>2</v>
      </c>
      <c r="L59" s="63">
        <f>I66/L56</f>
        <v>0.12399456618882494</v>
      </c>
      <c r="M59" s="20"/>
      <c r="N59" s="20"/>
      <c r="O59" s="74"/>
      <c r="P59" s="48"/>
      <c r="Q59" s="48"/>
      <c r="R59" s="48"/>
      <c r="S59" s="48"/>
      <c r="T59" s="48"/>
      <c r="U59" s="62"/>
      <c r="V59" s="75"/>
      <c r="W59" s="48"/>
      <c r="X59" s="62"/>
    </row>
    <row r="60" spans="1:24" ht="15.75">
      <c r="K60" s="2" t="s">
        <v>3</v>
      </c>
      <c r="L60" s="63">
        <f>I67/L56</f>
        <v>4.8447227173141448E-2</v>
      </c>
      <c r="M60" s="20"/>
      <c r="N60" s="28" t="s">
        <v>137</v>
      </c>
      <c r="O60" s="60">
        <f>IF(O58*I55&gt;J72,J72,O58*I55)</f>
        <v>4586.9305193001946</v>
      </c>
      <c r="P60" s="76"/>
      <c r="Q60" s="65" t="s">
        <v>138</v>
      </c>
      <c r="R60" s="60">
        <f>I56-I64-I65-I68-I71</f>
        <v>23336</v>
      </c>
      <c r="S60" s="77"/>
      <c r="T60" s="65" t="s">
        <v>139</v>
      </c>
      <c r="U60" s="67">
        <f>O68</f>
        <v>276577.37043884152</v>
      </c>
      <c r="V60" s="76"/>
      <c r="W60" s="65" t="s">
        <v>140</v>
      </c>
      <c r="X60" s="67">
        <f>I64</f>
        <v>20489</v>
      </c>
    </row>
    <row r="61" spans="1:24" ht="15.75">
      <c r="H61" s="24" t="s">
        <v>141</v>
      </c>
      <c r="K61" s="2" t="s">
        <v>0</v>
      </c>
      <c r="L61" s="63">
        <f>I72/L56</f>
        <v>1.2777627406019069E-2</v>
      </c>
      <c r="O61" s="48"/>
      <c r="P61" s="76"/>
      <c r="Q61" s="65" t="s">
        <v>142</v>
      </c>
      <c r="R61" s="60">
        <f>R57*R60</f>
        <v>16779.790677012377</v>
      </c>
      <c r="S61" s="48"/>
      <c r="T61" s="65" t="s">
        <v>143</v>
      </c>
      <c r="U61" s="67">
        <f>O66</f>
        <v>24005</v>
      </c>
      <c r="V61" s="66"/>
      <c r="W61" s="65" t="s">
        <v>144</v>
      </c>
      <c r="X61" s="67">
        <f>I65</f>
        <v>2243</v>
      </c>
    </row>
    <row r="62" spans="1:24" ht="15.75">
      <c r="K62" s="11"/>
      <c r="L62" s="11"/>
      <c r="M62" s="11"/>
      <c r="N62" s="28" t="s">
        <v>145</v>
      </c>
      <c r="O62" s="60">
        <f>J72-O60</f>
        <v>417.04392544499296</v>
      </c>
      <c r="P62" s="76"/>
      <c r="Q62" s="65" t="s">
        <v>127</v>
      </c>
      <c r="R62" s="60">
        <f>R58*R60</f>
        <v>6556.20932298762</v>
      </c>
      <c r="S62" s="48"/>
      <c r="T62" s="65" t="s">
        <v>146</v>
      </c>
      <c r="U62" s="67">
        <f>O67</f>
        <v>18502</v>
      </c>
      <c r="V62" s="71"/>
      <c r="W62" s="48"/>
      <c r="X62" s="62"/>
    </row>
    <row r="63" spans="1:24" ht="15.75">
      <c r="H63" s="37" t="s">
        <v>103</v>
      </c>
      <c r="I63" s="60">
        <f>ONSV_AUX_2016!C56</f>
        <v>319086</v>
      </c>
      <c r="J63" s="61">
        <f>I63-(L58*I57)</f>
        <v>319084.37043884152</v>
      </c>
      <c r="K63" s="11"/>
      <c r="L63" s="11"/>
      <c r="M63" s="11"/>
      <c r="O63" s="76"/>
      <c r="P63" s="76"/>
      <c r="Q63" s="48"/>
      <c r="R63" s="78"/>
      <c r="S63" s="48"/>
      <c r="T63" s="65" t="s">
        <v>147</v>
      </c>
      <c r="U63" s="68">
        <f>I63-J63</f>
        <v>1.6295611584791914</v>
      </c>
      <c r="V63" s="71"/>
      <c r="W63" s="65" t="s">
        <v>148</v>
      </c>
      <c r="X63" s="67">
        <f>I71</f>
        <v>7042</v>
      </c>
    </row>
    <row r="64" spans="1:24" ht="15.75">
      <c r="H64" s="37" t="s">
        <v>104</v>
      </c>
      <c r="I64" s="60">
        <f>ONSV_AUX_2016!C57</f>
        <v>20489</v>
      </c>
      <c r="J64" s="10">
        <f>I64</f>
        <v>20489</v>
      </c>
      <c r="K64" s="11"/>
      <c r="L64" s="11"/>
      <c r="M64" s="11"/>
      <c r="N64" s="26" t="s">
        <v>149</v>
      </c>
      <c r="O64" s="76"/>
      <c r="P64" s="76"/>
      <c r="Q64" s="65" t="s">
        <v>150</v>
      </c>
      <c r="R64" s="60">
        <f>J66-R61</f>
        <v>31778.961333855248</v>
      </c>
      <c r="S64" s="48"/>
      <c r="T64" s="65" t="s">
        <v>151</v>
      </c>
      <c r="U64" s="72">
        <f>O69</f>
        <v>0</v>
      </c>
      <c r="V64" s="48"/>
      <c r="W64" s="65" t="s">
        <v>152</v>
      </c>
      <c r="X64" s="67">
        <f>I68</f>
        <v>6113</v>
      </c>
    </row>
    <row r="65" spans="1:24" ht="15.75">
      <c r="H65" s="37" t="s">
        <v>105</v>
      </c>
      <c r="I65" s="60">
        <f>ONSV_AUX_2016!C58</f>
        <v>2243</v>
      </c>
      <c r="J65" s="10">
        <f>I65</f>
        <v>2243</v>
      </c>
      <c r="K65" s="11"/>
      <c r="L65" s="11"/>
      <c r="M65" s="11"/>
      <c r="O65" s="73"/>
      <c r="P65" s="76"/>
      <c r="Q65" s="65" t="s">
        <v>136</v>
      </c>
      <c r="R65" s="60">
        <f>J67-R62</f>
        <v>12416.693782558035</v>
      </c>
      <c r="S65" s="48"/>
      <c r="T65" s="48"/>
      <c r="U65" s="62"/>
      <c r="V65" s="77"/>
      <c r="W65" s="48"/>
      <c r="X65" s="62"/>
    </row>
    <row r="66" spans="1:24" ht="15.75">
      <c r="H66" s="37" t="s">
        <v>106</v>
      </c>
      <c r="I66" s="60">
        <f>ONSV_AUX_2016!C59</f>
        <v>48559</v>
      </c>
      <c r="J66" s="61">
        <f>I66-(L59*I57)</f>
        <v>48558.752010867625</v>
      </c>
      <c r="K66" s="11"/>
      <c r="L66" s="11"/>
      <c r="M66" s="11"/>
      <c r="N66" s="28" t="s">
        <v>143</v>
      </c>
      <c r="O66" s="60">
        <f>I54</f>
        <v>24005</v>
      </c>
      <c r="P66" s="76"/>
      <c r="Q66" s="48"/>
      <c r="R66" s="48"/>
      <c r="S66" s="77"/>
      <c r="T66" s="65" t="s">
        <v>142</v>
      </c>
      <c r="U66" s="68">
        <f>R61</f>
        <v>16779.790677012377</v>
      </c>
      <c r="V66" s="48"/>
      <c r="W66" s="65" t="s">
        <v>153</v>
      </c>
      <c r="X66" s="67">
        <f>I69</f>
        <v>251317</v>
      </c>
    </row>
    <row r="67" spans="1:24" ht="15.75">
      <c r="H67" s="37" t="s">
        <v>107</v>
      </c>
      <c r="I67" s="60">
        <f>ONSV_AUX_2016!C60</f>
        <v>18973</v>
      </c>
      <c r="J67" s="61">
        <f>I67-(L60*I57)</f>
        <v>18972.903105545654</v>
      </c>
      <c r="K67" s="11"/>
      <c r="L67" s="11"/>
      <c r="M67" s="11"/>
      <c r="N67" s="28" t="s">
        <v>146</v>
      </c>
      <c r="O67" s="60">
        <f>I58</f>
        <v>18502</v>
      </c>
      <c r="P67" s="76"/>
      <c r="Q67" s="48"/>
      <c r="R67" s="48"/>
      <c r="S67" s="48"/>
      <c r="T67" s="65" t="s">
        <v>154</v>
      </c>
      <c r="U67" s="68">
        <f>I66-J66</f>
        <v>0.24798913237464149</v>
      </c>
      <c r="V67" s="48"/>
      <c r="W67" s="65" t="s">
        <v>155</v>
      </c>
      <c r="X67" s="67">
        <f>I70</f>
        <v>35992</v>
      </c>
    </row>
    <row r="68" spans="1:24" ht="15.75">
      <c r="H68" s="37" t="s">
        <v>108</v>
      </c>
      <c r="I68" s="60">
        <f>ONSV_AUX_2016!C61</f>
        <v>6113</v>
      </c>
      <c r="J68" s="10">
        <f>I68</f>
        <v>6113</v>
      </c>
      <c r="K68" s="11"/>
      <c r="L68" s="11"/>
      <c r="M68" s="11"/>
      <c r="N68" s="28" t="s">
        <v>139</v>
      </c>
      <c r="O68" s="60">
        <f>IF(OR((O57*I55&gt;J63),((O66+O67+(O57*I55))&gt;J63)),(J63-O66-O67),(O57*I55))</f>
        <v>276577.37043884152</v>
      </c>
      <c r="P68" s="76"/>
      <c r="Q68" s="48"/>
      <c r="R68" s="78"/>
      <c r="S68" s="48"/>
      <c r="T68" s="65" t="s">
        <v>150</v>
      </c>
      <c r="U68" s="72">
        <f>R64</f>
        <v>31778.961333855248</v>
      </c>
      <c r="V68" s="48"/>
      <c r="W68" s="48"/>
      <c r="X68" s="48"/>
    </row>
    <row r="69" spans="1:24" ht="15.75">
      <c r="H69" s="37" t="s">
        <v>109</v>
      </c>
      <c r="I69" s="60">
        <f>ONSV_AUX_2016!C62</f>
        <v>251317</v>
      </c>
      <c r="J69" s="10">
        <f t="shared" ref="J69:J71" si="2">I69</f>
        <v>251317</v>
      </c>
      <c r="K69" s="11"/>
      <c r="L69" s="11"/>
      <c r="M69" s="11"/>
      <c r="N69" s="28" t="s">
        <v>151</v>
      </c>
      <c r="O69" s="60">
        <f>IF((J63-O66-O68-O67)&lt;0,0,(J63-O66-O68-O67))</f>
        <v>0</v>
      </c>
      <c r="P69" s="48"/>
      <c r="Q69" s="48"/>
      <c r="R69" s="48"/>
      <c r="S69" s="48"/>
      <c r="T69" s="48"/>
      <c r="U69" s="62"/>
      <c r="V69" s="48"/>
      <c r="W69" s="48"/>
      <c r="X69" s="48"/>
    </row>
    <row r="70" spans="1:24" ht="15.75">
      <c r="H70" s="37" t="s">
        <v>110</v>
      </c>
      <c r="I70" s="60">
        <f>ONSV_AUX_2016!C63</f>
        <v>35992</v>
      </c>
      <c r="J70" s="10">
        <f t="shared" si="2"/>
        <v>35992</v>
      </c>
      <c r="K70" s="11"/>
      <c r="L70" s="11"/>
      <c r="M70" s="11"/>
      <c r="O70" s="48"/>
      <c r="P70" s="76"/>
      <c r="Q70" s="48"/>
      <c r="R70" s="48"/>
      <c r="S70" s="48"/>
      <c r="T70" s="79" t="s">
        <v>156</v>
      </c>
      <c r="U70" s="80">
        <f>(SUM(U56:U68,X56:X67)/SUM(I63:I72))-1</f>
        <v>0</v>
      </c>
      <c r="V70" s="48"/>
      <c r="W70" s="79" t="s">
        <v>10</v>
      </c>
      <c r="X70" s="67">
        <f>SUM(U56:U68,X56:X67)</f>
        <v>714818</v>
      </c>
    </row>
    <row r="71" spans="1:24" ht="15.75">
      <c r="H71" s="37" t="s">
        <v>111</v>
      </c>
      <c r="I71" s="60">
        <f>ONSV_AUX_2016!C64</f>
        <v>7042</v>
      </c>
      <c r="J71" s="10">
        <f t="shared" si="2"/>
        <v>7042</v>
      </c>
      <c r="K71" s="11"/>
      <c r="L71" s="11"/>
      <c r="M71" s="11"/>
      <c r="O71" s="48"/>
      <c r="P71" s="76"/>
      <c r="Q71" s="48"/>
      <c r="R71" s="48"/>
      <c r="S71" s="48"/>
      <c r="T71" s="48"/>
      <c r="U71" s="48"/>
      <c r="V71" s="48"/>
      <c r="W71" s="48"/>
      <c r="X71" s="48"/>
    </row>
    <row r="72" spans="1:24" ht="15.75">
      <c r="H72" s="37" t="s">
        <v>112</v>
      </c>
      <c r="I72" s="60">
        <f>ONSV_AUX_2016!C65</f>
        <v>5004</v>
      </c>
      <c r="J72" s="61">
        <f>I72-(L61*I57)</f>
        <v>5003.9744447451876</v>
      </c>
      <c r="K72" s="12"/>
      <c r="L72" s="12"/>
      <c r="M72" s="12"/>
      <c r="N72" s="12"/>
      <c r="O72" s="12"/>
      <c r="P72" s="12"/>
      <c r="Q72" s="4"/>
      <c r="R72" s="4"/>
    </row>
    <row r="73" spans="1:24" ht="15.75">
      <c r="H73" s="7"/>
    </row>
    <row r="75" spans="1:24" s="31" customFormat="1" ht="15.75">
      <c r="A75" s="101" t="str">
        <f>"ALAGOAS/"&amp;ONSV_AUX_2015!$A$1&amp;""</f>
        <v>ALAGOAS/2015</v>
      </c>
      <c r="B75" s="102"/>
      <c r="C75" s="102"/>
      <c r="D75" s="102"/>
      <c r="E75" s="102"/>
      <c r="F75" s="102"/>
    </row>
    <row r="76" spans="1:24" s="4" customFormat="1" ht="15.75">
      <c r="A76" s="32"/>
      <c r="B76" s="32"/>
      <c r="C76" s="32"/>
      <c r="D76" s="32"/>
      <c r="E76" s="32"/>
      <c r="F76" s="32"/>
    </row>
    <row r="77" spans="1:24" ht="15.75">
      <c r="A77" s="12"/>
      <c r="H77" s="23" t="s">
        <v>118</v>
      </c>
      <c r="P77" s="9"/>
    </row>
    <row r="78" spans="1:24" ht="15.75">
      <c r="B78" s="5"/>
      <c r="J78" s="9"/>
      <c r="M78" s="25"/>
      <c r="P78" s="9"/>
    </row>
    <row r="79" spans="1:24" ht="15.75">
      <c r="H79" s="36" t="s">
        <v>81</v>
      </c>
      <c r="I79" s="60">
        <f>ONSV_AUX_2015!C27</f>
        <v>23931</v>
      </c>
      <c r="J79" s="9"/>
      <c r="K79" s="104" t="s">
        <v>119</v>
      </c>
      <c r="L79" s="104"/>
      <c r="M79" s="9"/>
      <c r="N79" s="26" t="s">
        <v>120</v>
      </c>
      <c r="O79" s="26"/>
      <c r="Q79" s="26" t="s">
        <v>121</v>
      </c>
      <c r="R79" s="26"/>
      <c r="S79" s="26"/>
      <c r="T79" s="25" t="s">
        <v>122</v>
      </c>
      <c r="U79" s="25"/>
      <c r="V79" s="25"/>
      <c r="W79" s="25"/>
      <c r="X79" s="25"/>
    </row>
    <row r="80" spans="1:24" ht="15.75">
      <c r="H80" s="36" t="s">
        <v>84</v>
      </c>
      <c r="I80" s="60">
        <f>ONSV_AUX_2015!C28</f>
        <v>270226</v>
      </c>
      <c r="J80" s="9"/>
      <c r="K80" s="9"/>
      <c r="L80" s="9"/>
      <c r="M80" s="9"/>
      <c r="N80" s="9"/>
      <c r="O80" s="9"/>
      <c r="P80" s="20"/>
      <c r="Q80" s="11"/>
      <c r="R80" s="11"/>
      <c r="S80" s="11"/>
    </row>
    <row r="81" spans="8:24" ht="15.75">
      <c r="H81" s="36" t="s">
        <v>85</v>
      </c>
      <c r="I81" s="60">
        <f>ONSV_AUX_2015!C29</f>
        <v>57409</v>
      </c>
      <c r="J81" s="9"/>
      <c r="K81" s="2" t="s">
        <v>123</v>
      </c>
      <c r="L81" s="60">
        <f>I88+I91+I92+I97</f>
        <v>373461</v>
      </c>
      <c r="N81" s="28" t="s">
        <v>124</v>
      </c>
      <c r="O81" s="60">
        <f>J88+J97</f>
        <v>309162.51648766536</v>
      </c>
      <c r="P81" s="64"/>
      <c r="Q81" s="65" t="s">
        <v>125</v>
      </c>
      <c r="R81" s="60">
        <f>J91+J92</f>
        <v>64295.48351233462</v>
      </c>
      <c r="S81" s="66"/>
      <c r="T81" s="65" t="s">
        <v>126</v>
      </c>
      <c r="U81" s="67">
        <f>O85</f>
        <v>3921.8671647825599</v>
      </c>
      <c r="V81" s="48"/>
      <c r="W81" s="65" t="s">
        <v>127</v>
      </c>
      <c r="X81" s="68">
        <f>R87</f>
        <v>6207.5123802413837</v>
      </c>
    </row>
    <row r="82" spans="8:24" ht="15.75">
      <c r="H82" s="36" t="s">
        <v>101</v>
      </c>
      <c r="I82" s="60">
        <f>ONSV_AUX_2015!C30</f>
        <v>3</v>
      </c>
      <c r="J82" s="9"/>
      <c r="K82" s="27"/>
      <c r="L82" s="62"/>
      <c r="M82" s="20"/>
      <c r="N82" s="28" t="s">
        <v>128</v>
      </c>
      <c r="O82" s="69">
        <f>J88/O81</f>
        <v>0.98548671421409284</v>
      </c>
      <c r="P82" s="64"/>
      <c r="Q82" s="70" t="s">
        <v>129</v>
      </c>
      <c r="R82" s="63">
        <f>J91/R81</f>
        <v>0.72390195346522335</v>
      </c>
      <c r="S82" s="71"/>
      <c r="T82" s="65" t="s">
        <v>130</v>
      </c>
      <c r="U82" s="67">
        <f>I97-J97</f>
        <v>3.604392426495906E-2</v>
      </c>
      <c r="V82" s="48"/>
      <c r="W82" s="65" t="s">
        <v>131</v>
      </c>
      <c r="X82" s="68">
        <f>I92-J92</f>
        <v>0.14260123547137482</v>
      </c>
    </row>
    <row r="83" spans="8:24" ht="15.75">
      <c r="H83" s="36" t="s">
        <v>16</v>
      </c>
      <c r="I83" s="60">
        <f>ONSV_AUX_2015!C31</f>
        <v>18419</v>
      </c>
      <c r="J83" s="9"/>
      <c r="K83" s="2" t="s">
        <v>132</v>
      </c>
      <c r="L83" s="63">
        <f>I88/L81</f>
        <v>0.81582280345203384</v>
      </c>
      <c r="M83" s="20"/>
      <c r="N83" s="28" t="s">
        <v>133</v>
      </c>
      <c r="O83" s="69">
        <f>J97/O81</f>
        <v>1.4513285785907203E-2</v>
      </c>
      <c r="P83" s="64"/>
      <c r="Q83" s="70" t="s">
        <v>134</v>
      </c>
      <c r="R83" s="63">
        <f>J92/R81</f>
        <v>0.27609804653477665</v>
      </c>
      <c r="S83" s="71"/>
      <c r="T83" s="65" t="s">
        <v>135</v>
      </c>
      <c r="U83" s="72">
        <f>O87</f>
        <v>565.0967912931751</v>
      </c>
      <c r="V83" s="73"/>
      <c r="W83" s="65" t="s">
        <v>136</v>
      </c>
      <c r="X83" s="72">
        <f>R90</f>
        <v>11544.345018523145</v>
      </c>
    </row>
    <row r="84" spans="8:24" ht="15.75">
      <c r="H84" s="36" t="s">
        <v>94</v>
      </c>
      <c r="I84" s="60">
        <f>ONSV_AUX_2015!C32</f>
        <v>305600</v>
      </c>
      <c r="J84" s="10"/>
      <c r="K84" s="2" t="s">
        <v>2</v>
      </c>
      <c r="L84" s="63">
        <f>I91/L81</f>
        <v>0.12462880996944795</v>
      </c>
      <c r="M84" s="20"/>
      <c r="N84" s="20"/>
      <c r="O84" s="74"/>
      <c r="P84" s="48"/>
      <c r="Q84" s="48"/>
      <c r="R84" s="48"/>
      <c r="S84" s="48"/>
      <c r="T84" s="48"/>
      <c r="U84" s="62"/>
      <c r="V84" s="75"/>
      <c r="W84" s="48"/>
      <c r="X84" s="62"/>
    </row>
    <row r="85" spans="8:24" ht="15.75">
      <c r="K85" s="2" t="s">
        <v>3</v>
      </c>
      <c r="L85" s="63">
        <f>I92/L81</f>
        <v>4.7533745156790132E-2</v>
      </c>
      <c r="M85" s="20"/>
      <c r="N85" s="28" t="s">
        <v>137</v>
      </c>
      <c r="O85" s="60">
        <f>IF(O83*I80&gt;J97,J97,O83*I80)</f>
        <v>3921.8671647825599</v>
      </c>
      <c r="P85" s="76"/>
      <c r="Q85" s="65" t="s">
        <v>138</v>
      </c>
      <c r="R85" s="60">
        <f>I81-I89-I90-I93-I96</f>
        <v>22483</v>
      </c>
      <c r="S85" s="77"/>
      <c r="T85" s="65" t="s">
        <v>139</v>
      </c>
      <c r="U85" s="67">
        <f>O93</f>
        <v>262325.55253158964</v>
      </c>
      <c r="V85" s="76"/>
      <c r="W85" s="65" t="s">
        <v>140</v>
      </c>
      <c r="X85" s="67">
        <f>I89</f>
        <v>20113</v>
      </c>
    </row>
    <row r="86" spans="8:24" ht="15.75">
      <c r="H86" s="24" t="s">
        <v>141</v>
      </c>
      <c r="K86" s="2" t="s">
        <v>0</v>
      </c>
      <c r="L86" s="63">
        <f>I97/L81</f>
        <v>1.2014641421728105E-2</v>
      </c>
      <c r="O86" s="48"/>
      <c r="P86" s="76"/>
      <c r="Q86" s="65" t="s">
        <v>142</v>
      </c>
      <c r="R86" s="60">
        <f>R82*R85</f>
        <v>16275.487619758616</v>
      </c>
      <c r="S86" s="48"/>
      <c r="T86" s="65" t="s">
        <v>143</v>
      </c>
      <c r="U86" s="67">
        <f>O91</f>
        <v>23931</v>
      </c>
      <c r="V86" s="66"/>
      <c r="W86" s="65" t="s">
        <v>144</v>
      </c>
      <c r="X86" s="67">
        <f>I90</f>
        <v>2190</v>
      </c>
    </row>
    <row r="87" spans="8:24" ht="15.75">
      <c r="K87" s="11"/>
      <c r="L87" s="11"/>
      <c r="M87" s="11"/>
      <c r="N87" s="28" t="s">
        <v>145</v>
      </c>
      <c r="O87" s="60">
        <f>J97-O85</f>
        <v>565.0967912931751</v>
      </c>
      <c r="P87" s="76"/>
      <c r="Q87" s="65" t="s">
        <v>127</v>
      </c>
      <c r="R87" s="60">
        <f>R83*R85</f>
        <v>6207.5123802413837</v>
      </c>
      <c r="S87" s="48"/>
      <c r="T87" s="65" t="s">
        <v>146</v>
      </c>
      <c r="U87" s="67">
        <f>O92</f>
        <v>18419</v>
      </c>
      <c r="V87" s="71"/>
      <c r="W87" s="48"/>
      <c r="X87" s="62"/>
    </row>
    <row r="88" spans="8:24" ht="15.75">
      <c r="H88" s="37" t="s">
        <v>103</v>
      </c>
      <c r="I88" s="60">
        <f>ONSV_AUX_2015!C56</f>
        <v>304678</v>
      </c>
      <c r="J88" s="61">
        <f>I88-(L83*I82)</f>
        <v>304675.55253158964</v>
      </c>
      <c r="K88" s="11"/>
      <c r="L88" s="11"/>
      <c r="M88" s="11"/>
      <c r="O88" s="76"/>
      <c r="P88" s="76"/>
      <c r="Q88" s="48"/>
      <c r="R88" s="78"/>
      <c r="S88" s="48"/>
      <c r="T88" s="65" t="s">
        <v>147</v>
      </c>
      <c r="U88" s="68">
        <f>I88-J88</f>
        <v>2.4474684103624895</v>
      </c>
      <c r="V88" s="71"/>
      <c r="W88" s="65" t="s">
        <v>148</v>
      </c>
      <c r="X88" s="67">
        <f>I96</f>
        <v>6653</v>
      </c>
    </row>
    <row r="89" spans="8:24" ht="15.75">
      <c r="H89" s="37" t="s">
        <v>104</v>
      </c>
      <c r="I89" s="60">
        <f>ONSV_AUX_2015!C57</f>
        <v>20113</v>
      </c>
      <c r="J89" s="10">
        <f>I89</f>
        <v>20113</v>
      </c>
      <c r="K89" s="11"/>
      <c r="L89" s="11"/>
      <c r="M89" s="11"/>
      <c r="N89" s="26" t="s">
        <v>149</v>
      </c>
      <c r="O89" s="76"/>
      <c r="P89" s="76"/>
      <c r="Q89" s="65" t="s">
        <v>150</v>
      </c>
      <c r="R89" s="60">
        <f>J91-R86</f>
        <v>30268.138493811475</v>
      </c>
      <c r="S89" s="48"/>
      <c r="T89" s="65" t="s">
        <v>151</v>
      </c>
      <c r="U89" s="72">
        <f>O94</f>
        <v>0</v>
      </c>
      <c r="V89" s="48"/>
      <c r="W89" s="65" t="s">
        <v>152</v>
      </c>
      <c r="X89" s="67">
        <f>I93</f>
        <v>5970</v>
      </c>
    </row>
    <row r="90" spans="8:24" ht="15.75">
      <c r="H90" s="37" t="s">
        <v>105</v>
      </c>
      <c r="I90" s="60">
        <f>ONSV_AUX_2015!C58</f>
        <v>2190</v>
      </c>
      <c r="J90" s="10">
        <f>I90</f>
        <v>2190</v>
      </c>
      <c r="K90" s="11"/>
      <c r="L90" s="11"/>
      <c r="M90" s="11"/>
      <c r="O90" s="73"/>
      <c r="P90" s="76"/>
      <c r="Q90" s="65" t="s">
        <v>136</v>
      </c>
      <c r="R90" s="60">
        <f>J92-R87</f>
        <v>11544.345018523145</v>
      </c>
      <c r="S90" s="48"/>
      <c r="T90" s="48"/>
      <c r="U90" s="62"/>
      <c r="V90" s="77"/>
      <c r="W90" s="48"/>
      <c r="X90" s="62"/>
    </row>
    <row r="91" spans="8:24" ht="15.75">
      <c r="H91" s="37" t="s">
        <v>106</v>
      </c>
      <c r="I91" s="60">
        <f>ONSV_AUX_2015!C59</f>
        <v>46544</v>
      </c>
      <c r="J91" s="61">
        <f>I91-(L84*I82)</f>
        <v>46543.626113570092</v>
      </c>
      <c r="K91" s="11"/>
      <c r="L91" s="11"/>
      <c r="M91" s="11"/>
      <c r="N91" s="28" t="s">
        <v>143</v>
      </c>
      <c r="O91" s="60">
        <f>I79</f>
        <v>23931</v>
      </c>
      <c r="P91" s="76"/>
      <c r="Q91" s="48"/>
      <c r="R91" s="48"/>
      <c r="S91" s="77"/>
      <c r="T91" s="65" t="s">
        <v>142</v>
      </c>
      <c r="U91" s="68">
        <f>R86</f>
        <v>16275.487619758616</v>
      </c>
      <c r="V91" s="48"/>
      <c r="W91" s="65" t="s">
        <v>153</v>
      </c>
      <c r="X91" s="67">
        <f>I94</f>
        <v>233125</v>
      </c>
    </row>
    <row r="92" spans="8:24" ht="15.75">
      <c r="H92" s="37" t="s">
        <v>107</v>
      </c>
      <c r="I92" s="60">
        <f>ONSV_AUX_2015!C60</f>
        <v>17752</v>
      </c>
      <c r="J92" s="61">
        <f>I92-(L85*I82)</f>
        <v>17751.857398764529</v>
      </c>
      <c r="K92" s="11"/>
      <c r="L92" s="11"/>
      <c r="M92" s="11"/>
      <c r="N92" s="28" t="s">
        <v>146</v>
      </c>
      <c r="O92" s="60">
        <f>I83</f>
        <v>18419</v>
      </c>
      <c r="P92" s="76"/>
      <c r="Q92" s="48"/>
      <c r="R92" s="48"/>
      <c r="S92" s="48"/>
      <c r="T92" s="65" t="s">
        <v>154</v>
      </c>
      <c r="U92" s="68">
        <f>I91-J91</f>
        <v>0.37388642990845256</v>
      </c>
      <c r="V92" s="48"/>
      <c r="W92" s="65" t="s">
        <v>155</v>
      </c>
      <c r="X92" s="67">
        <f>I95</f>
        <v>33861</v>
      </c>
    </row>
    <row r="93" spans="8:24" ht="15.75">
      <c r="H93" s="37" t="s">
        <v>108</v>
      </c>
      <c r="I93" s="60">
        <f>ONSV_AUX_2015!C61</f>
        <v>5970</v>
      </c>
      <c r="J93" s="10">
        <f>I93</f>
        <v>5970</v>
      </c>
      <c r="K93" s="11"/>
      <c r="L93" s="11"/>
      <c r="M93" s="11"/>
      <c r="N93" s="28" t="s">
        <v>139</v>
      </c>
      <c r="O93" s="60">
        <f>IF(OR((O82*I80&gt;J88),((O91+O92+(O82*I80))&gt;J88)),(J88-O91-O92),(O82*I80))</f>
        <v>262325.55253158964</v>
      </c>
      <c r="P93" s="76"/>
      <c r="Q93" s="48"/>
      <c r="R93" s="78"/>
      <c r="S93" s="48"/>
      <c r="T93" s="65" t="s">
        <v>150</v>
      </c>
      <c r="U93" s="72">
        <f>R89</f>
        <v>30268.138493811475</v>
      </c>
      <c r="V93" s="48"/>
      <c r="W93" s="48"/>
      <c r="X93" s="48"/>
    </row>
    <row r="94" spans="8:24" ht="15.75">
      <c r="H94" s="37" t="s">
        <v>109</v>
      </c>
      <c r="I94" s="60">
        <f>ONSV_AUX_2015!C62</f>
        <v>233125</v>
      </c>
      <c r="J94" s="10">
        <f t="shared" ref="J94:J96" si="3">I94</f>
        <v>233125</v>
      </c>
      <c r="K94" s="11"/>
      <c r="L94" s="11"/>
      <c r="M94" s="11"/>
      <c r="N94" s="28" t="s">
        <v>151</v>
      </c>
      <c r="O94" s="60">
        <f>IF((J88-O91-O93-O92)&lt;0,0,(J88-O91-O93-O92))</f>
        <v>0</v>
      </c>
      <c r="P94" s="48"/>
      <c r="Q94" s="48"/>
      <c r="R94" s="48"/>
      <c r="S94" s="48"/>
      <c r="T94" s="48"/>
      <c r="U94" s="62"/>
      <c r="V94" s="48"/>
      <c r="W94" s="48"/>
      <c r="X94" s="48"/>
    </row>
    <row r="95" spans="8:24" ht="15.75">
      <c r="H95" s="37" t="s">
        <v>110</v>
      </c>
      <c r="I95" s="60">
        <f>ONSV_AUX_2015!C63</f>
        <v>33861</v>
      </c>
      <c r="J95" s="10">
        <f t="shared" si="3"/>
        <v>33861</v>
      </c>
      <c r="K95" s="11"/>
      <c r="L95" s="11"/>
      <c r="M95" s="11"/>
      <c r="O95" s="48"/>
      <c r="P95" s="76"/>
      <c r="Q95" s="48"/>
      <c r="R95" s="48"/>
      <c r="S95" s="48"/>
      <c r="T95" s="79" t="s">
        <v>156</v>
      </c>
      <c r="U95" s="80">
        <f>(SUM(U81:U93,X81:X92)/SUM(I88:I97))-1</f>
        <v>0</v>
      </c>
      <c r="V95" s="48"/>
      <c r="W95" s="79" t="s">
        <v>10</v>
      </c>
      <c r="X95" s="67">
        <f>SUM(U81:U93,X81:X92)</f>
        <v>675373</v>
      </c>
    </row>
    <row r="96" spans="8:24" ht="15.75">
      <c r="H96" s="37" t="s">
        <v>111</v>
      </c>
      <c r="I96" s="60">
        <f>ONSV_AUX_2015!C64</f>
        <v>6653</v>
      </c>
      <c r="J96" s="10">
        <f t="shared" si="3"/>
        <v>6653</v>
      </c>
      <c r="K96" s="11"/>
      <c r="L96" s="11"/>
      <c r="M96" s="11"/>
      <c r="O96" s="48"/>
      <c r="P96" s="76"/>
      <c r="Q96" s="48"/>
      <c r="R96" s="48"/>
      <c r="S96" s="48"/>
      <c r="T96" s="48"/>
      <c r="U96" s="48"/>
      <c r="V96" s="48"/>
      <c r="W96" s="48"/>
      <c r="X96" s="48"/>
    </row>
    <row r="97" spans="1:25" ht="15.75">
      <c r="H97" s="37" t="s">
        <v>112</v>
      </c>
      <c r="I97" s="60">
        <f>ONSV_AUX_2015!C65</f>
        <v>4487</v>
      </c>
      <c r="J97" s="61">
        <f>I97-(L86*I82)</f>
        <v>4486.963956075735</v>
      </c>
      <c r="K97" s="12"/>
      <c r="L97" s="12"/>
      <c r="M97" s="12"/>
      <c r="N97" s="12"/>
      <c r="O97" s="12"/>
      <c r="P97" s="12"/>
      <c r="Q97" s="4"/>
      <c r="R97" s="4"/>
    </row>
    <row r="98" spans="1:25" ht="15.75">
      <c r="H98" s="39"/>
      <c r="I98" s="40"/>
      <c r="J98" s="21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5" ht="15.75">
      <c r="I99" s="40"/>
      <c r="J99" s="21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5" s="31" customFormat="1" ht="15.75">
      <c r="A100" s="101" t="str">
        <f>"ALAGOAS/"&amp;ONSV_AUX_2014!$A$1&amp;""</f>
        <v>ALAGOAS/2014</v>
      </c>
      <c r="B100" s="102"/>
      <c r="C100" s="102"/>
      <c r="D100" s="102"/>
      <c r="E100" s="102"/>
      <c r="F100" s="102"/>
    </row>
    <row r="101" spans="1:25"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.75">
      <c r="H102" s="23" t="s">
        <v>118</v>
      </c>
      <c r="N102" s="26"/>
      <c r="O102" s="26"/>
      <c r="P102" s="9"/>
      <c r="Q102" s="26"/>
      <c r="R102" s="26"/>
      <c r="S102" s="26"/>
      <c r="T102" s="25"/>
      <c r="U102" s="25"/>
      <c r="V102" s="25"/>
      <c r="W102" s="25"/>
      <c r="X102" s="25"/>
    </row>
    <row r="103" spans="1:25" ht="15.75">
      <c r="J103" s="9"/>
      <c r="M103" s="25"/>
      <c r="N103" s="9"/>
      <c r="O103" s="9"/>
      <c r="P103" s="9"/>
      <c r="Q103" s="11"/>
      <c r="R103" s="11"/>
      <c r="S103" s="11"/>
    </row>
    <row r="104" spans="1:25" ht="15.75">
      <c r="H104" s="36" t="s">
        <v>81</v>
      </c>
      <c r="I104" s="60">
        <f>ONSV_AUX_2014!C27</f>
        <v>23851</v>
      </c>
      <c r="J104" s="9"/>
      <c r="K104" s="104" t="s">
        <v>119</v>
      </c>
      <c r="L104" s="104"/>
      <c r="M104" s="9"/>
      <c r="N104" s="26" t="s">
        <v>120</v>
      </c>
      <c r="O104" s="26"/>
      <c r="Q104" s="26" t="s">
        <v>121</v>
      </c>
      <c r="R104" s="26"/>
      <c r="S104" s="26"/>
      <c r="T104" s="25" t="s">
        <v>122</v>
      </c>
      <c r="U104" s="25"/>
      <c r="V104" s="25"/>
      <c r="W104" s="25"/>
      <c r="X104" s="25"/>
    </row>
    <row r="105" spans="1:25" ht="15.75">
      <c r="H105" s="36" t="s">
        <v>84</v>
      </c>
      <c r="I105" s="60">
        <f>ONSV_AUX_2014!C28</f>
        <v>232583</v>
      </c>
      <c r="J105" s="9"/>
      <c r="K105" s="9"/>
      <c r="L105" s="9"/>
      <c r="M105" s="9"/>
      <c r="N105" s="9"/>
      <c r="O105" s="9"/>
      <c r="P105" s="20"/>
      <c r="Q105" s="11"/>
      <c r="R105" s="11"/>
      <c r="S105" s="11"/>
    </row>
    <row r="106" spans="1:25" ht="15.75">
      <c r="H106" s="36" t="s">
        <v>85</v>
      </c>
      <c r="I106" s="60">
        <f>ONSV_AUX_2014!C29</f>
        <v>54574</v>
      </c>
      <c r="J106" s="9"/>
      <c r="K106" s="2" t="s">
        <v>123</v>
      </c>
      <c r="L106" s="60">
        <f>I113+I116+I117+I122</f>
        <v>348201</v>
      </c>
      <c r="N106" s="28" t="s">
        <v>124</v>
      </c>
      <c r="O106" s="60">
        <f>J113+J122</f>
        <v>288722</v>
      </c>
      <c r="P106" s="64"/>
      <c r="Q106" s="65" t="s">
        <v>125</v>
      </c>
      <c r="R106" s="60">
        <f>J116+J117</f>
        <v>59479</v>
      </c>
      <c r="S106" s="66"/>
      <c r="T106" s="65" t="s">
        <v>126</v>
      </c>
      <c r="U106" s="67">
        <f>O110</f>
        <v>3142.4909878706853</v>
      </c>
      <c r="V106" s="48"/>
      <c r="W106" s="65" t="s">
        <v>127</v>
      </c>
      <c r="X106" s="68">
        <f>R112</f>
        <v>5875.8873383883383</v>
      </c>
    </row>
    <row r="107" spans="1:25" ht="15.75">
      <c r="H107" s="36" t="s">
        <v>101</v>
      </c>
      <c r="I107" s="60">
        <f>ONSV_AUX_2014!C30</f>
        <v>0</v>
      </c>
      <c r="J107" s="9"/>
      <c r="K107" s="27"/>
      <c r="L107" s="62"/>
      <c r="M107" s="20"/>
      <c r="N107" s="28" t="s">
        <v>128</v>
      </c>
      <c r="O107" s="69">
        <f>J113/O106</f>
        <v>0.98648873310658691</v>
      </c>
      <c r="P107" s="64"/>
      <c r="Q107" s="70" t="s">
        <v>129</v>
      </c>
      <c r="R107" s="63">
        <f>J116/R106</f>
        <v>0.72344861211520028</v>
      </c>
      <c r="S107" s="71"/>
      <c r="T107" s="65" t="s">
        <v>130</v>
      </c>
      <c r="U107" s="67">
        <f>I122-J122</f>
        <v>0</v>
      </c>
      <c r="V107" s="48"/>
      <c r="W107" s="65" t="s">
        <v>131</v>
      </c>
      <c r="X107" s="68">
        <f>I117-J117</f>
        <v>0</v>
      </c>
    </row>
    <row r="108" spans="1:25" ht="15.75">
      <c r="H108" s="36" t="s">
        <v>16</v>
      </c>
      <c r="I108" s="60">
        <f>ONSV_AUX_2014!C31</f>
        <v>18408</v>
      </c>
      <c r="J108" s="9"/>
      <c r="K108" s="2" t="s">
        <v>132</v>
      </c>
      <c r="L108" s="63">
        <f>I113/L106</f>
        <v>0.8179786962128196</v>
      </c>
      <c r="M108" s="20"/>
      <c r="N108" s="28" t="s">
        <v>133</v>
      </c>
      <c r="O108" s="69">
        <f>J122/O106</f>
        <v>1.3511266893413041E-2</v>
      </c>
      <c r="P108" s="64"/>
      <c r="Q108" s="70" t="s">
        <v>134</v>
      </c>
      <c r="R108" s="63">
        <f>J117/R106</f>
        <v>0.27655138788479966</v>
      </c>
      <c r="S108" s="71"/>
      <c r="T108" s="65" t="s">
        <v>135</v>
      </c>
      <c r="U108" s="72">
        <f>O112</f>
        <v>758.50901212931467</v>
      </c>
      <c r="V108" s="73"/>
      <c r="W108" s="65" t="s">
        <v>136</v>
      </c>
      <c r="X108" s="72">
        <f>R115</f>
        <v>10573.112661611662</v>
      </c>
    </row>
    <row r="109" spans="1:25" ht="15.75">
      <c r="H109" s="36" t="s">
        <v>94</v>
      </c>
      <c r="I109" s="60">
        <f>ONSV_AUX_2014!C32</f>
        <v>293566</v>
      </c>
      <c r="J109" s="10"/>
      <c r="K109" s="2" t="s">
        <v>2</v>
      </c>
      <c r="L109" s="63">
        <f>I116/L106</f>
        <v>0.12357804831117659</v>
      </c>
      <c r="M109" s="20"/>
      <c r="N109" s="20"/>
      <c r="O109" s="74"/>
      <c r="P109" s="48"/>
      <c r="Q109" s="48"/>
      <c r="R109" s="48"/>
      <c r="S109" s="48"/>
      <c r="T109" s="48"/>
      <c r="U109" s="62"/>
      <c r="V109" s="75"/>
      <c r="W109" s="48"/>
      <c r="X109" s="62"/>
    </row>
    <row r="110" spans="1:25" ht="15.75">
      <c r="K110" s="2" t="s">
        <v>3</v>
      </c>
      <c r="L110" s="63">
        <f>I117/L106</f>
        <v>4.7239956232176243E-2</v>
      </c>
      <c r="M110" s="20"/>
      <c r="N110" s="28" t="s">
        <v>137</v>
      </c>
      <c r="O110" s="60">
        <f>IF(O108*I105&gt;J122,J122,O108*I105)</f>
        <v>3142.4909878706853</v>
      </c>
      <c r="P110" s="76"/>
      <c r="Q110" s="65" t="s">
        <v>138</v>
      </c>
      <c r="R110" s="60">
        <f>I106-I114-I115-I118-I121</f>
        <v>21247</v>
      </c>
      <c r="S110" s="77"/>
      <c r="T110" s="65" t="s">
        <v>139</v>
      </c>
      <c r="U110" s="67">
        <f>O118</f>
        <v>229440.5090121293</v>
      </c>
      <c r="V110" s="76"/>
      <c r="W110" s="65" t="s">
        <v>140</v>
      </c>
      <c r="X110" s="67">
        <f>I114</f>
        <v>19376</v>
      </c>
    </row>
    <row r="111" spans="1:25" ht="15.75">
      <c r="H111" s="24" t="s">
        <v>141</v>
      </c>
      <c r="K111" s="2" t="s">
        <v>0</v>
      </c>
      <c r="L111" s="63">
        <f>I122/L106</f>
        <v>1.1203299243827559E-2</v>
      </c>
      <c r="O111" s="48"/>
      <c r="P111" s="76"/>
      <c r="Q111" s="65" t="s">
        <v>142</v>
      </c>
      <c r="R111" s="60">
        <f>R107*R110</f>
        <v>15371.11266161166</v>
      </c>
      <c r="S111" s="48"/>
      <c r="T111" s="65" t="s">
        <v>143</v>
      </c>
      <c r="U111" s="67">
        <f>O116</f>
        <v>23851</v>
      </c>
      <c r="V111" s="66"/>
      <c r="W111" s="65" t="s">
        <v>144</v>
      </c>
      <c r="X111" s="67">
        <f>I115</f>
        <v>2076</v>
      </c>
    </row>
    <row r="112" spans="1:25" ht="15.75">
      <c r="K112" s="11"/>
      <c r="L112" s="11"/>
      <c r="M112" s="11"/>
      <c r="N112" s="28" t="s">
        <v>145</v>
      </c>
      <c r="O112" s="60">
        <f>J122-O110</f>
        <v>758.50901212931467</v>
      </c>
      <c r="P112" s="76"/>
      <c r="Q112" s="65" t="s">
        <v>127</v>
      </c>
      <c r="R112" s="60">
        <f>R108*R110</f>
        <v>5875.8873383883383</v>
      </c>
      <c r="S112" s="48"/>
      <c r="T112" s="65" t="s">
        <v>146</v>
      </c>
      <c r="U112" s="67">
        <f>O117</f>
        <v>18408</v>
      </c>
      <c r="V112" s="71"/>
      <c r="W112" s="48"/>
      <c r="X112" s="62"/>
    </row>
    <row r="113" spans="8:24" ht="15.75">
      <c r="H113" s="37" t="s">
        <v>103</v>
      </c>
      <c r="I113" s="60">
        <f>ONSV_AUX_2014!C56</f>
        <v>284821</v>
      </c>
      <c r="J113" s="61">
        <f>I113-(L108*I107)</f>
        <v>284821</v>
      </c>
      <c r="K113" s="11"/>
      <c r="L113" s="11"/>
      <c r="M113" s="11"/>
      <c r="O113" s="76"/>
      <c r="P113" s="76"/>
      <c r="Q113" s="48"/>
      <c r="R113" s="78"/>
      <c r="S113" s="48"/>
      <c r="T113" s="65" t="s">
        <v>147</v>
      </c>
      <c r="U113" s="68">
        <f>I113-J113</f>
        <v>0</v>
      </c>
      <c r="V113" s="71"/>
      <c r="W113" s="65" t="s">
        <v>148</v>
      </c>
      <c r="X113" s="67">
        <f>I121</f>
        <v>6303</v>
      </c>
    </row>
    <row r="114" spans="8:24" ht="15.75">
      <c r="H114" s="37" t="s">
        <v>104</v>
      </c>
      <c r="I114" s="60">
        <f>ONSV_AUX_2014!C57</f>
        <v>19376</v>
      </c>
      <c r="J114" s="10">
        <f>I114</f>
        <v>19376</v>
      </c>
      <c r="K114" s="11"/>
      <c r="L114" s="11"/>
      <c r="M114" s="11"/>
      <c r="N114" s="26" t="s">
        <v>149</v>
      </c>
      <c r="O114" s="76"/>
      <c r="P114" s="76"/>
      <c r="Q114" s="65" t="s">
        <v>150</v>
      </c>
      <c r="R114" s="60">
        <f>J116-R111</f>
        <v>27658.88733838834</v>
      </c>
      <c r="S114" s="48"/>
      <c r="T114" s="65" t="s">
        <v>151</v>
      </c>
      <c r="U114" s="72">
        <f>O119</f>
        <v>13121.490987870697</v>
      </c>
      <c r="V114" s="48"/>
      <c r="W114" s="65" t="s">
        <v>152</v>
      </c>
      <c r="X114" s="67">
        <f>I118</f>
        <v>5572</v>
      </c>
    </row>
    <row r="115" spans="8:24" ht="15.75">
      <c r="H115" s="37" t="s">
        <v>105</v>
      </c>
      <c r="I115" s="60">
        <f>ONSV_AUX_2014!C58</f>
        <v>2076</v>
      </c>
      <c r="J115" s="10">
        <f>I115</f>
        <v>2076</v>
      </c>
      <c r="K115" s="11"/>
      <c r="L115" s="11"/>
      <c r="M115" s="11"/>
      <c r="O115" s="73"/>
      <c r="P115" s="76"/>
      <c r="Q115" s="65" t="s">
        <v>136</v>
      </c>
      <c r="R115" s="60">
        <f>J117-R112</f>
        <v>10573.112661611662</v>
      </c>
      <c r="S115" s="48"/>
      <c r="T115" s="48"/>
      <c r="U115" s="62"/>
      <c r="V115" s="77"/>
      <c r="W115" s="48"/>
      <c r="X115" s="62"/>
    </row>
    <row r="116" spans="8:24" ht="15.75">
      <c r="H116" s="37" t="s">
        <v>106</v>
      </c>
      <c r="I116" s="60">
        <f>ONSV_AUX_2014!C59</f>
        <v>43030</v>
      </c>
      <c r="J116" s="61">
        <f>I116-(L109*I107)</f>
        <v>43030</v>
      </c>
      <c r="K116" s="11"/>
      <c r="L116" s="11"/>
      <c r="M116" s="11"/>
      <c r="N116" s="28" t="s">
        <v>143</v>
      </c>
      <c r="O116" s="60">
        <f>I104</f>
        <v>23851</v>
      </c>
      <c r="P116" s="76"/>
      <c r="Q116" s="48"/>
      <c r="R116" s="48"/>
      <c r="S116" s="77"/>
      <c r="T116" s="65" t="s">
        <v>142</v>
      </c>
      <c r="U116" s="68">
        <f>R111</f>
        <v>15371.11266161166</v>
      </c>
      <c r="V116" s="48"/>
      <c r="W116" s="65" t="s">
        <v>153</v>
      </c>
      <c r="X116" s="67">
        <f>I119</f>
        <v>210233</v>
      </c>
    </row>
    <row r="117" spans="8:24" ht="15.75">
      <c r="H117" s="37" t="s">
        <v>107</v>
      </c>
      <c r="I117" s="60">
        <f>ONSV_AUX_2014!C60</f>
        <v>16449</v>
      </c>
      <c r="J117" s="61">
        <f>I117-(L110*I107)</f>
        <v>16449</v>
      </c>
      <c r="K117" s="11"/>
      <c r="L117" s="11"/>
      <c r="M117" s="11"/>
      <c r="N117" s="28" t="s">
        <v>146</v>
      </c>
      <c r="O117" s="60">
        <f>I108</f>
        <v>18408</v>
      </c>
      <c r="P117" s="76"/>
      <c r="Q117" s="48"/>
      <c r="R117" s="48"/>
      <c r="S117" s="48"/>
      <c r="T117" s="65" t="s">
        <v>154</v>
      </c>
      <c r="U117" s="68">
        <f>I116-J116</f>
        <v>0</v>
      </c>
      <c r="V117" s="48"/>
      <c r="W117" s="65" t="s">
        <v>155</v>
      </c>
      <c r="X117" s="67">
        <f>I120</f>
        <v>30870</v>
      </c>
    </row>
    <row r="118" spans="8:24" ht="15.75">
      <c r="H118" s="37" t="s">
        <v>108</v>
      </c>
      <c r="I118" s="60">
        <f>ONSV_AUX_2014!C61</f>
        <v>5572</v>
      </c>
      <c r="J118" s="10">
        <f>I118</f>
        <v>5572</v>
      </c>
      <c r="K118" s="11"/>
      <c r="L118" s="11"/>
      <c r="M118" s="11"/>
      <c r="N118" s="28" t="s">
        <v>139</v>
      </c>
      <c r="O118" s="60">
        <f>IF(OR((O107*I105&gt;J113),((O116+O117+(O107*I105))&gt;J113)),(J113-O116-O117),(O107*I105))</f>
        <v>229440.5090121293</v>
      </c>
      <c r="P118" s="76"/>
      <c r="Q118" s="48"/>
      <c r="R118" s="78"/>
      <c r="S118" s="48"/>
      <c r="T118" s="65" t="s">
        <v>150</v>
      </c>
      <c r="U118" s="72">
        <f>R114</f>
        <v>27658.88733838834</v>
      </c>
      <c r="V118" s="48"/>
      <c r="W118" s="48"/>
      <c r="X118" s="48"/>
    </row>
    <row r="119" spans="8:24" ht="15.75">
      <c r="H119" s="37" t="s">
        <v>109</v>
      </c>
      <c r="I119" s="60">
        <f>ONSV_AUX_2014!C62</f>
        <v>210233</v>
      </c>
      <c r="J119" s="10">
        <f t="shared" ref="J119:J121" si="4">I119</f>
        <v>210233</v>
      </c>
      <c r="K119" s="11"/>
      <c r="L119" s="11"/>
      <c r="M119" s="11"/>
      <c r="N119" s="28" t="s">
        <v>151</v>
      </c>
      <c r="O119" s="60">
        <f>IF((J113-O116-O118-O117)&lt;0,0,(J113-O116-O118-O117))</f>
        <v>13121.490987870697</v>
      </c>
      <c r="P119" s="48"/>
      <c r="Q119" s="48"/>
      <c r="R119" s="48"/>
      <c r="S119" s="48"/>
      <c r="T119" s="48"/>
      <c r="U119" s="62"/>
      <c r="V119" s="48"/>
      <c r="W119" s="48"/>
      <c r="X119" s="48"/>
    </row>
    <row r="120" spans="8:24" ht="15.75">
      <c r="H120" s="37" t="s">
        <v>110</v>
      </c>
      <c r="I120" s="60">
        <f>ONSV_AUX_2014!C63</f>
        <v>30870</v>
      </c>
      <c r="J120" s="10">
        <f t="shared" si="4"/>
        <v>30870</v>
      </c>
      <c r="K120" s="11"/>
      <c r="L120" s="11"/>
      <c r="M120" s="11"/>
      <c r="O120" s="48"/>
      <c r="P120" s="76"/>
      <c r="Q120" s="48"/>
      <c r="R120" s="48"/>
      <c r="S120" s="48"/>
      <c r="T120" s="79" t="s">
        <v>156</v>
      </c>
      <c r="U120" s="80">
        <f>(SUM(U106:U118,X106:X117)/SUM(I113:I122))-1</f>
        <v>0</v>
      </c>
      <c r="V120" s="48"/>
      <c r="W120" s="79" t="s">
        <v>10</v>
      </c>
      <c r="X120" s="67">
        <f>SUM(U106:U118,X106:X117)</f>
        <v>622631</v>
      </c>
    </row>
    <row r="121" spans="8:24" ht="15.75">
      <c r="H121" s="37" t="s">
        <v>111</v>
      </c>
      <c r="I121" s="60">
        <f>ONSV_AUX_2014!C64</f>
        <v>6303</v>
      </c>
      <c r="J121" s="10">
        <f t="shared" si="4"/>
        <v>6303</v>
      </c>
      <c r="K121" s="11"/>
      <c r="L121" s="11"/>
      <c r="M121" s="11"/>
      <c r="O121" s="48"/>
      <c r="P121" s="76"/>
      <c r="Q121" s="48"/>
      <c r="R121" s="48"/>
      <c r="S121" s="48"/>
      <c r="T121" s="48"/>
      <c r="U121" s="48"/>
      <c r="V121" s="48"/>
      <c r="W121" s="48"/>
      <c r="X121" s="48"/>
    </row>
    <row r="122" spans="8:24" ht="15.75">
      <c r="H122" s="37" t="s">
        <v>112</v>
      </c>
      <c r="I122" s="60">
        <f>ONSV_AUX_2014!C65</f>
        <v>3901</v>
      </c>
      <c r="J122" s="61">
        <f>I122-(L111*I107)</f>
        <v>3901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A100:F100"/>
    <mergeCell ref="K104:L104"/>
    <mergeCell ref="K54:L54"/>
    <mergeCell ref="A75:F75"/>
    <mergeCell ref="K79:L79"/>
    <mergeCell ref="K29:L29"/>
    <mergeCell ref="A25:F25"/>
    <mergeCell ref="A50:F50"/>
    <mergeCell ref="T52:X52"/>
    <mergeCell ref="A1:F1"/>
    <mergeCell ref="Q4:R4"/>
    <mergeCell ref="T4:X4"/>
    <mergeCell ref="K5:L5"/>
    <mergeCell ref="T27:X2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X122"/>
  <sheetViews>
    <sheetView showGridLines="0" topLeftCell="A94" zoomScale="90" zoomScaleNormal="90" workbookViewId="0">
      <selection activeCell="H91" sqref="H91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</cols>
  <sheetData>
    <row r="1" spans="1:24" s="31" customFormat="1" ht="15.75">
      <c r="A1" s="101" t="str">
        <f>"AMAPÁ/"&amp;ONSV_AUX_2018!$A$1&amp;""</f>
        <v>AMAPÁ/2018</v>
      </c>
      <c r="B1" s="102"/>
      <c r="C1" s="102"/>
      <c r="D1" s="102"/>
      <c r="E1" s="102"/>
      <c r="F1" s="102"/>
    </row>
    <row r="2" spans="1:24" s="4" customFormat="1" ht="15.75">
      <c r="A2" s="32"/>
      <c r="B2" s="32"/>
      <c r="C2" s="32"/>
      <c r="D2" s="32"/>
      <c r="E2" s="32"/>
      <c r="F2" s="32"/>
    </row>
    <row r="3" spans="1:24" ht="15.75">
      <c r="A3" s="12"/>
      <c r="H3" s="23" t="s">
        <v>118</v>
      </c>
    </row>
    <row r="4" spans="1:24" ht="15.75">
      <c r="B4" s="5"/>
      <c r="J4" s="9"/>
      <c r="M4" s="25"/>
      <c r="N4" s="25"/>
      <c r="O4" s="25"/>
      <c r="P4" s="25"/>
      <c r="Q4" s="103"/>
      <c r="R4" s="103"/>
      <c r="S4" s="22"/>
      <c r="T4" s="104"/>
      <c r="U4" s="104"/>
      <c r="V4" s="104"/>
      <c r="W4" s="104"/>
      <c r="X4" s="104"/>
    </row>
    <row r="5" spans="1:24" ht="15.75">
      <c r="H5" s="36" t="s">
        <v>81</v>
      </c>
      <c r="I5" s="60">
        <f>ONSV_AUX_2018!D27</f>
        <v>1440</v>
      </c>
      <c r="J5" s="9"/>
      <c r="K5" s="104" t="s">
        <v>119</v>
      </c>
      <c r="L5" s="104"/>
      <c r="M5" s="9"/>
      <c r="N5" s="26" t="s">
        <v>120</v>
      </c>
      <c r="O5" s="26"/>
      <c r="Q5" s="26" t="s">
        <v>121</v>
      </c>
      <c r="R5" s="26"/>
      <c r="S5" s="26"/>
      <c r="T5" s="25" t="s">
        <v>122</v>
      </c>
      <c r="U5" s="25"/>
      <c r="V5" s="25"/>
      <c r="W5" s="25"/>
      <c r="X5" s="25"/>
    </row>
    <row r="6" spans="1:24" ht="15.75">
      <c r="H6" s="36" t="s">
        <v>84</v>
      </c>
      <c r="I6" s="60">
        <f>ONSV_AUX_2018!D28</f>
        <v>87920</v>
      </c>
      <c r="J6" s="9"/>
      <c r="K6" s="9"/>
      <c r="L6" s="9"/>
      <c r="M6" s="9"/>
      <c r="N6" s="9"/>
      <c r="O6" s="9"/>
      <c r="P6" s="20"/>
      <c r="Q6" s="11"/>
      <c r="R6" s="11"/>
      <c r="S6" s="11"/>
    </row>
    <row r="7" spans="1:24" ht="15.75">
      <c r="H7" s="36" t="s">
        <v>85</v>
      </c>
      <c r="I7" s="60">
        <f>ONSV_AUX_2018!D29</f>
        <v>13356</v>
      </c>
      <c r="J7" s="9"/>
      <c r="K7" s="2" t="s">
        <v>123</v>
      </c>
      <c r="L7" s="60">
        <f>I14+I17+I18+I23</f>
        <v>105192</v>
      </c>
      <c r="N7" s="28" t="s">
        <v>124</v>
      </c>
      <c r="O7" s="60">
        <f>J14+J23</f>
        <v>79407.409822039699</v>
      </c>
      <c r="P7" s="64"/>
      <c r="Q7" s="65" t="s">
        <v>125</v>
      </c>
      <c r="R7" s="60">
        <f>J17+J18</f>
        <v>25766.590177960301</v>
      </c>
      <c r="S7" s="66"/>
      <c r="T7" s="65" t="s">
        <v>126</v>
      </c>
      <c r="U7" s="67">
        <f>O11</f>
        <v>968.83418891170436</v>
      </c>
      <c r="V7" s="48"/>
      <c r="W7" s="65" t="s">
        <v>127</v>
      </c>
      <c r="X7" s="68">
        <f>R13</f>
        <v>1253.709285631136</v>
      </c>
    </row>
    <row r="8" spans="1:24" ht="15.75">
      <c r="H8" s="36" t="s">
        <v>101</v>
      </c>
      <c r="I8" s="60">
        <f>ONSV_AUX_2018!D30</f>
        <v>18</v>
      </c>
      <c r="J8" s="9"/>
      <c r="K8" s="27"/>
      <c r="L8" s="62"/>
      <c r="M8" s="20"/>
      <c r="N8" s="28" t="s">
        <v>128</v>
      </c>
      <c r="O8" s="69">
        <f>J14/O7</f>
        <v>0.98779919668601512</v>
      </c>
      <c r="P8" s="64"/>
      <c r="Q8" s="70" t="s">
        <v>129</v>
      </c>
      <c r="R8" s="63">
        <f>J17/R7</f>
        <v>0.82685964844204729</v>
      </c>
      <c r="S8" s="71"/>
      <c r="T8" s="65" t="s">
        <v>130</v>
      </c>
      <c r="U8" s="67">
        <f>I23-J23</f>
        <v>0.16581108829564073</v>
      </c>
      <c r="V8" s="48"/>
      <c r="W8" s="65" t="s">
        <v>131</v>
      </c>
      <c r="X8" s="68">
        <f>I18-J18</f>
        <v>0.76351813826113357</v>
      </c>
    </row>
    <row r="9" spans="1:24" ht="15.75">
      <c r="H9" s="36" t="s">
        <v>16</v>
      </c>
      <c r="I9" s="60">
        <f>ONSV_AUX_2018!D31</f>
        <v>12</v>
      </c>
      <c r="J9" s="9"/>
      <c r="K9" s="2" t="s">
        <v>132</v>
      </c>
      <c r="L9" s="63">
        <f>I14/L7</f>
        <v>0.74579815955585971</v>
      </c>
      <c r="M9" s="20"/>
      <c r="N9" s="28" t="s">
        <v>133</v>
      </c>
      <c r="O9" s="69">
        <f>J23/O7</f>
        <v>1.2200803313984966E-2</v>
      </c>
      <c r="P9" s="64"/>
      <c r="Q9" s="70" t="s">
        <v>134</v>
      </c>
      <c r="R9" s="63">
        <f>J18/R7</f>
        <v>0.17314035155795277</v>
      </c>
      <c r="S9" s="71"/>
      <c r="T9" s="65" t="s">
        <v>135</v>
      </c>
      <c r="U9" s="72">
        <f>O13</f>
        <v>0</v>
      </c>
      <c r="V9" s="73"/>
      <c r="W9" s="65" t="s">
        <v>136</v>
      </c>
      <c r="X9" s="72">
        <f>R16</f>
        <v>3207.5271962306028</v>
      </c>
    </row>
    <row r="10" spans="1:24" ht="15.75">
      <c r="H10" s="36" t="s">
        <v>94</v>
      </c>
      <c r="I10" s="60">
        <f>ONSV_AUX_2018!D32</f>
        <v>85054</v>
      </c>
      <c r="J10" s="10"/>
      <c r="K10" s="2" t="s">
        <v>2</v>
      </c>
      <c r="L10" s="63">
        <f>I17/L7</f>
        <v>0.20257243896874286</v>
      </c>
      <c r="M10" s="20"/>
      <c r="N10" s="20"/>
      <c r="O10" s="74"/>
      <c r="P10" s="48"/>
      <c r="Q10" s="48"/>
      <c r="R10" s="48"/>
      <c r="S10" s="48"/>
      <c r="T10" s="48"/>
      <c r="U10" s="62"/>
      <c r="V10" s="75"/>
      <c r="W10" s="48"/>
      <c r="X10" s="62"/>
    </row>
    <row r="11" spans="1:24" ht="15.75">
      <c r="K11" s="2" t="s">
        <v>3</v>
      </c>
      <c r="L11" s="63">
        <f>I18/L7</f>
        <v>4.2417674347859154E-2</v>
      </c>
      <c r="M11" s="20"/>
      <c r="N11" s="28" t="s">
        <v>137</v>
      </c>
      <c r="O11" s="60">
        <f>IF(O9*I6&gt;J23,J23,O9*I6)</f>
        <v>968.83418891170436</v>
      </c>
      <c r="P11" s="76"/>
      <c r="Q11" s="65" t="s">
        <v>138</v>
      </c>
      <c r="R11" s="60">
        <f>I7-I15-I16-I19-I22</f>
        <v>7241</v>
      </c>
      <c r="S11" s="77"/>
      <c r="T11" s="65" t="s">
        <v>139</v>
      </c>
      <c r="U11" s="67">
        <f>O19</f>
        <v>76986.575633127999</v>
      </c>
      <c r="V11" s="76"/>
      <c r="W11" s="65" t="s">
        <v>140</v>
      </c>
      <c r="X11" s="67">
        <f>I15</f>
        <v>4092</v>
      </c>
    </row>
    <row r="12" spans="1:24" ht="15.75">
      <c r="H12" s="24" t="s">
        <v>141</v>
      </c>
      <c r="K12" s="2" t="s">
        <v>0</v>
      </c>
      <c r="L12" s="63">
        <f>I23/L7</f>
        <v>9.2117271275382155E-3</v>
      </c>
      <c r="O12" s="48"/>
      <c r="P12" s="76"/>
      <c r="Q12" s="65" t="s">
        <v>142</v>
      </c>
      <c r="R12" s="60">
        <f>R8*R11</f>
        <v>5987.2907143688644</v>
      </c>
      <c r="S12" s="48"/>
      <c r="T12" s="65" t="s">
        <v>143</v>
      </c>
      <c r="U12" s="67">
        <f>O17</f>
        <v>1440</v>
      </c>
      <c r="V12" s="66"/>
      <c r="W12" s="65" t="s">
        <v>144</v>
      </c>
      <c r="X12" s="67">
        <f>I16</f>
        <v>360</v>
      </c>
    </row>
    <row r="13" spans="1:24" ht="15.75">
      <c r="K13" s="11"/>
      <c r="L13" s="11"/>
      <c r="M13" s="11"/>
      <c r="N13" s="28" t="s">
        <v>145</v>
      </c>
      <c r="O13" s="60">
        <f>J23-O11</f>
        <v>0</v>
      </c>
      <c r="P13" s="76"/>
      <c r="Q13" s="65" t="s">
        <v>127</v>
      </c>
      <c r="R13" s="60">
        <f>R9*R11</f>
        <v>1253.709285631136</v>
      </c>
      <c r="S13" s="48"/>
      <c r="T13" s="65" t="s">
        <v>146</v>
      </c>
      <c r="U13" s="67">
        <f>O18</f>
        <v>12</v>
      </c>
      <c r="V13" s="71"/>
      <c r="W13" s="48"/>
      <c r="X13" s="62"/>
    </row>
    <row r="14" spans="1:24" ht="15.75">
      <c r="H14" s="37" t="s">
        <v>103</v>
      </c>
      <c r="I14" s="60">
        <f>ONSV_AUX_2018!D56</f>
        <v>78452</v>
      </c>
      <c r="J14" s="61">
        <f>I14-(L9*I8)</f>
        <v>78438.575633127999</v>
      </c>
      <c r="K14" s="11"/>
      <c r="L14" s="11"/>
      <c r="M14" s="11"/>
      <c r="O14" s="76"/>
      <c r="P14" s="76"/>
      <c r="Q14" s="48"/>
      <c r="R14" s="78"/>
      <c r="S14" s="48"/>
      <c r="T14" s="65" t="s">
        <v>147</v>
      </c>
      <c r="U14" s="68">
        <f>I14-J14</f>
        <v>13.424366872000974</v>
      </c>
      <c r="V14" s="71"/>
      <c r="W14" s="65" t="s">
        <v>148</v>
      </c>
      <c r="X14" s="67">
        <f>I22</f>
        <v>1208</v>
      </c>
    </row>
    <row r="15" spans="1:24" ht="15.75">
      <c r="H15" s="37" t="s">
        <v>104</v>
      </c>
      <c r="I15" s="60">
        <f>ONSV_AUX_2018!D57</f>
        <v>4092</v>
      </c>
      <c r="J15" s="10">
        <f>I15</f>
        <v>4092</v>
      </c>
      <c r="K15" s="11"/>
      <c r="L15" s="11"/>
      <c r="M15" s="11"/>
      <c r="N15" s="26" t="s">
        <v>149</v>
      </c>
      <c r="O15" s="76"/>
      <c r="P15" s="76"/>
      <c r="Q15" s="65" t="s">
        <v>150</v>
      </c>
      <c r="R15" s="60">
        <f>J17-R12</f>
        <v>15318.062981729698</v>
      </c>
      <c r="S15" s="48"/>
      <c r="T15" s="65" t="s">
        <v>151</v>
      </c>
      <c r="U15" s="72">
        <f>O20</f>
        <v>0</v>
      </c>
      <c r="V15" s="48"/>
      <c r="W15" s="65" t="s">
        <v>152</v>
      </c>
      <c r="X15" s="67">
        <f>I19</f>
        <v>455</v>
      </c>
    </row>
    <row r="16" spans="1:24" ht="15.75">
      <c r="H16" s="37" t="s">
        <v>105</v>
      </c>
      <c r="I16" s="60">
        <f>ONSV_AUX_2018!D58</f>
        <v>360</v>
      </c>
      <c r="J16" s="10">
        <f>I16</f>
        <v>360</v>
      </c>
      <c r="K16" s="11"/>
      <c r="L16" s="11"/>
      <c r="M16" s="11"/>
      <c r="O16" s="73"/>
      <c r="P16" s="76"/>
      <c r="Q16" s="65" t="s">
        <v>136</v>
      </c>
      <c r="R16" s="60">
        <f>J18-R13</f>
        <v>3207.5271962306028</v>
      </c>
      <c r="S16" s="48"/>
      <c r="T16" s="48"/>
      <c r="U16" s="62"/>
      <c r="V16" s="77"/>
      <c r="W16" s="48"/>
      <c r="X16" s="62"/>
    </row>
    <row r="17" spans="1:24" ht="15.75">
      <c r="H17" s="37" t="s">
        <v>106</v>
      </c>
      <c r="I17" s="60">
        <f>ONSV_AUX_2018!D59</f>
        <v>21309</v>
      </c>
      <c r="J17" s="61">
        <f>I17-(L10*I8)</f>
        <v>21305.353696098562</v>
      </c>
      <c r="K17" s="11"/>
      <c r="L17" s="11"/>
      <c r="M17" s="11"/>
      <c r="N17" s="28" t="s">
        <v>143</v>
      </c>
      <c r="O17" s="60">
        <f>I5</f>
        <v>1440</v>
      </c>
      <c r="P17" s="76"/>
      <c r="Q17" s="48"/>
      <c r="R17" s="48"/>
      <c r="S17" s="77"/>
      <c r="T17" s="65" t="s">
        <v>142</v>
      </c>
      <c r="U17" s="68">
        <f>R12</f>
        <v>5987.2907143688644</v>
      </c>
      <c r="V17" s="48"/>
      <c r="W17" s="65" t="s">
        <v>153</v>
      </c>
      <c r="X17" s="67">
        <f>I20</f>
        <v>63513</v>
      </c>
    </row>
    <row r="18" spans="1:24" ht="15.75">
      <c r="H18" s="37" t="s">
        <v>107</v>
      </c>
      <c r="I18" s="60">
        <f>ONSV_AUX_2018!D60</f>
        <v>4462</v>
      </c>
      <c r="J18" s="61">
        <f>I18-(L11*I8)</f>
        <v>4461.2364818617389</v>
      </c>
      <c r="K18" s="11"/>
      <c r="L18" s="11"/>
      <c r="M18" s="11"/>
      <c r="N18" s="28" t="s">
        <v>146</v>
      </c>
      <c r="O18" s="60">
        <f>I9</f>
        <v>12</v>
      </c>
      <c r="P18" s="76"/>
      <c r="Q18" s="48"/>
      <c r="R18" s="48"/>
      <c r="S18" s="48"/>
      <c r="T18" s="65" t="s">
        <v>154</v>
      </c>
      <c r="U18" s="68">
        <f>I17-J17</f>
        <v>3.6463039014379319</v>
      </c>
      <c r="V18" s="48"/>
      <c r="W18" s="65" t="s">
        <v>155</v>
      </c>
      <c r="X18" s="67">
        <f>I21</f>
        <v>12349</v>
      </c>
    </row>
    <row r="19" spans="1:24" ht="15.75">
      <c r="H19" s="37" t="s">
        <v>108</v>
      </c>
      <c r="I19" s="60">
        <f>ONSV_AUX_2018!D61</f>
        <v>455</v>
      </c>
      <c r="J19" s="10">
        <f>I19</f>
        <v>455</v>
      </c>
      <c r="K19" s="11"/>
      <c r="L19" s="11"/>
      <c r="M19" s="11"/>
      <c r="N19" s="28" t="s">
        <v>139</v>
      </c>
      <c r="O19" s="60">
        <f>IF(OR((O8*I6&gt;J14),((O17+O18+(O8*I6))&gt;J14)),(J14-O17-O18),(O8*I6))</f>
        <v>76986.575633127999</v>
      </c>
      <c r="P19" s="76"/>
      <c r="Q19" s="48"/>
      <c r="R19" s="78"/>
      <c r="S19" s="48"/>
      <c r="T19" s="65" t="s">
        <v>150</v>
      </c>
      <c r="U19" s="72">
        <f>R15</f>
        <v>15318.062981729698</v>
      </c>
      <c r="V19" s="48"/>
      <c r="W19" s="48"/>
      <c r="X19" s="48"/>
    </row>
    <row r="20" spans="1:24" ht="15.75">
      <c r="H20" s="37" t="s">
        <v>109</v>
      </c>
      <c r="I20" s="60">
        <f>ONSV_AUX_2018!D62</f>
        <v>63513</v>
      </c>
      <c r="J20" s="10">
        <f t="shared" ref="J20:J22" si="0">I20</f>
        <v>63513</v>
      </c>
      <c r="K20" s="11"/>
      <c r="L20" s="11"/>
      <c r="M20" s="11"/>
      <c r="N20" s="28" t="s">
        <v>151</v>
      </c>
      <c r="O20" s="60">
        <f>IF((J14-O17-O19-O18)&lt;0,0,(J14-O17-O19-O18))</f>
        <v>0</v>
      </c>
      <c r="P20" s="48"/>
      <c r="Q20" s="48"/>
      <c r="R20" s="48"/>
      <c r="S20" s="48"/>
      <c r="T20" s="48"/>
      <c r="U20" s="62"/>
      <c r="V20" s="48"/>
      <c r="W20" s="48"/>
      <c r="X20" s="48"/>
    </row>
    <row r="21" spans="1:24" ht="15.75">
      <c r="H21" s="37" t="s">
        <v>110</v>
      </c>
      <c r="I21" s="60">
        <f>ONSV_AUX_2018!D63</f>
        <v>12349</v>
      </c>
      <c r="J21" s="10">
        <f t="shared" si="0"/>
        <v>12349</v>
      </c>
      <c r="K21" s="11"/>
      <c r="L21" s="11"/>
      <c r="M21" s="11"/>
      <c r="O21" s="48"/>
      <c r="P21" s="76"/>
      <c r="Q21" s="48"/>
      <c r="R21" s="48"/>
      <c r="S21" s="48"/>
      <c r="T21" s="79" t="s">
        <v>156</v>
      </c>
      <c r="U21" s="80">
        <f>(SUM(U7:U19,X7:X18)/SUM(I14:I23))-1</f>
        <v>0</v>
      </c>
      <c r="V21" s="48"/>
      <c r="W21" s="79" t="s">
        <v>10</v>
      </c>
      <c r="X21" s="67">
        <f>SUM(U7:U19,X7:X18)</f>
        <v>187169</v>
      </c>
    </row>
    <row r="22" spans="1:24" ht="15.75">
      <c r="H22" s="37" t="s">
        <v>111</v>
      </c>
      <c r="I22" s="60">
        <f>ONSV_AUX_2018!D64</f>
        <v>1208</v>
      </c>
      <c r="J22" s="10">
        <f t="shared" si="0"/>
        <v>1208</v>
      </c>
      <c r="K22" s="11"/>
      <c r="L22" s="11"/>
      <c r="M22" s="11"/>
      <c r="O22" s="48"/>
      <c r="P22" s="76"/>
      <c r="Q22" s="48"/>
      <c r="R22" s="48"/>
      <c r="S22" s="48"/>
      <c r="T22" s="48"/>
      <c r="U22" s="48"/>
      <c r="V22" s="48"/>
      <c r="W22" s="48"/>
      <c r="X22" s="48"/>
    </row>
    <row r="23" spans="1:24" ht="15.75">
      <c r="H23" s="37" t="s">
        <v>112</v>
      </c>
      <c r="I23" s="60">
        <f>ONSV_AUX_2018!D65</f>
        <v>969</v>
      </c>
      <c r="J23" s="61">
        <f>I23-(L12*I8)</f>
        <v>968.83418891170436</v>
      </c>
      <c r="K23" s="12"/>
      <c r="L23" s="12"/>
      <c r="M23" s="12"/>
      <c r="N23" s="12"/>
      <c r="O23" s="12"/>
      <c r="P23" s="12"/>
      <c r="Q23" s="4"/>
      <c r="R23" s="4"/>
    </row>
    <row r="25" spans="1:24" s="31" customFormat="1" ht="15.75">
      <c r="A25" s="101" t="str">
        <f>"AMAPÁ/"&amp;ONSV_AUX_2017!$A$1&amp;""</f>
        <v>AMAPÁ/2017</v>
      </c>
      <c r="B25" s="102"/>
      <c r="C25" s="102"/>
      <c r="D25" s="102"/>
      <c r="E25" s="102"/>
      <c r="F25" s="102"/>
    </row>
    <row r="26" spans="1:24" ht="15.75">
      <c r="A26" s="12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>
      <c r="A27" s="12"/>
      <c r="H27" s="23" t="s">
        <v>118</v>
      </c>
      <c r="N27" s="26"/>
      <c r="O27" s="26"/>
      <c r="P27" s="9"/>
      <c r="Q27" s="26"/>
      <c r="R27" s="26"/>
      <c r="S27" s="26"/>
      <c r="T27" s="104"/>
      <c r="U27" s="104"/>
      <c r="V27" s="104"/>
      <c r="W27" s="104"/>
      <c r="X27" s="104"/>
    </row>
    <row r="28" spans="1:24" ht="15.75">
      <c r="B28" s="5"/>
      <c r="J28" s="9"/>
      <c r="M28" s="25"/>
    </row>
    <row r="29" spans="1:24" ht="15.75">
      <c r="H29" s="36" t="s">
        <v>81</v>
      </c>
      <c r="I29" s="60">
        <f>ONSV_AUX_2017!D27</f>
        <v>1435</v>
      </c>
      <c r="J29" s="9"/>
      <c r="K29" s="104" t="s">
        <v>119</v>
      </c>
      <c r="L29" s="104"/>
      <c r="M29" s="9"/>
      <c r="N29" s="26" t="s">
        <v>120</v>
      </c>
      <c r="O29" s="26"/>
      <c r="Q29" s="26" t="s">
        <v>121</v>
      </c>
      <c r="R29" s="26"/>
      <c r="S29" s="26"/>
      <c r="T29" s="25" t="s">
        <v>122</v>
      </c>
      <c r="U29" s="25"/>
      <c r="V29" s="25"/>
      <c r="W29" s="25"/>
      <c r="X29" s="25"/>
    </row>
    <row r="30" spans="1:24" ht="15.75">
      <c r="H30" s="36" t="s">
        <v>84</v>
      </c>
      <c r="I30" s="60">
        <f>ONSV_AUX_2017!D28</f>
        <v>82192</v>
      </c>
      <c r="J30" s="9"/>
      <c r="K30" s="9"/>
      <c r="L30" s="9"/>
      <c r="M30" s="9"/>
      <c r="N30" s="9"/>
      <c r="O30" s="9"/>
      <c r="P30" s="20"/>
      <c r="Q30" s="11"/>
      <c r="R30" s="11"/>
      <c r="S30" s="11"/>
    </row>
    <row r="31" spans="1:24" ht="15.75">
      <c r="H31" s="36" t="s">
        <v>85</v>
      </c>
      <c r="I31" s="60">
        <f>ONSV_AUX_2017!D29</f>
        <v>12939</v>
      </c>
      <c r="J31" s="9"/>
      <c r="K31" s="2" t="s">
        <v>123</v>
      </c>
      <c r="L31" s="60">
        <f>I38+I41+I42+I47</f>
        <v>100804</v>
      </c>
      <c r="N31" s="28" t="s">
        <v>124</v>
      </c>
      <c r="O31" s="60">
        <f>J38+J47</f>
        <v>76305.400976151737</v>
      </c>
      <c r="P31" s="64"/>
      <c r="Q31" s="65" t="s">
        <v>125</v>
      </c>
      <c r="R31" s="60">
        <f>J41+J42</f>
        <v>24484.599023848263</v>
      </c>
      <c r="S31" s="66"/>
      <c r="T31" s="65" t="s">
        <v>126</v>
      </c>
      <c r="U31" s="67">
        <f>O35</f>
        <v>873.87861592793934</v>
      </c>
      <c r="V31" s="48"/>
      <c r="W31" s="65" t="s">
        <v>127</v>
      </c>
      <c r="X31" s="68">
        <f>R37</f>
        <v>1217.5363443319177</v>
      </c>
    </row>
    <row r="32" spans="1:24" ht="15.75">
      <c r="H32" s="36" t="s">
        <v>101</v>
      </c>
      <c r="I32" s="60">
        <f>ONSV_AUX_2017!D30</f>
        <v>14</v>
      </c>
      <c r="J32" s="9"/>
      <c r="K32" s="27"/>
      <c r="L32" s="62"/>
      <c r="M32" s="20"/>
      <c r="N32" s="28" t="s">
        <v>128</v>
      </c>
      <c r="O32" s="69">
        <f>J38/O31</f>
        <v>0.98854761779967504</v>
      </c>
      <c r="P32" s="64"/>
      <c r="Q32" s="70" t="s">
        <v>129</v>
      </c>
      <c r="R32" s="63">
        <f>J41/R31</f>
        <v>0.82501633453119894</v>
      </c>
      <c r="S32" s="71"/>
      <c r="T32" s="65" t="s">
        <v>130</v>
      </c>
      <c r="U32" s="67">
        <f>I47-J47</f>
        <v>0.12138407206066404</v>
      </c>
      <c r="V32" s="48"/>
      <c r="W32" s="65" t="s">
        <v>131</v>
      </c>
      <c r="X32" s="68">
        <f>I42-J42</f>
        <v>0.59511527320319146</v>
      </c>
    </row>
    <row r="33" spans="8:24" ht="15.75">
      <c r="H33" s="36" t="s">
        <v>16</v>
      </c>
      <c r="I33" s="60">
        <f>ONSV_AUX_2017!D31</f>
        <v>9</v>
      </c>
      <c r="J33" s="9"/>
      <c r="K33" s="2" t="s">
        <v>132</v>
      </c>
      <c r="L33" s="63">
        <f>I38/L31</f>
        <v>0.74840284115709699</v>
      </c>
      <c r="M33" s="20"/>
      <c r="N33" s="28" t="s">
        <v>133</v>
      </c>
      <c r="O33" s="69">
        <f>J47/O31</f>
        <v>1.1452382200324965E-2</v>
      </c>
      <c r="P33" s="64"/>
      <c r="Q33" s="70" t="s">
        <v>134</v>
      </c>
      <c r="R33" s="63">
        <f>J42/R31</f>
        <v>0.17498366546880104</v>
      </c>
      <c r="S33" s="71"/>
      <c r="T33" s="65" t="s">
        <v>135</v>
      </c>
      <c r="U33" s="72">
        <f>O37</f>
        <v>0</v>
      </c>
      <c r="V33" s="73"/>
      <c r="W33" s="65" t="s">
        <v>136</v>
      </c>
      <c r="X33" s="72">
        <f>R40</f>
        <v>3066.8685403948793</v>
      </c>
    </row>
    <row r="34" spans="8:24" ht="15.75">
      <c r="H34" s="36" t="s">
        <v>94</v>
      </c>
      <c r="I34" s="60">
        <f>ONSV_AUX_2017!D32</f>
        <v>83478</v>
      </c>
      <c r="J34" s="10"/>
      <c r="K34" s="2" t="s">
        <v>2</v>
      </c>
      <c r="L34" s="63">
        <f>I41/L31</f>
        <v>0.20041863418118328</v>
      </c>
      <c r="M34" s="20"/>
      <c r="N34" s="20"/>
      <c r="O34" s="74"/>
      <c r="P34" s="48"/>
      <c r="Q34" s="48"/>
      <c r="R34" s="48"/>
      <c r="S34" s="48"/>
      <c r="T34" s="48"/>
      <c r="U34" s="62"/>
      <c r="V34" s="75"/>
      <c r="W34" s="48"/>
      <c r="X34" s="62"/>
    </row>
    <row r="35" spans="8:24" ht="15.75">
      <c r="K35" s="2" t="s">
        <v>3</v>
      </c>
      <c r="L35" s="63">
        <f>I42/L31</f>
        <v>4.2508233800246022E-2</v>
      </c>
      <c r="M35" s="20"/>
      <c r="N35" s="28" t="s">
        <v>137</v>
      </c>
      <c r="O35" s="60">
        <f>IF(O33*I30&gt;J47,J47,O33*I30)</f>
        <v>873.87861592793934</v>
      </c>
      <c r="P35" s="76"/>
      <c r="Q35" s="65" t="s">
        <v>138</v>
      </c>
      <c r="R35" s="60">
        <f>I31-I39-I40-I43-I46</f>
        <v>6958</v>
      </c>
      <c r="S35" s="77"/>
      <c r="T35" s="65" t="s">
        <v>139</v>
      </c>
      <c r="U35" s="67">
        <f>O43</f>
        <v>73987.522360223797</v>
      </c>
      <c r="V35" s="76"/>
      <c r="W35" s="65" t="s">
        <v>140</v>
      </c>
      <c r="X35" s="67">
        <f>I39</f>
        <v>4018</v>
      </c>
    </row>
    <row r="36" spans="8:24" ht="15.75">
      <c r="H36" s="24" t="s">
        <v>141</v>
      </c>
      <c r="K36" s="2" t="s">
        <v>0</v>
      </c>
      <c r="L36" s="63">
        <f>I47/L31</f>
        <v>8.6702908614737506E-3</v>
      </c>
      <c r="O36" s="48"/>
      <c r="P36" s="76"/>
      <c r="Q36" s="65" t="s">
        <v>142</v>
      </c>
      <c r="R36" s="60">
        <f>R32*R35</f>
        <v>5740.4636556680825</v>
      </c>
      <c r="S36" s="48"/>
      <c r="T36" s="65" t="s">
        <v>143</v>
      </c>
      <c r="U36" s="67">
        <f>O41</f>
        <v>1435</v>
      </c>
      <c r="V36" s="66"/>
      <c r="W36" s="65" t="s">
        <v>144</v>
      </c>
      <c r="X36" s="67">
        <f>I40</f>
        <v>315</v>
      </c>
    </row>
    <row r="37" spans="8:24" ht="15.75">
      <c r="K37" s="11"/>
      <c r="L37" s="11"/>
      <c r="M37" s="11"/>
      <c r="N37" s="28" t="s">
        <v>145</v>
      </c>
      <c r="O37" s="60">
        <f>J47-O35</f>
        <v>0</v>
      </c>
      <c r="P37" s="76"/>
      <c r="Q37" s="65" t="s">
        <v>127</v>
      </c>
      <c r="R37" s="60">
        <f>R33*R35</f>
        <v>1217.5363443319177</v>
      </c>
      <c r="S37" s="48"/>
      <c r="T37" s="65" t="s">
        <v>146</v>
      </c>
      <c r="U37" s="67">
        <f>O42</f>
        <v>9</v>
      </c>
      <c r="V37" s="71"/>
      <c r="W37" s="48"/>
      <c r="X37" s="62"/>
    </row>
    <row r="38" spans="8:24" ht="15.75">
      <c r="H38" s="37" t="s">
        <v>103</v>
      </c>
      <c r="I38" s="60">
        <f>ONSV_AUX_2017!D56</f>
        <v>75442</v>
      </c>
      <c r="J38" s="61">
        <f>I38-(L33*I32)</f>
        <v>75431.522360223797</v>
      </c>
      <c r="K38" s="11"/>
      <c r="L38" s="11"/>
      <c r="M38" s="11"/>
      <c r="O38" s="76"/>
      <c r="P38" s="76"/>
      <c r="Q38" s="48"/>
      <c r="R38" s="78"/>
      <c r="S38" s="48"/>
      <c r="T38" s="65" t="s">
        <v>147</v>
      </c>
      <c r="U38" s="68">
        <f>I38-J38</f>
        <v>10.477639776203432</v>
      </c>
      <c r="V38" s="71"/>
      <c r="W38" s="65" t="s">
        <v>148</v>
      </c>
      <c r="X38" s="67">
        <f>I46</f>
        <v>1183</v>
      </c>
    </row>
    <row r="39" spans="8:24" ht="15.75">
      <c r="H39" s="37" t="s">
        <v>104</v>
      </c>
      <c r="I39" s="60">
        <f>ONSV_AUX_2017!D57</f>
        <v>4018</v>
      </c>
      <c r="J39" s="10">
        <f>I39</f>
        <v>4018</v>
      </c>
      <c r="K39" s="11"/>
      <c r="L39" s="11"/>
      <c r="M39" s="11"/>
      <c r="N39" s="26" t="s">
        <v>149</v>
      </c>
      <c r="O39" s="76"/>
      <c r="P39" s="76"/>
      <c r="Q39" s="65" t="s">
        <v>150</v>
      </c>
      <c r="R39" s="60">
        <f>J41-R36</f>
        <v>14459.730483453382</v>
      </c>
      <c r="S39" s="48"/>
      <c r="T39" s="65" t="s">
        <v>151</v>
      </c>
      <c r="U39" s="72">
        <f>O44</f>
        <v>0</v>
      </c>
      <c r="V39" s="48"/>
      <c r="W39" s="65" t="s">
        <v>152</v>
      </c>
      <c r="X39" s="67">
        <f>I43</f>
        <v>465</v>
      </c>
    </row>
    <row r="40" spans="8:24" ht="15.75">
      <c r="H40" s="37" t="s">
        <v>105</v>
      </c>
      <c r="I40" s="60">
        <f>ONSV_AUX_2017!D58</f>
        <v>315</v>
      </c>
      <c r="J40" s="10">
        <f>I40</f>
        <v>315</v>
      </c>
      <c r="K40" s="11"/>
      <c r="L40" s="11"/>
      <c r="M40" s="11"/>
      <c r="O40" s="73"/>
      <c r="P40" s="76"/>
      <c r="Q40" s="65" t="s">
        <v>136</v>
      </c>
      <c r="R40" s="60">
        <f>J42-R37</f>
        <v>3066.8685403948793</v>
      </c>
      <c r="S40" s="48"/>
      <c r="T40" s="48"/>
      <c r="U40" s="62"/>
      <c r="V40" s="77"/>
      <c r="W40" s="48"/>
      <c r="X40" s="62"/>
    </row>
    <row r="41" spans="8:24" ht="15.75">
      <c r="H41" s="37" t="s">
        <v>106</v>
      </c>
      <c r="I41" s="60">
        <f>ONSV_AUX_2017!D59</f>
        <v>20203</v>
      </c>
      <c r="J41" s="61">
        <f>I41-(L34*I32)</f>
        <v>20200.194139121464</v>
      </c>
      <c r="K41" s="11"/>
      <c r="L41" s="11"/>
      <c r="M41" s="11"/>
      <c r="N41" s="28" t="s">
        <v>143</v>
      </c>
      <c r="O41" s="60">
        <f>I29</f>
        <v>1435</v>
      </c>
      <c r="P41" s="76"/>
      <c r="Q41" s="48"/>
      <c r="R41" s="48"/>
      <c r="S41" s="77"/>
      <c r="T41" s="65" t="s">
        <v>142</v>
      </c>
      <c r="U41" s="68">
        <f>R36</f>
        <v>5740.4636556680825</v>
      </c>
      <c r="V41" s="48"/>
      <c r="W41" s="65" t="s">
        <v>153</v>
      </c>
      <c r="X41" s="67">
        <f>I44</f>
        <v>60850</v>
      </c>
    </row>
    <row r="42" spans="8:24" ht="15.75">
      <c r="H42" s="37" t="s">
        <v>107</v>
      </c>
      <c r="I42" s="60">
        <f>ONSV_AUX_2017!D60</f>
        <v>4285</v>
      </c>
      <c r="J42" s="61">
        <f>I42-(L35*I32)</f>
        <v>4284.4048847267968</v>
      </c>
      <c r="K42" s="11"/>
      <c r="L42" s="11"/>
      <c r="M42" s="11"/>
      <c r="N42" s="28" t="s">
        <v>146</v>
      </c>
      <c r="O42" s="60">
        <f>I33</f>
        <v>9</v>
      </c>
      <c r="P42" s="76"/>
      <c r="Q42" s="48"/>
      <c r="R42" s="48"/>
      <c r="S42" s="48"/>
      <c r="T42" s="65" t="s">
        <v>154</v>
      </c>
      <c r="U42" s="68">
        <f>I41-J41</f>
        <v>2.8058608785358956</v>
      </c>
      <c r="V42" s="48"/>
      <c r="W42" s="65" t="s">
        <v>155</v>
      </c>
      <c r="X42" s="67">
        <f>I45</f>
        <v>11781</v>
      </c>
    </row>
    <row r="43" spans="8:24" ht="15.75">
      <c r="H43" s="37" t="s">
        <v>108</v>
      </c>
      <c r="I43" s="60">
        <f>ONSV_AUX_2017!D61</f>
        <v>465</v>
      </c>
      <c r="J43" s="10">
        <f>I43</f>
        <v>465</v>
      </c>
      <c r="K43" s="11"/>
      <c r="L43" s="11"/>
      <c r="M43" s="11"/>
      <c r="N43" s="28" t="s">
        <v>139</v>
      </c>
      <c r="O43" s="60">
        <f>IF(OR((O32*I30&gt;J38),((O41+O42+(O32*I30))&gt;J38)),(J38-O41-O42),(O32*I30))</f>
        <v>73987.522360223797</v>
      </c>
      <c r="P43" s="76"/>
      <c r="Q43" s="48"/>
      <c r="R43" s="78"/>
      <c r="S43" s="48"/>
      <c r="T43" s="65" t="s">
        <v>150</v>
      </c>
      <c r="U43" s="72">
        <f>R39</f>
        <v>14459.730483453382</v>
      </c>
      <c r="V43" s="48"/>
      <c r="W43" s="48"/>
      <c r="X43" s="48"/>
    </row>
    <row r="44" spans="8:24" ht="15.75">
      <c r="H44" s="37" t="s">
        <v>109</v>
      </c>
      <c r="I44" s="60">
        <f>ONSV_AUX_2017!D62</f>
        <v>60850</v>
      </c>
      <c r="J44" s="10">
        <f t="shared" ref="J44:J46" si="1">I44</f>
        <v>60850</v>
      </c>
      <c r="K44" s="11"/>
      <c r="L44" s="11"/>
      <c r="M44" s="11"/>
      <c r="N44" s="28" t="s">
        <v>151</v>
      </c>
      <c r="O44" s="60">
        <f>IF((J38-O41-O43-O42)&lt;0,0,(J38-O41-O43-O42))</f>
        <v>0</v>
      </c>
      <c r="P44" s="48"/>
      <c r="Q44" s="48"/>
      <c r="R44" s="48"/>
      <c r="S44" s="48"/>
      <c r="T44" s="48"/>
      <c r="U44" s="62"/>
      <c r="V44" s="48"/>
      <c r="W44" s="48"/>
      <c r="X44" s="48"/>
    </row>
    <row r="45" spans="8:24" ht="15.75">
      <c r="H45" s="37" t="s">
        <v>110</v>
      </c>
      <c r="I45" s="60">
        <f>ONSV_AUX_2017!D63</f>
        <v>11781</v>
      </c>
      <c r="J45" s="10">
        <f t="shared" si="1"/>
        <v>11781</v>
      </c>
      <c r="K45" s="11"/>
      <c r="L45" s="11"/>
      <c r="M45" s="11"/>
      <c r="O45" s="48"/>
      <c r="P45" s="76"/>
      <c r="Q45" s="48"/>
      <c r="R45" s="48"/>
      <c r="S45" s="48"/>
      <c r="T45" s="79" t="s">
        <v>156</v>
      </c>
      <c r="U45" s="80">
        <f>(SUM(U31:U43,X31:X42)/SUM(I38:I47))-1</f>
        <v>0</v>
      </c>
      <c r="V45" s="48"/>
      <c r="W45" s="79" t="s">
        <v>10</v>
      </c>
      <c r="X45" s="67">
        <f>SUM(U31:U43,X31:X42)</f>
        <v>179416</v>
      </c>
    </row>
    <row r="46" spans="8:24" ht="15.75">
      <c r="H46" s="37" t="s">
        <v>111</v>
      </c>
      <c r="I46" s="60">
        <f>ONSV_AUX_2017!D64</f>
        <v>1183</v>
      </c>
      <c r="J46" s="10">
        <f t="shared" si="1"/>
        <v>1183</v>
      </c>
      <c r="K46" s="11"/>
      <c r="L46" s="11"/>
      <c r="M46" s="11"/>
      <c r="O46" s="48"/>
      <c r="P46" s="76"/>
      <c r="Q46" s="48"/>
      <c r="R46" s="48"/>
      <c r="S46" s="48"/>
      <c r="T46" s="48"/>
      <c r="U46" s="48"/>
      <c r="V46" s="48"/>
      <c r="W46" s="48"/>
      <c r="X46" s="48"/>
    </row>
    <row r="47" spans="8:24" ht="15.75">
      <c r="H47" s="37" t="s">
        <v>112</v>
      </c>
      <c r="I47" s="60">
        <f>ONSV_AUX_2017!D65</f>
        <v>874</v>
      </c>
      <c r="J47" s="61">
        <f>I47-(L36*I32)</f>
        <v>873.87861592793934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39"/>
      <c r="I48" s="40"/>
      <c r="J48" s="40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1" customFormat="1" ht="15.75">
      <c r="A50" s="101" t="str">
        <f>"AMAPÁ/"&amp;ONSV_AUX_2016!$A$1&amp;""</f>
        <v>AMAPÁ/2016</v>
      </c>
      <c r="B50" s="102"/>
      <c r="C50" s="102"/>
      <c r="D50" s="102"/>
      <c r="E50" s="102"/>
      <c r="F50" s="102"/>
    </row>
    <row r="52" spans="1:24" ht="15.75">
      <c r="H52" s="23" t="s">
        <v>118</v>
      </c>
      <c r="N52" s="26"/>
      <c r="O52" s="26"/>
      <c r="P52" s="9"/>
      <c r="Q52" s="26"/>
      <c r="R52" s="26"/>
      <c r="S52" s="26"/>
      <c r="T52" s="104"/>
      <c r="U52" s="104"/>
      <c r="V52" s="104"/>
      <c r="W52" s="104"/>
      <c r="X52" s="104"/>
    </row>
    <row r="53" spans="1:24" ht="15.75">
      <c r="J53" s="9"/>
      <c r="M53" s="25"/>
      <c r="N53" s="9"/>
      <c r="O53" s="9"/>
      <c r="P53" s="9"/>
      <c r="Q53" s="11"/>
      <c r="R53" s="11"/>
      <c r="S53" s="11"/>
    </row>
    <row r="54" spans="1:24" ht="15.75">
      <c r="H54" s="36" t="s">
        <v>81</v>
      </c>
      <c r="I54" s="60">
        <f>ONSV_AUX_2016!D27</f>
        <v>1433</v>
      </c>
      <c r="J54" s="9"/>
      <c r="K54" s="104" t="s">
        <v>119</v>
      </c>
      <c r="L54" s="104"/>
      <c r="M54" s="9"/>
      <c r="N54" s="26" t="s">
        <v>120</v>
      </c>
      <c r="O54" s="26"/>
      <c r="Q54" s="26" t="s">
        <v>121</v>
      </c>
      <c r="R54" s="26"/>
      <c r="S54" s="26"/>
      <c r="T54" s="25" t="s">
        <v>122</v>
      </c>
      <c r="U54" s="25"/>
      <c r="V54" s="25"/>
      <c r="W54" s="25"/>
      <c r="X54" s="25"/>
    </row>
    <row r="55" spans="1:24" ht="15.75">
      <c r="H55" s="36" t="s">
        <v>84</v>
      </c>
      <c r="I55" s="60">
        <f>ONSV_AUX_2016!D28</f>
        <v>78472</v>
      </c>
      <c r="J55" s="9"/>
      <c r="K55" s="9"/>
      <c r="L55" s="9"/>
      <c r="M55" s="9"/>
      <c r="N55" s="9"/>
      <c r="O55" s="9"/>
      <c r="P55" s="20"/>
      <c r="Q55" s="11"/>
      <c r="R55" s="11"/>
      <c r="S55" s="11"/>
    </row>
    <row r="56" spans="1:24" ht="15.75">
      <c r="H56" s="36" t="s">
        <v>85</v>
      </c>
      <c r="I56" s="60">
        <f>ONSV_AUX_2016!D29</f>
        <v>12865</v>
      </c>
      <c r="J56" s="9"/>
      <c r="K56" s="2" t="s">
        <v>123</v>
      </c>
      <c r="L56" s="60">
        <f>I63+I66+I67+I72</f>
        <v>98435</v>
      </c>
      <c r="N56" s="28" t="s">
        <v>124</v>
      </c>
      <c r="O56" s="60">
        <f>J63+J72</f>
        <v>74725.889216234063</v>
      </c>
      <c r="P56" s="64"/>
      <c r="Q56" s="65" t="s">
        <v>125</v>
      </c>
      <c r="R56" s="60">
        <f>J66+J67</f>
        <v>23697.110783765937</v>
      </c>
      <c r="S56" s="66"/>
      <c r="T56" s="65" t="s">
        <v>126</v>
      </c>
      <c r="U56" s="67">
        <f>O60</f>
        <v>843.89710976786716</v>
      </c>
      <c r="V56" s="48"/>
      <c r="W56" s="65" t="s">
        <v>127</v>
      </c>
      <c r="X56" s="68">
        <f>R62</f>
        <v>1218.1285232067512</v>
      </c>
    </row>
    <row r="57" spans="1:24" ht="15.75">
      <c r="H57" s="36" t="s">
        <v>101</v>
      </c>
      <c r="I57" s="60">
        <f>ONSV_AUX_2016!D30</f>
        <v>12</v>
      </c>
      <c r="J57" s="9"/>
      <c r="K57" s="27"/>
      <c r="L57" s="62"/>
      <c r="M57" s="20"/>
      <c r="N57" s="28" t="s">
        <v>128</v>
      </c>
      <c r="O57" s="69">
        <f>J63/O56</f>
        <v>0.98870676389911005</v>
      </c>
      <c r="P57" s="64"/>
      <c r="Q57" s="70" t="s">
        <v>129</v>
      </c>
      <c r="R57" s="63">
        <f>J66/R56</f>
        <v>0.82286919831223626</v>
      </c>
      <c r="S57" s="71"/>
      <c r="T57" s="65" t="s">
        <v>130</v>
      </c>
      <c r="U57" s="67">
        <f>I72-J72</f>
        <v>0.10289023213283599</v>
      </c>
      <c r="V57" s="48"/>
      <c r="W57" s="65" t="s">
        <v>131</v>
      </c>
      <c r="X57" s="68">
        <f>I67-J67</f>
        <v>0.51176918778855907</v>
      </c>
    </row>
    <row r="58" spans="1:24" ht="15.75">
      <c r="H58" s="36" t="s">
        <v>16</v>
      </c>
      <c r="I58" s="60">
        <f>ONSV_AUX_2016!D31</f>
        <v>6</v>
      </c>
      <c r="J58" s="9"/>
      <c r="K58" s="2" t="s">
        <v>132</v>
      </c>
      <c r="L58" s="63">
        <f>I63/L56</f>
        <v>0.75065779448366943</v>
      </c>
      <c r="M58" s="20"/>
      <c r="N58" s="28" t="s">
        <v>133</v>
      </c>
      <c r="O58" s="69">
        <f>J72/O56</f>
        <v>1.1293236100889812E-2</v>
      </c>
      <c r="P58" s="64"/>
      <c r="Q58" s="70" t="s">
        <v>134</v>
      </c>
      <c r="R58" s="63">
        <f>J67/R56</f>
        <v>0.17713080168776374</v>
      </c>
      <c r="S58" s="71"/>
      <c r="T58" s="65" t="s">
        <v>135</v>
      </c>
      <c r="U58" s="72">
        <f>O62</f>
        <v>0</v>
      </c>
      <c r="V58" s="73"/>
      <c r="W58" s="65" t="s">
        <v>136</v>
      </c>
      <c r="X58" s="72">
        <f>R65</f>
        <v>2979.3597076054602</v>
      </c>
    </row>
    <row r="59" spans="1:24" ht="15.75">
      <c r="H59" s="36" t="s">
        <v>94</v>
      </c>
      <c r="I59" s="60">
        <f>ONSV_AUX_2016!D32</f>
        <v>82138</v>
      </c>
      <c r="J59" s="10"/>
      <c r="K59" s="2" t="s">
        <v>2</v>
      </c>
      <c r="L59" s="63">
        <f>I66/L56</f>
        <v>0.19812058718951592</v>
      </c>
      <c r="M59" s="20"/>
      <c r="N59" s="20"/>
      <c r="O59" s="74"/>
      <c r="P59" s="48"/>
      <c r="Q59" s="48"/>
      <c r="R59" s="48"/>
      <c r="S59" s="48"/>
      <c r="T59" s="48"/>
      <c r="U59" s="62"/>
      <c r="V59" s="75"/>
      <c r="W59" s="48"/>
      <c r="X59" s="62"/>
    </row>
    <row r="60" spans="1:24" ht="15.75">
      <c r="K60" s="2" t="s">
        <v>3</v>
      </c>
      <c r="L60" s="63">
        <f>I67/L56</f>
        <v>4.2647432315741349E-2</v>
      </c>
      <c r="M60" s="20"/>
      <c r="N60" s="28" t="s">
        <v>137</v>
      </c>
      <c r="O60" s="60">
        <f>IF(O58*I55&gt;J72,J72,O58*I55)</f>
        <v>843.89710976786716</v>
      </c>
      <c r="P60" s="76"/>
      <c r="Q60" s="65" t="s">
        <v>138</v>
      </c>
      <c r="R60" s="60">
        <f>I56-I64-I65-I68-I71</f>
        <v>6877</v>
      </c>
      <c r="S60" s="77"/>
      <c r="T60" s="65" t="s">
        <v>139</v>
      </c>
      <c r="U60" s="67">
        <f>O68</f>
        <v>72442.99210646619</v>
      </c>
      <c r="V60" s="76"/>
      <c r="W60" s="65" t="s">
        <v>140</v>
      </c>
      <c r="X60" s="67">
        <f>I64</f>
        <v>4059</v>
      </c>
    </row>
    <row r="61" spans="1:24" ht="15.75">
      <c r="H61" s="24" t="s">
        <v>141</v>
      </c>
      <c r="K61" s="2" t="s">
        <v>0</v>
      </c>
      <c r="L61" s="63">
        <f>I72/L56</f>
        <v>8.5741860110732978E-3</v>
      </c>
      <c r="O61" s="48"/>
      <c r="P61" s="76"/>
      <c r="Q61" s="65" t="s">
        <v>142</v>
      </c>
      <c r="R61" s="60">
        <f>R57*R60</f>
        <v>5658.8714767932488</v>
      </c>
      <c r="S61" s="48"/>
      <c r="T61" s="65" t="s">
        <v>143</v>
      </c>
      <c r="U61" s="67">
        <f>O66</f>
        <v>1433</v>
      </c>
      <c r="V61" s="66"/>
      <c r="W61" s="65" t="s">
        <v>144</v>
      </c>
      <c r="X61" s="67">
        <f>I65</f>
        <v>301</v>
      </c>
    </row>
    <row r="62" spans="1:24" ht="15.75">
      <c r="K62" s="11"/>
      <c r="L62" s="11"/>
      <c r="M62" s="11"/>
      <c r="N62" s="28" t="s">
        <v>145</v>
      </c>
      <c r="O62" s="60">
        <f>J72-O60</f>
        <v>0</v>
      </c>
      <c r="P62" s="76"/>
      <c r="Q62" s="65" t="s">
        <v>127</v>
      </c>
      <c r="R62" s="60">
        <f>R58*R60</f>
        <v>1218.1285232067512</v>
      </c>
      <c r="S62" s="48"/>
      <c r="T62" s="65" t="s">
        <v>146</v>
      </c>
      <c r="U62" s="67">
        <f>O67</f>
        <v>6</v>
      </c>
      <c r="V62" s="71"/>
      <c r="W62" s="48"/>
      <c r="X62" s="62"/>
    </row>
    <row r="63" spans="1:24" ht="15.75">
      <c r="H63" s="37" t="s">
        <v>103</v>
      </c>
      <c r="I63" s="60">
        <f>ONSV_AUX_2016!D56</f>
        <v>73891</v>
      </c>
      <c r="J63" s="61">
        <f>I63-(L58*I57)</f>
        <v>73881.99210646619</v>
      </c>
      <c r="K63" s="11"/>
      <c r="L63" s="11"/>
      <c r="M63" s="11"/>
      <c r="O63" s="76"/>
      <c r="P63" s="76"/>
      <c r="Q63" s="48"/>
      <c r="R63" s="78"/>
      <c r="S63" s="48"/>
      <c r="T63" s="65" t="s">
        <v>147</v>
      </c>
      <c r="U63" s="68">
        <f>I63-J63</f>
        <v>9.0078935338096926</v>
      </c>
      <c r="V63" s="71"/>
      <c r="W63" s="65" t="s">
        <v>148</v>
      </c>
      <c r="X63" s="67">
        <f>I71</f>
        <v>1171</v>
      </c>
    </row>
    <row r="64" spans="1:24" ht="15.75">
      <c r="H64" s="37" t="s">
        <v>104</v>
      </c>
      <c r="I64" s="60">
        <f>ONSV_AUX_2016!D57</f>
        <v>4059</v>
      </c>
      <c r="J64" s="10">
        <f>I64</f>
        <v>4059</v>
      </c>
      <c r="K64" s="11"/>
      <c r="L64" s="11"/>
      <c r="M64" s="11"/>
      <c r="N64" s="26" t="s">
        <v>149</v>
      </c>
      <c r="O64" s="76"/>
      <c r="P64" s="76"/>
      <c r="Q64" s="65" t="s">
        <v>150</v>
      </c>
      <c r="R64" s="60">
        <f>J66-R61</f>
        <v>13840.751076160477</v>
      </c>
      <c r="S64" s="48"/>
      <c r="T64" s="65" t="s">
        <v>151</v>
      </c>
      <c r="U64" s="72">
        <f>O69</f>
        <v>0</v>
      </c>
      <c r="V64" s="48"/>
      <c r="W64" s="65" t="s">
        <v>152</v>
      </c>
      <c r="X64" s="67">
        <f>I68</f>
        <v>457</v>
      </c>
    </row>
    <row r="65" spans="1:24" ht="15.75">
      <c r="H65" s="37" t="s">
        <v>105</v>
      </c>
      <c r="I65" s="60">
        <f>ONSV_AUX_2016!D58</f>
        <v>301</v>
      </c>
      <c r="J65" s="10">
        <f>I65</f>
        <v>301</v>
      </c>
      <c r="K65" s="11"/>
      <c r="L65" s="11"/>
      <c r="M65" s="11"/>
      <c r="O65" s="73"/>
      <c r="P65" s="76"/>
      <c r="Q65" s="65" t="s">
        <v>136</v>
      </c>
      <c r="R65" s="60">
        <f>J67-R62</f>
        <v>2979.3597076054602</v>
      </c>
      <c r="S65" s="48"/>
      <c r="T65" s="48"/>
      <c r="U65" s="62"/>
      <c r="V65" s="77"/>
      <c r="W65" s="48"/>
      <c r="X65" s="62"/>
    </row>
    <row r="66" spans="1:24" ht="15.75">
      <c r="H66" s="37" t="s">
        <v>106</v>
      </c>
      <c r="I66" s="60">
        <f>ONSV_AUX_2016!D59</f>
        <v>19502</v>
      </c>
      <c r="J66" s="61">
        <f>I66-(L59*I57)</f>
        <v>19499.622552953726</v>
      </c>
      <c r="K66" s="11"/>
      <c r="L66" s="11"/>
      <c r="M66" s="11"/>
      <c r="N66" s="28" t="s">
        <v>143</v>
      </c>
      <c r="O66" s="60">
        <f>I54</f>
        <v>1433</v>
      </c>
      <c r="P66" s="76"/>
      <c r="Q66" s="48"/>
      <c r="R66" s="48"/>
      <c r="S66" s="77"/>
      <c r="T66" s="65" t="s">
        <v>142</v>
      </c>
      <c r="U66" s="68">
        <f>R61</f>
        <v>5658.8714767932488</v>
      </c>
      <c r="V66" s="48"/>
      <c r="W66" s="65" t="s">
        <v>153</v>
      </c>
      <c r="X66" s="67">
        <f>I69</f>
        <v>58466</v>
      </c>
    </row>
    <row r="67" spans="1:24" ht="15.75">
      <c r="H67" s="37" t="s">
        <v>107</v>
      </c>
      <c r="I67" s="60">
        <f>ONSV_AUX_2016!D60</f>
        <v>4198</v>
      </c>
      <c r="J67" s="61">
        <f>I67-(L60*I57)</f>
        <v>4197.4882308122114</v>
      </c>
      <c r="K67" s="11"/>
      <c r="L67" s="11"/>
      <c r="M67" s="11"/>
      <c r="N67" s="28" t="s">
        <v>146</v>
      </c>
      <c r="O67" s="60">
        <f>I58</f>
        <v>6</v>
      </c>
      <c r="P67" s="76"/>
      <c r="Q67" s="48"/>
      <c r="R67" s="48"/>
      <c r="S67" s="48"/>
      <c r="T67" s="65" t="s">
        <v>154</v>
      </c>
      <c r="U67" s="68">
        <f>I66-J66</f>
        <v>2.3774470462740283</v>
      </c>
      <c r="V67" s="48"/>
      <c r="W67" s="65" t="s">
        <v>155</v>
      </c>
      <c r="X67" s="67">
        <f>I70</f>
        <v>11337</v>
      </c>
    </row>
    <row r="68" spans="1:24" ht="15.75">
      <c r="H68" s="37" t="s">
        <v>108</v>
      </c>
      <c r="I68" s="60">
        <f>ONSV_AUX_2016!D61</f>
        <v>457</v>
      </c>
      <c r="J68" s="10">
        <f>I68</f>
        <v>457</v>
      </c>
      <c r="K68" s="11"/>
      <c r="L68" s="11"/>
      <c r="M68" s="11"/>
      <c r="N68" s="28" t="s">
        <v>139</v>
      </c>
      <c r="O68" s="60">
        <f>IF(OR((O57*I55&gt;J63),((O66+O67+(O57*I55))&gt;J63)),(J63-O66-O67),(O57*I55))</f>
        <v>72442.99210646619</v>
      </c>
      <c r="P68" s="76"/>
      <c r="Q68" s="48"/>
      <c r="R68" s="78"/>
      <c r="S68" s="48"/>
      <c r="T68" s="65" t="s">
        <v>150</v>
      </c>
      <c r="U68" s="72">
        <f>R64</f>
        <v>13840.751076160477</v>
      </c>
      <c r="V68" s="48"/>
      <c r="W68" s="48"/>
      <c r="X68" s="48"/>
    </row>
    <row r="69" spans="1:24" ht="15.75">
      <c r="H69" s="37" t="s">
        <v>109</v>
      </c>
      <c r="I69" s="60">
        <f>ONSV_AUX_2016!D62</f>
        <v>58466</v>
      </c>
      <c r="J69" s="10">
        <f t="shared" ref="J69:J71" si="2">I69</f>
        <v>58466</v>
      </c>
      <c r="K69" s="11"/>
      <c r="L69" s="11"/>
      <c r="M69" s="11"/>
      <c r="N69" s="28" t="s">
        <v>151</v>
      </c>
      <c r="O69" s="60">
        <f>IF((J63-O66-O68-O67)&lt;0,0,(J63-O66-O68-O67))</f>
        <v>0</v>
      </c>
      <c r="P69" s="48"/>
      <c r="Q69" s="48"/>
      <c r="R69" s="48"/>
      <c r="S69" s="48"/>
      <c r="T69" s="48"/>
      <c r="U69" s="62"/>
      <c r="V69" s="48"/>
      <c r="W69" s="48"/>
      <c r="X69" s="48"/>
    </row>
    <row r="70" spans="1:24" ht="15.75">
      <c r="H70" s="37" t="s">
        <v>110</v>
      </c>
      <c r="I70" s="60">
        <f>ONSV_AUX_2016!D63</f>
        <v>11337</v>
      </c>
      <c r="J70" s="10">
        <f t="shared" si="2"/>
        <v>11337</v>
      </c>
      <c r="K70" s="11"/>
      <c r="L70" s="11"/>
      <c r="M70" s="11"/>
      <c r="O70" s="48"/>
      <c r="P70" s="76"/>
      <c r="Q70" s="48"/>
      <c r="R70" s="48"/>
      <c r="S70" s="48"/>
      <c r="T70" s="79" t="s">
        <v>156</v>
      </c>
      <c r="U70" s="80">
        <f>(SUM(U56:U68,X56:X67)/SUM(I63:I72))-1</f>
        <v>0</v>
      </c>
      <c r="V70" s="48"/>
      <c r="W70" s="79" t="s">
        <v>10</v>
      </c>
      <c r="X70" s="67">
        <f>SUM(U56:U68,X56:X67)</f>
        <v>174226</v>
      </c>
    </row>
    <row r="71" spans="1:24" ht="15.75">
      <c r="H71" s="37" t="s">
        <v>111</v>
      </c>
      <c r="I71" s="60">
        <f>ONSV_AUX_2016!D64</f>
        <v>1171</v>
      </c>
      <c r="J71" s="10">
        <f t="shared" si="2"/>
        <v>1171</v>
      </c>
      <c r="K71" s="11"/>
      <c r="L71" s="11"/>
      <c r="M71" s="11"/>
      <c r="O71" s="48"/>
      <c r="P71" s="76"/>
      <c r="Q71" s="48"/>
      <c r="R71" s="48"/>
      <c r="S71" s="48"/>
      <c r="T71" s="48"/>
      <c r="U71" s="48"/>
      <c r="V71" s="48"/>
      <c r="W71" s="48"/>
      <c r="X71" s="48"/>
    </row>
    <row r="72" spans="1:24" ht="15.75">
      <c r="H72" s="37" t="s">
        <v>112</v>
      </c>
      <c r="I72" s="60">
        <f>ONSV_AUX_2016!D65</f>
        <v>844</v>
      </c>
      <c r="J72" s="61">
        <f>I72-(L61*I57)</f>
        <v>843.89710976786716</v>
      </c>
      <c r="K72" s="12"/>
      <c r="L72" s="12"/>
      <c r="M72" s="12"/>
      <c r="N72" s="12"/>
      <c r="O72" s="12"/>
      <c r="P72" s="12"/>
      <c r="Q72" s="4"/>
      <c r="R72" s="4"/>
    </row>
    <row r="75" spans="1:24" s="31" customFormat="1" ht="15.75">
      <c r="A75" s="101" t="str">
        <f>"AMAPÁ/"&amp;ONSV_AUX_2015!$A$1&amp;""</f>
        <v>AMAPÁ/2015</v>
      </c>
      <c r="B75" s="102"/>
      <c r="C75" s="102"/>
      <c r="D75" s="102"/>
      <c r="E75" s="102"/>
      <c r="F75" s="102"/>
    </row>
    <row r="76" spans="1:24"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>
      <c r="H77" s="23" t="s">
        <v>118</v>
      </c>
      <c r="P77" s="9"/>
    </row>
    <row r="78" spans="1:24" ht="15.75">
      <c r="J78" s="9"/>
      <c r="M78" s="25"/>
      <c r="P78" s="9"/>
    </row>
    <row r="79" spans="1:24" ht="15.75">
      <c r="H79" s="36" t="s">
        <v>81</v>
      </c>
      <c r="I79" s="60">
        <f>ONSV_AUX_2015!D27</f>
        <v>1431</v>
      </c>
      <c r="J79" s="9"/>
      <c r="K79" s="104" t="s">
        <v>119</v>
      </c>
      <c r="L79" s="104"/>
      <c r="M79" s="9"/>
      <c r="N79" s="26" t="s">
        <v>120</v>
      </c>
      <c r="O79" s="26"/>
      <c r="Q79" s="26" t="s">
        <v>121</v>
      </c>
      <c r="R79" s="26"/>
      <c r="S79" s="26"/>
      <c r="T79" s="25" t="s">
        <v>122</v>
      </c>
      <c r="U79" s="25"/>
      <c r="V79" s="25"/>
      <c r="W79" s="25"/>
      <c r="X79" s="25"/>
    </row>
    <row r="80" spans="1:24" ht="15.75">
      <c r="H80" s="36" t="s">
        <v>84</v>
      </c>
      <c r="I80" s="60">
        <f>ONSV_AUX_2015!D28</f>
        <v>72560</v>
      </c>
      <c r="J80" s="9"/>
      <c r="K80" s="9"/>
      <c r="L80" s="9"/>
      <c r="M80" s="9"/>
      <c r="N80" s="9"/>
      <c r="O80" s="9"/>
      <c r="P80" s="20"/>
      <c r="Q80" s="11"/>
      <c r="R80" s="11"/>
      <c r="S80" s="11"/>
    </row>
    <row r="81" spans="8:24" ht="15.75">
      <c r="H81" s="36" t="s">
        <v>85</v>
      </c>
      <c r="I81" s="60">
        <f>ONSV_AUX_2015!D29</f>
        <v>12586</v>
      </c>
      <c r="J81" s="9"/>
      <c r="K81" s="2" t="s">
        <v>123</v>
      </c>
      <c r="L81" s="60">
        <f>I88+I91+I92+I97</f>
        <v>94846</v>
      </c>
      <c r="N81" s="28" t="s">
        <v>124</v>
      </c>
      <c r="O81" s="60">
        <f>J88+J97</f>
        <v>72176.866963287845</v>
      </c>
      <c r="P81" s="64"/>
      <c r="Q81" s="65" t="s">
        <v>125</v>
      </c>
      <c r="R81" s="60">
        <f>J91+J92</f>
        <v>22657.133036712145</v>
      </c>
      <c r="S81" s="66"/>
      <c r="T81" s="65" t="s">
        <v>126</v>
      </c>
      <c r="U81" s="67">
        <f>O85</f>
        <v>782.90093414587864</v>
      </c>
      <c r="V81" s="48"/>
      <c r="W81" s="65" t="s">
        <v>127</v>
      </c>
      <c r="X81" s="68">
        <f>R87</f>
        <v>1204.0203000882611</v>
      </c>
    </row>
    <row r="82" spans="8:24" ht="15.75">
      <c r="H82" s="36" t="s">
        <v>101</v>
      </c>
      <c r="I82" s="60">
        <f>ONSV_AUX_2015!D30</f>
        <v>12</v>
      </c>
      <c r="J82" s="9"/>
      <c r="K82" s="27"/>
      <c r="L82" s="62"/>
      <c r="M82" s="20"/>
      <c r="N82" s="28" t="s">
        <v>128</v>
      </c>
      <c r="O82" s="69">
        <f>J88/O81</f>
        <v>0.98915302136148286</v>
      </c>
      <c r="P82" s="64"/>
      <c r="Q82" s="70" t="s">
        <v>129</v>
      </c>
      <c r="R82" s="63">
        <f>J91/R81</f>
        <v>0.82215357458075911</v>
      </c>
      <c r="S82" s="71"/>
      <c r="T82" s="65" t="s">
        <v>130</v>
      </c>
      <c r="U82" s="67">
        <f>I97-J97</f>
        <v>9.9065854121363373E-2</v>
      </c>
      <c r="V82" s="48"/>
      <c r="W82" s="65" t="s">
        <v>131</v>
      </c>
      <c r="X82" s="68">
        <f>I92-J92</f>
        <v>0.50987917255361026</v>
      </c>
    </row>
    <row r="83" spans="8:24" ht="15.75">
      <c r="H83" s="36" t="s">
        <v>16</v>
      </c>
      <c r="I83" s="60">
        <f>ONSV_AUX_2015!D31</f>
        <v>6</v>
      </c>
      <c r="J83" s="9"/>
      <c r="K83" s="2" t="s">
        <v>132</v>
      </c>
      <c r="L83" s="63">
        <f>I88/L81</f>
        <v>0.75283090483520654</v>
      </c>
      <c r="M83" s="20"/>
      <c r="N83" s="28" t="s">
        <v>133</v>
      </c>
      <c r="O83" s="69">
        <f>J97/O81</f>
        <v>1.0846978638517166E-2</v>
      </c>
      <c r="P83" s="64"/>
      <c r="Q83" s="70" t="s">
        <v>134</v>
      </c>
      <c r="R83" s="63">
        <f>J92/R81</f>
        <v>0.17784642541924095</v>
      </c>
      <c r="S83" s="71"/>
      <c r="T83" s="65" t="s">
        <v>135</v>
      </c>
      <c r="U83" s="72">
        <f>O87</f>
        <v>0</v>
      </c>
      <c r="V83" s="73"/>
      <c r="W83" s="65" t="s">
        <v>136</v>
      </c>
      <c r="X83" s="72">
        <f>R90</f>
        <v>2825.4698207391853</v>
      </c>
    </row>
    <row r="84" spans="8:24" ht="15.75">
      <c r="H84" s="36" t="s">
        <v>94</v>
      </c>
      <c r="I84" s="60">
        <f>ONSV_AUX_2015!D32</f>
        <v>81137</v>
      </c>
      <c r="J84" s="10"/>
      <c r="K84" s="2" t="s">
        <v>2</v>
      </c>
      <c r="L84" s="63">
        <f>I91/L81</f>
        <v>0.19642367627522511</v>
      </c>
      <c r="M84" s="20"/>
      <c r="N84" s="20"/>
      <c r="O84" s="74"/>
      <c r="P84" s="48"/>
      <c r="Q84" s="48"/>
      <c r="R84" s="48"/>
      <c r="S84" s="48"/>
      <c r="T84" s="48"/>
      <c r="U84" s="62"/>
      <c r="V84" s="75"/>
      <c r="W84" s="48"/>
      <c r="X84" s="62"/>
    </row>
    <row r="85" spans="8:24" ht="15.75">
      <c r="K85" s="2" t="s">
        <v>3</v>
      </c>
      <c r="L85" s="63">
        <f>I92/L81</f>
        <v>4.2489931046116862E-2</v>
      </c>
      <c r="M85" s="20"/>
      <c r="N85" s="28" t="s">
        <v>137</v>
      </c>
      <c r="O85" s="60">
        <f>IF(O83*I80&gt;J97,J97,O83*I80)</f>
        <v>782.90093414587864</v>
      </c>
      <c r="P85" s="76"/>
      <c r="Q85" s="65" t="s">
        <v>138</v>
      </c>
      <c r="R85" s="60">
        <f>I81-I89-I90-I93-I96</f>
        <v>6770</v>
      </c>
      <c r="S85" s="77"/>
      <c r="T85" s="65" t="s">
        <v>139</v>
      </c>
      <c r="U85" s="67">
        <f>O93</f>
        <v>69956.966029141971</v>
      </c>
      <c r="V85" s="76"/>
      <c r="W85" s="65" t="s">
        <v>140</v>
      </c>
      <c r="X85" s="67">
        <f>I89</f>
        <v>3977</v>
      </c>
    </row>
    <row r="86" spans="8:24" ht="15.75">
      <c r="H86" s="24" t="s">
        <v>141</v>
      </c>
      <c r="K86" s="2" t="s">
        <v>0</v>
      </c>
      <c r="L86" s="63">
        <f>I97/L81</f>
        <v>8.2554878434514898E-3</v>
      </c>
      <c r="O86" s="48"/>
      <c r="P86" s="76"/>
      <c r="Q86" s="65" t="s">
        <v>142</v>
      </c>
      <c r="R86" s="60">
        <f>R82*R85</f>
        <v>5565.9796999117389</v>
      </c>
      <c r="S86" s="48"/>
      <c r="T86" s="65" t="s">
        <v>143</v>
      </c>
      <c r="U86" s="67">
        <f>O91</f>
        <v>1431</v>
      </c>
      <c r="V86" s="66"/>
      <c r="W86" s="65" t="s">
        <v>144</v>
      </c>
      <c r="X86" s="67">
        <f>I90</f>
        <v>290</v>
      </c>
    </row>
    <row r="87" spans="8:24" ht="15.75">
      <c r="K87" s="11"/>
      <c r="L87" s="11"/>
      <c r="M87" s="11"/>
      <c r="N87" s="28" t="s">
        <v>145</v>
      </c>
      <c r="O87" s="60">
        <f>J97-O85</f>
        <v>0</v>
      </c>
      <c r="P87" s="76"/>
      <c r="Q87" s="65" t="s">
        <v>127</v>
      </c>
      <c r="R87" s="60">
        <f>R83*R85</f>
        <v>1204.0203000882611</v>
      </c>
      <c r="S87" s="48"/>
      <c r="T87" s="65" t="s">
        <v>146</v>
      </c>
      <c r="U87" s="67">
        <f>O92</f>
        <v>6</v>
      </c>
      <c r="V87" s="71"/>
      <c r="W87" s="48"/>
      <c r="X87" s="62"/>
    </row>
    <row r="88" spans="8:24" ht="15.75">
      <c r="H88" s="37" t="s">
        <v>103</v>
      </c>
      <c r="I88" s="60">
        <f>ONSV_AUX_2015!D56</f>
        <v>71403</v>
      </c>
      <c r="J88" s="61">
        <f>I88-(L83*I82)</f>
        <v>71393.966029141971</v>
      </c>
      <c r="K88" s="11"/>
      <c r="L88" s="11"/>
      <c r="M88" s="11"/>
      <c r="O88" s="76"/>
      <c r="P88" s="76"/>
      <c r="Q88" s="48"/>
      <c r="R88" s="78"/>
      <c r="S88" s="48"/>
      <c r="T88" s="65" t="s">
        <v>147</v>
      </c>
      <c r="U88" s="68">
        <f>I88-J88</f>
        <v>9.0339708580286242</v>
      </c>
      <c r="V88" s="71"/>
      <c r="W88" s="65" t="s">
        <v>148</v>
      </c>
      <c r="X88" s="67">
        <f>I96</f>
        <v>1100</v>
      </c>
    </row>
    <row r="89" spans="8:24" ht="15.75">
      <c r="H89" s="37" t="s">
        <v>104</v>
      </c>
      <c r="I89" s="60">
        <f>ONSV_AUX_2015!D57</f>
        <v>3977</v>
      </c>
      <c r="J89" s="10">
        <f>I89</f>
        <v>3977</v>
      </c>
      <c r="K89" s="11"/>
      <c r="L89" s="11"/>
      <c r="M89" s="11"/>
      <c r="N89" s="26" t="s">
        <v>149</v>
      </c>
      <c r="O89" s="76"/>
      <c r="P89" s="76"/>
      <c r="Q89" s="65" t="s">
        <v>150</v>
      </c>
      <c r="R89" s="60">
        <f>J91-R86</f>
        <v>13061.66321597296</v>
      </c>
      <c r="S89" s="48"/>
      <c r="T89" s="65" t="s">
        <v>151</v>
      </c>
      <c r="U89" s="72">
        <f>O94</f>
        <v>0</v>
      </c>
      <c r="V89" s="48"/>
      <c r="W89" s="65" t="s">
        <v>152</v>
      </c>
      <c r="X89" s="67">
        <f>I93</f>
        <v>449</v>
      </c>
    </row>
    <row r="90" spans="8:24" ht="15.75">
      <c r="H90" s="37" t="s">
        <v>105</v>
      </c>
      <c r="I90" s="60">
        <f>ONSV_AUX_2015!D58</f>
        <v>290</v>
      </c>
      <c r="J90" s="10">
        <f>I90</f>
        <v>290</v>
      </c>
      <c r="K90" s="11"/>
      <c r="L90" s="11"/>
      <c r="M90" s="11"/>
      <c r="O90" s="73"/>
      <c r="P90" s="76"/>
      <c r="Q90" s="65" t="s">
        <v>136</v>
      </c>
      <c r="R90" s="60">
        <f>J92-R87</f>
        <v>2825.4698207391853</v>
      </c>
      <c r="S90" s="48"/>
      <c r="T90" s="48"/>
      <c r="U90" s="62"/>
      <c r="V90" s="77"/>
      <c r="W90" s="48"/>
      <c r="X90" s="62"/>
    </row>
    <row r="91" spans="8:24" ht="15.75">
      <c r="H91" s="37" t="s">
        <v>106</v>
      </c>
      <c r="I91" s="60">
        <f>ONSV_AUX_2015!D59</f>
        <v>18630</v>
      </c>
      <c r="J91" s="61">
        <f>I91-(L84*I82)</f>
        <v>18627.642915884699</v>
      </c>
      <c r="K91" s="11"/>
      <c r="L91" s="11"/>
      <c r="M91" s="11"/>
      <c r="N91" s="28" t="s">
        <v>143</v>
      </c>
      <c r="O91" s="60">
        <f>I79</f>
        <v>1431</v>
      </c>
      <c r="P91" s="76"/>
      <c r="Q91" s="48"/>
      <c r="R91" s="48"/>
      <c r="S91" s="77"/>
      <c r="T91" s="65" t="s">
        <v>142</v>
      </c>
      <c r="U91" s="68">
        <f>R86</f>
        <v>5565.9796999117389</v>
      </c>
      <c r="V91" s="48"/>
      <c r="W91" s="65" t="s">
        <v>153</v>
      </c>
      <c r="X91" s="67">
        <f>I94</f>
        <v>55588</v>
      </c>
    </row>
    <row r="92" spans="8:24" ht="15.75">
      <c r="H92" s="37" t="s">
        <v>107</v>
      </c>
      <c r="I92" s="60">
        <f>ONSV_AUX_2015!D60</f>
        <v>4030</v>
      </c>
      <c r="J92" s="61">
        <f>I92-(L85*I82)</f>
        <v>4029.4901208274464</v>
      </c>
      <c r="K92" s="11"/>
      <c r="L92" s="11"/>
      <c r="M92" s="11"/>
      <c r="N92" s="28" t="s">
        <v>146</v>
      </c>
      <c r="O92" s="60">
        <f>I83</f>
        <v>6</v>
      </c>
      <c r="P92" s="76"/>
      <c r="Q92" s="48"/>
      <c r="R92" s="48"/>
      <c r="S92" s="48"/>
      <c r="T92" s="65" t="s">
        <v>154</v>
      </c>
      <c r="U92" s="68">
        <f>I91-J91</f>
        <v>2.3570841153014044</v>
      </c>
      <c r="V92" s="48"/>
      <c r="W92" s="65" t="s">
        <v>155</v>
      </c>
      <c r="X92" s="67">
        <f>I95</f>
        <v>10655</v>
      </c>
    </row>
    <row r="93" spans="8:24" ht="15.75">
      <c r="H93" s="37" t="s">
        <v>108</v>
      </c>
      <c r="I93" s="60">
        <f>ONSV_AUX_2015!D61</f>
        <v>449</v>
      </c>
      <c r="J93" s="10">
        <f>I93</f>
        <v>449</v>
      </c>
      <c r="K93" s="11"/>
      <c r="L93" s="11"/>
      <c r="M93" s="11"/>
      <c r="N93" s="28" t="s">
        <v>139</v>
      </c>
      <c r="O93" s="60">
        <f>IF(OR((O82*I80&gt;J88),((O91+O92+(O82*I80))&gt;J88)),(J88-O91-O92),(O82*I80))</f>
        <v>69956.966029141971</v>
      </c>
      <c r="P93" s="76"/>
      <c r="Q93" s="48"/>
      <c r="R93" s="78"/>
      <c r="S93" s="48"/>
      <c r="T93" s="65" t="s">
        <v>150</v>
      </c>
      <c r="U93" s="72">
        <f>R89</f>
        <v>13061.66321597296</v>
      </c>
      <c r="V93" s="48"/>
      <c r="W93" s="48"/>
      <c r="X93" s="48"/>
    </row>
    <row r="94" spans="8:24" ht="15.75">
      <c r="H94" s="37" t="s">
        <v>109</v>
      </c>
      <c r="I94" s="60">
        <f>ONSV_AUX_2015!D62</f>
        <v>55588</v>
      </c>
      <c r="J94" s="10">
        <f t="shared" ref="J94:J96" si="3">I94</f>
        <v>55588</v>
      </c>
      <c r="K94" s="11"/>
      <c r="L94" s="11"/>
      <c r="M94" s="11"/>
      <c r="N94" s="28" t="s">
        <v>151</v>
      </c>
      <c r="O94" s="60">
        <f>IF((J88-O91-O93-O92)&lt;0,0,(J88-O91-O93-O92))</f>
        <v>0</v>
      </c>
      <c r="P94" s="48"/>
      <c r="Q94" s="48"/>
      <c r="R94" s="48"/>
      <c r="S94" s="48"/>
      <c r="T94" s="48"/>
      <c r="U94" s="62"/>
      <c r="V94" s="48"/>
      <c r="W94" s="48"/>
      <c r="X94" s="48"/>
    </row>
    <row r="95" spans="8:24" ht="15.75">
      <c r="H95" s="37" t="s">
        <v>110</v>
      </c>
      <c r="I95" s="60">
        <f>ONSV_AUX_2015!D63</f>
        <v>10655</v>
      </c>
      <c r="J95" s="10">
        <f t="shared" si="3"/>
        <v>10655</v>
      </c>
      <c r="K95" s="11"/>
      <c r="L95" s="11"/>
      <c r="M95" s="11"/>
      <c r="O95" s="48"/>
      <c r="P95" s="76"/>
      <c r="Q95" s="48"/>
      <c r="R95" s="48"/>
      <c r="S95" s="48"/>
      <c r="T95" s="79" t="s">
        <v>156</v>
      </c>
      <c r="U95" s="80">
        <f>(SUM(U81:U93,X81:X92)/SUM(I88:I97))-1</f>
        <v>0</v>
      </c>
      <c r="V95" s="48"/>
      <c r="W95" s="79" t="s">
        <v>10</v>
      </c>
      <c r="X95" s="67">
        <f>SUM(U81:U93,X81:X92)</f>
        <v>166905</v>
      </c>
    </row>
    <row r="96" spans="8:24" ht="15.75">
      <c r="H96" s="37" t="s">
        <v>111</v>
      </c>
      <c r="I96" s="60">
        <f>ONSV_AUX_2015!D64</f>
        <v>1100</v>
      </c>
      <c r="J96" s="10">
        <f t="shared" si="3"/>
        <v>1100</v>
      </c>
      <c r="K96" s="11"/>
      <c r="L96" s="11"/>
      <c r="M96" s="11"/>
      <c r="O96" s="48"/>
      <c r="P96" s="76"/>
      <c r="Q96" s="48"/>
      <c r="R96" s="48"/>
      <c r="S96" s="48"/>
      <c r="T96" s="48"/>
      <c r="U96" s="48"/>
      <c r="V96" s="48"/>
      <c r="W96" s="48"/>
      <c r="X96" s="48"/>
    </row>
    <row r="97" spans="1:24" ht="15.75">
      <c r="H97" s="37" t="s">
        <v>112</v>
      </c>
      <c r="I97" s="60">
        <f>ONSV_AUX_2015!D65</f>
        <v>783</v>
      </c>
      <c r="J97" s="61">
        <f>I97-(L86*I82)</f>
        <v>782.90093414587864</v>
      </c>
      <c r="K97" s="12"/>
      <c r="L97" s="12"/>
      <c r="M97" s="12"/>
      <c r="N97" s="12"/>
      <c r="O97" s="12"/>
      <c r="P97" s="12"/>
      <c r="Q97" s="4"/>
      <c r="R97" s="4"/>
    </row>
    <row r="98" spans="1:24" ht="15.75">
      <c r="I98" s="40"/>
      <c r="J98" s="21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4" ht="15.75">
      <c r="I99" s="40"/>
      <c r="J99" s="21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4" s="31" customFormat="1" ht="15.75">
      <c r="A100" s="101" t="str">
        <f>"AMAPÁ/"&amp;ONSV_AUX_2014!$A$1&amp;""</f>
        <v>AMAPÁ/2014</v>
      </c>
      <c r="B100" s="102"/>
      <c r="C100" s="102"/>
      <c r="D100" s="102"/>
      <c r="E100" s="102"/>
      <c r="F100" s="102"/>
    </row>
    <row r="101" spans="1:24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>
      <c r="H102" s="23" t="s">
        <v>118</v>
      </c>
      <c r="N102" s="26"/>
      <c r="O102" s="26"/>
      <c r="P102" s="9"/>
      <c r="Q102" s="26"/>
      <c r="R102" s="26"/>
      <c r="S102" s="26"/>
      <c r="T102" s="25"/>
      <c r="U102" s="25"/>
      <c r="V102" s="25"/>
      <c r="W102" s="25"/>
      <c r="X102" s="25"/>
    </row>
    <row r="103" spans="1:24" ht="15.75">
      <c r="J103" s="9"/>
      <c r="M103" s="25"/>
      <c r="N103" s="9"/>
      <c r="O103" s="9"/>
      <c r="P103" s="9"/>
      <c r="Q103" s="11"/>
      <c r="R103" s="11"/>
      <c r="S103" s="11"/>
    </row>
    <row r="104" spans="1:24" ht="15.75">
      <c r="H104" s="36" t="s">
        <v>81</v>
      </c>
      <c r="I104" s="60">
        <f>ONSV_AUX_2014!D27</f>
        <v>1420</v>
      </c>
      <c r="J104" s="9"/>
      <c r="K104" s="104" t="s">
        <v>119</v>
      </c>
      <c r="L104" s="104"/>
      <c r="M104" s="9"/>
      <c r="N104" s="26" t="s">
        <v>120</v>
      </c>
      <c r="O104" s="26"/>
      <c r="Q104" s="26" t="s">
        <v>121</v>
      </c>
      <c r="R104" s="26"/>
      <c r="S104" s="26"/>
      <c r="T104" s="25" t="s">
        <v>122</v>
      </c>
      <c r="U104" s="25"/>
      <c r="V104" s="25"/>
      <c r="W104" s="25"/>
      <c r="X104" s="25"/>
    </row>
    <row r="105" spans="1:24" ht="15.75">
      <c r="H105" s="36" t="s">
        <v>84</v>
      </c>
      <c r="I105" s="60">
        <f>ONSV_AUX_2014!D28</f>
        <v>63083</v>
      </c>
      <c r="J105" s="9"/>
      <c r="K105" s="9"/>
      <c r="L105" s="9"/>
      <c r="M105" s="9"/>
      <c r="N105" s="9"/>
      <c r="O105" s="9"/>
      <c r="P105" s="20"/>
      <c r="Q105" s="11"/>
      <c r="R105" s="11"/>
      <c r="S105" s="11"/>
    </row>
    <row r="106" spans="1:24" ht="15.75">
      <c r="H106" s="36" t="s">
        <v>85</v>
      </c>
      <c r="I106" s="60">
        <f>ONSV_AUX_2014!D29</f>
        <v>12091</v>
      </c>
      <c r="J106" s="9"/>
      <c r="K106" s="2" t="s">
        <v>123</v>
      </c>
      <c r="L106" s="60">
        <f>I113+I116+I117+I122</f>
        <v>88379</v>
      </c>
      <c r="N106" s="28" t="s">
        <v>124</v>
      </c>
      <c r="O106" s="60">
        <f>J113+J122</f>
        <v>67405.372283008401</v>
      </c>
      <c r="P106" s="64"/>
      <c r="Q106" s="65" t="s">
        <v>125</v>
      </c>
      <c r="R106" s="60">
        <f>J116+J117</f>
        <v>20963.627716991592</v>
      </c>
      <c r="S106" s="66"/>
      <c r="T106" s="65" t="s">
        <v>126</v>
      </c>
      <c r="U106" s="67">
        <f>O110</f>
        <v>699.95526085473136</v>
      </c>
      <c r="V106" s="48"/>
      <c r="W106" s="65" t="s">
        <v>127</v>
      </c>
      <c r="X106" s="68">
        <f>R112</f>
        <v>1214.6656014499667</v>
      </c>
    </row>
    <row r="107" spans="1:24" ht="15.75">
      <c r="H107" s="36" t="s">
        <v>101</v>
      </c>
      <c r="I107" s="60">
        <f>ONSV_AUX_2014!D30</f>
        <v>10</v>
      </c>
      <c r="J107" s="9"/>
      <c r="K107" s="27"/>
      <c r="L107" s="62"/>
      <c r="M107" s="20"/>
      <c r="N107" s="28" t="s">
        <v>128</v>
      </c>
      <c r="O107" s="69">
        <f>J113/O106</f>
        <v>0.9889042172874668</v>
      </c>
      <c r="P107" s="64"/>
      <c r="Q107" s="70" t="s">
        <v>129</v>
      </c>
      <c r="R107" s="63">
        <f>J116/R106</f>
        <v>0.81737098158923971</v>
      </c>
      <c r="S107" s="71"/>
      <c r="T107" s="65" t="s">
        <v>130</v>
      </c>
      <c r="U107" s="67">
        <f>I122-J122</f>
        <v>8.4635490331379515E-2</v>
      </c>
      <c r="V107" s="48"/>
      <c r="W107" s="65" t="s">
        <v>131</v>
      </c>
      <c r="X107" s="68">
        <f>I117-J117</f>
        <v>0.43324771721790967</v>
      </c>
    </row>
    <row r="108" spans="1:24" ht="15.75">
      <c r="H108" s="36" t="s">
        <v>16</v>
      </c>
      <c r="I108" s="60">
        <f>ONSV_AUX_2014!D31</f>
        <v>6</v>
      </c>
      <c r="J108" s="9"/>
      <c r="K108" s="2" t="s">
        <v>132</v>
      </c>
      <c r="L108" s="63">
        <f>I113/L106</f>
        <v>0.75430815012616115</v>
      </c>
      <c r="M108" s="20"/>
      <c r="N108" s="28" t="s">
        <v>133</v>
      </c>
      <c r="O108" s="69">
        <f>J122/O106</f>
        <v>1.1095782712533192E-2</v>
      </c>
      <c r="P108" s="64"/>
      <c r="Q108" s="70" t="s">
        <v>134</v>
      </c>
      <c r="R108" s="63">
        <f>J117/R106</f>
        <v>0.18262901841076029</v>
      </c>
      <c r="S108" s="71"/>
      <c r="T108" s="65" t="s">
        <v>135</v>
      </c>
      <c r="U108" s="72">
        <f>O112</f>
        <v>47.960103654937257</v>
      </c>
      <c r="V108" s="73"/>
      <c r="W108" s="65" t="s">
        <v>136</v>
      </c>
      <c r="X108" s="72">
        <f>R115</f>
        <v>2613.9011508328153</v>
      </c>
    </row>
    <row r="109" spans="1:24" ht="15.75">
      <c r="H109" s="36" t="s">
        <v>94</v>
      </c>
      <c r="I109" s="60">
        <f>ONSV_AUX_2014!D32</f>
        <v>79587</v>
      </c>
      <c r="J109" s="10"/>
      <c r="K109" s="2" t="s">
        <v>2</v>
      </c>
      <c r="L109" s="63">
        <f>I116/L106</f>
        <v>0.19390352911890835</v>
      </c>
      <c r="M109" s="20"/>
      <c r="N109" s="20"/>
      <c r="O109" s="74"/>
      <c r="P109" s="48"/>
      <c r="Q109" s="48"/>
      <c r="R109" s="48"/>
      <c r="S109" s="48"/>
      <c r="T109" s="48"/>
      <c r="U109" s="62"/>
      <c r="V109" s="75"/>
      <c r="W109" s="48"/>
      <c r="X109" s="62"/>
    </row>
    <row r="110" spans="1:24" ht="15.75">
      <c r="K110" s="2" t="s">
        <v>3</v>
      </c>
      <c r="L110" s="63">
        <f>I117/L106</f>
        <v>4.3324771721789113E-2</v>
      </c>
      <c r="M110" s="20"/>
      <c r="N110" s="28" t="s">
        <v>137</v>
      </c>
      <c r="O110" s="60">
        <f>IF(O108*I105&gt;J122,J122,O108*I105)</f>
        <v>699.95526085473136</v>
      </c>
      <c r="P110" s="76"/>
      <c r="Q110" s="65" t="s">
        <v>138</v>
      </c>
      <c r="R110" s="60">
        <f>I106-I114-I115-I118-I121</f>
        <v>6651</v>
      </c>
      <c r="S110" s="77"/>
      <c r="T110" s="65" t="s">
        <v>139</v>
      </c>
      <c r="U110" s="67">
        <f>O118</f>
        <v>62383.044739145269</v>
      </c>
      <c r="V110" s="76"/>
      <c r="W110" s="65" t="s">
        <v>140</v>
      </c>
      <c r="X110" s="67">
        <f>I114</f>
        <v>3785</v>
      </c>
    </row>
    <row r="111" spans="1:24" ht="15.75">
      <c r="H111" s="24" t="s">
        <v>141</v>
      </c>
      <c r="K111" s="2" t="s">
        <v>0</v>
      </c>
      <c r="L111" s="63">
        <f>I122/L106</f>
        <v>8.4635490331413567E-3</v>
      </c>
      <c r="O111" s="48"/>
      <c r="P111" s="76"/>
      <c r="Q111" s="65" t="s">
        <v>142</v>
      </c>
      <c r="R111" s="60">
        <f>R107*R110</f>
        <v>5436.3343985500333</v>
      </c>
      <c r="S111" s="48"/>
      <c r="T111" s="65" t="s">
        <v>143</v>
      </c>
      <c r="U111" s="67">
        <f>O116</f>
        <v>1420</v>
      </c>
      <c r="V111" s="66"/>
      <c r="W111" s="65" t="s">
        <v>144</v>
      </c>
      <c r="X111" s="67">
        <f>I115</f>
        <v>268</v>
      </c>
    </row>
    <row r="112" spans="1:24" ht="15.75">
      <c r="K112" s="11"/>
      <c r="L112" s="11"/>
      <c r="M112" s="11"/>
      <c r="N112" s="28" t="s">
        <v>145</v>
      </c>
      <c r="O112" s="60">
        <f>J122-O110</f>
        <v>47.960103654937257</v>
      </c>
      <c r="P112" s="76"/>
      <c r="Q112" s="65" t="s">
        <v>127</v>
      </c>
      <c r="R112" s="60">
        <f>R108*R110</f>
        <v>1214.6656014499667</v>
      </c>
      <c r="S112" s="48"/>
      <c r="T112" s="65" t="s">
        <v>146</v>
      </c>
      <c r="U112" s="67">
        <f>O117</f>
        <v>6</v>
      </c>
      <c r="V112" s="71"/>
      <c r="W112" s="48"/>
      <c r="X112" s="62"/>
    </row>
    <row r="113" spans="8:24" ht="15.75">
      <c r="H113" s="37" t="s">
        <v>103</v>
      </c>
      <c r="I113" s="60">
        <f>ONSV_AUX_2014!D56</f>
        <v>66665</v>
      </c>
      <c r="J113" s="61">
        <f>I113-(L108*I107)</f>
        <v>66657.456918498734</v>
      </c>
      <c r="K113" s="11"/>
      <c r="L113" s="11"/>
      <c r="M113" s="11"/>
      <c r="O113" s="76"/>
      <c r="P113" s="76"/>
      <c r="Q113" s="48"/>
      <c r="R113" s="78"/>
      <c r="S113" s="48"/>
      <c r="T113" s="65" t="s">
        <v>147</v>
      </c>
      <c r="U113" s="68">
        <f>I113-J113</f>
        <v>7.5430815012659878</v>
      </c>
      <c r="V113" s="71"/>
      <c r="W113" s="65" t="s">
        <v>148</v>
      </c>
      <c r="X113" s="67">
        <f>I121</f>
        <v>958</v>
      </c>
    </row>
    <row r="114" spans="8:24" ht="15.75">
      <c r="H114" s="37" t="s">
        <v>104</v>
      </c>
      <c r="I114" s="60">
        <f>ONSV_AUX_2014!D57</f>
        <v>3785</v>
      </c>
      <c r="J114" s="10">
        <f>I114</f>
        <v>3785</v>
      </c>
      <c r="K114" s="11"/>
      <c r="L114" s="11"/>
      <c r="M114" s="11"/>
      <c r="N114" s="26" t="s">
        <v>149</v>
      </c>
      <c r="O114" s="76"/>
      <c r="P114" s="76"/>
      <c r="Q114" s="65" t="s">
        <v>150</v>
      </c>
      <c r="R114" s="60">
        <f>J116-R111</f>
        <v>11698.726566158777</v>
      </c>
      <c r="S114" s="48"/>
      <c r="T114" s="65" t="s">
        <v>151</v>
      </c>
      <c r="U114" s="72">
        <f>O119</f>
        <v>2848.412179353465</v>
      </c>
      <c r="V114" s="48"/>
      <c r="W114" s="65" t="s">
        <v>152</v>
      </c>
      <c r="X114" s="67">
        <f>I118</f>
        <v>429</v>
      </c>
    </row>
    <row r="115" spans="8:24" ht="15.75">
      <c r="H115" s="37" t="s">
        <v>105</v>
      </c>
      <c r="I115" s="60">
        <f>ONSV_AUX_2014!D58</f>
        <v>268</v>
      </c>
      <c r="J115" s="10">
        <f>I115</f>
        <v>268</v>
      </c>
      <c r="K115" s="11"/>
      <c r="L115" s="11"/>
      <c r="M115" s="11"/>
      <c r="O115" s="73"/>
      <c r="P115" s="76"/>
      <c r="Q115" s="65" t="s">
        <v>136</v>
      </c>
      <c r="R115" s="60">
        <f>J117-R112</f>
        <v>2613.9011508328153</v>
      </c>
      <c r="S115" s="48"/>
      <c r="T115" s="48"/>
      <c r="U115" s="62"/>
      <c r="V115" s="77"/>
      <c r="W115" s="48"/>
      <c r="X115" s="62"/>
    </row>
    <row r="116" spans="8:24" ht="15.75">
      <c r="H116" s="37" t="s">
        <v>106</v>
      </c>
      <c r="I116" s="60">
        <f>ONSV_AUX_2014!D59</f>
        <v>17137</v>
      </c>
      <c r="J116" s="61">
        <f>I116-(L109*I107)</f>
        <v>17135.060964708809</v>
      </c>
      <c r="K116" s="11"/>
      <c r="L116" s="11"/>
      <c r="M116" s="11"/>
      <c r="N116" s="28" t="s">
        <v>143</v>
      </c>
      <c r="O116" s="60">
        <f>I104</f>
        <v>1420</v>
      </c>
      <c r="P116" s="76"/>
      <c r="Q116" s="48"/>
      <c r="R116" s="48"/>
      <c r="S116" s="77"/>
      <c r="T116" s="65" t="s">
        <v>142</v>
      </c>
      <c r="U116" s="68">
        <f>R111</f>
        <v>5436.3343985500333</v>
      </c>
      <c r="V116" s="48"/>
      <c r="W116" s="65" t="s">
        <v>153</v>
      </c>
      <c r="X116" s="67">
        <f>I119</f>
        <v>51920</v>
      </c>
    </row>
    <row r="117" spans="8:24" ht="15.75">
      <c r="H117" s="37" t="s">
        <v>107</v>
      </c>
      <c r="I117" s="60">
        <f>ONSV_AUX_2014!D60</f>
        <v>3829</v>
      </c>
      <c r="J117" s="61">
        <f>I117-(L110*I107)</f>
        <v>3828.5667522827821</v>
      </c>
      <c r="K117" s="11"/>
      <c r="L117" s="11"/>
      <c r="M117" s="11"/>
      <c r="N117" s="28" t="s">
        <v>146</v>
      </c>
      <c r="O117" s="60">
        <f>I108</f>
        <v>6</v>
      </c>
      <c r="P117" s="76"/>
      <c r="Q117" s="48"/>
      <c r="R117" s="48"/>
      <c r="S117" s="48"/>
      <c r="T117" s="65" t="s">
        <v>154</v>
      </c>
      <c r="U117" s="68">
        <f>I116-J116</f>
        <v>1.9390352911905211</v>
      </c>
      <c r="V117" s="48"/>
      <c r="W117" s="65" t="s">
        <v>155</v>
      </c>
      <c r="X117" s="67">
        <f>I120</f>
        <v>9773</v>
      </c>
    </row>
    <row r="118" spans="8:24" ht="15.75">
      <c r="H118" s="37" t="s">
        <v>108</v>
      </c>
      <c r="I118" s="60">
        <f>ONSV_AUX_2014!D61</f>
        <v>429</v>
      </c>
      <c r="J118" s="10">
        <f>I118</f>
        <v>429</v>
      </c>
      <c r="K118" s="11"/>
      <c r="L118" s="11"/>
      <c r="M118" s="11"/>
      <c r="N118" s="28" t="s">
        <v>139</v>
      </c>
      <c r="O118" s="60">
        <f>IF(OR((O107*I105&gt;J113),((O116+O117+(O107*I105))&gt;J113)),(J113-O116-O117),(O107*I105))</f>
        <v>62383.044739145269</v>
      </c>
      <c r="P118" s="76"/>
      <c r="Q118" s="48"/>
      <c r="R118" s="78"/>
      <c r="S118" s="48"/>
      <c r="T118" s="65" t="s">
        <v>150</v>
      </c>
      <c r="U118" s="72">
        <f>R114</f>
        <v>11698.726566158777</v>
      </c>
      <c r="V118" s="48"/>
      <c r="W118" s="48"/>
      <c r="X118" s="48"/>
    </row>
    <row r="119" spans="8:24" ht="15.75">
      <c r="H119" s="37" t="s">
        <v>109</v>
      </c>
      <c r="I119" s="60">
        <f>ONSV_AUX_2014!D62</f>
        <v>51920</v>
      </c>
      <c r="J119" s="10">
        <f t="shared" ref="J119:J121" si="4">I119</f>
        <v>51920</v>
      </c>
      <c r="K119" s="11"/>
      <c r="L119" s="11"/>
      <c r="M119" s="11"/>
      <c r="N119" s="28" t="s">
        <v>151</v>
      </c>
      <c r="O119" s="60">
        <f>IF((J113-O116-O118-O117)&lt;0,0,(J113-O116-O118-O117))</f>
        <v>2848.412179353465</v>
      </c>
      <c r="P119" s="48"/>
      <c r="Q119" s="48"/>
      <c r="R119" s="48"/>
      <c r="S119" s="48"/>
      <c r="T119" s="48"/>
      <c r="U119" s="62"/>
      <c r="V119" s="48"/>
      <c r="W119" s="48"/>
      <c r="X119" s="48"/>
    </row>
    <row r="120" spans="8:24" ht="15.75">
      <c r="H120" s="37" t="s">
        <v>110</v>
      </c>
      <c r="I120" s="60">
        <f>ONSV_AUX_2014!D63</f>
        <v>9773</v>
      </c>
      <c r="J120" s="10">
        <f t="shared" si="4"/>
        <v>9773</v>
      </c>
      <c r="K120" s="11"/>
      <c r="L120" s="11"/>
      <c r="M120" s="11"/>
      <c r="O120" s="48"/>
      <c r="P120" s="76"/>
      <c r="Q120" s="48"/>
      <c r="R120" s="48"/>
      <c r="S120" s="48"/>
      <c r="T120" s="79" t="s">
        <v>156</v>
      </c>
      <c r="U120" s="80">
        <f>(SUM(U106:U118,X106:X117)/SUM(I113:I122))-1</f>
        <v>0</v>
      </c>
      <c r="V120" s="48"/>
      <c r="W120" s="79" t="s">
        <v>10</v>
      </c>
      <c r="X120" s="67">
        <f>SUM(U106:U118,X106:X117)</f>
        <v>155512</v>
      </c>
    </row>
    <row r="121" spans="8:24" ht="15.75">
      <c r="H121" s="37" t="s">
        <v>111</v>
      </c>
      <c r="I121" s="60">
        <f>ONSV_AUX_2014!D64</f>
        <v>958</v>
      </c>
      <c r="J121" s="10">
        <f t="shared" si="4"/>
        <v>958</v>
      </c>
      <c r="K121" s="11"/>
      <c r="L121" s="11"/>
      <c r="M121" s="11"/>
      <c r="O121" s="48"/>
      <c r="P121" s="76"/>
      <c r="Q121" s="48"/>
      <c r="R121" s="48"/>
      <c r="S121" s="48"/>
      <c r="T121" s="48"/>
      <c r="U121" s="48"/>
      <c r="V121" s="48"/>
      <c r="W121" s="48"/>
      <c r="X121" s="48"/>
    </row>
    <row r="122" spans="8:24" ht="15.75">
      <c r="H122" s="37" t="s">
        <v>112</v>
      </c>
      <c r="I122" s="60">
        <f>ONSV_AUX_2014!D65</f>
        <v>748</v>
      </c>
      <c r="J122" s="61">
        <f>I122-(L111*I107)</f>
        <v>747.91536450966862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A100:F100"/>
    <mergeCell ref="K104:L104"/>
    <mergeCell ref="K79:L79"/>
    <mergeCell ref="K29:L29"/>
    <mergeCell ref="T52:X52"/>
    <mergeCell ref="K54:L54"/>
    <mergeCell ref="A50:F50"/>
    <mergeCell ref="A75:F75"/>
    <mergeCell ref="A1:F1"/>
    <mergeCell ref="Q4:R4"/>
    <mergeCell ref="T4:X4"/>
    <mergeCell ref="K5:L5"/>
    <mergeCell ref="T27:X27"/>
    <mergeCell ref="A25:F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0.39997558519241921"/>
  </sheetPr>
  <dimension ref="A1:X122"/>
  <sheetViews>
    <sheetView showGridLines="0" topLeftCell="A88" zoomScale="90" zoomScaleNormal="90" workbookViewId="0">
      <selection activeCell="X45" sqref="X45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</cols>
  <sheetData>
    <row r="1" spans="1:24" s="31" customFormat="1" ht="15.75">
      <c r="A1" s="101" t="str">
        <f>"AMAZONAS/"&amp;ONSV_AUX_2018!$A$1&amp;""</f>
        <v>AMAZONAS/2018</v>
      </c>
      <c r="B1" s="102"/>
      <c r="C1" s="102"/>
      <c r="D1" s="102"/>
      <c r="E1" s="102"/>
      <c r="F1" s="102"/>
    </row>
    <row r="2" spans="1:24" s="4" customFormat="1" ht="15.75">
      <c r="A2" s="32"/>
      <c r="B2" s="32"/>
      <c r="C2" s="32"/>
      <c r="D2" s="32"/>
      <c r="E2" s="32"/>
      <c r="F2" s="32"/>
    </row>
    <row r="3" spans="1:24" ht="15.75">
      <c r="A3" s="12"/>
      <c r="H3" s="23" t="s">
        <v>118</v>
      </c>
    </row>
    <row r="4" spans="1:24" ht="15.75">
      <c r="B4" s="5"/>
      <c r="J4" s="9"/>
      <c r="M4" s="25"/>
      <c r="N4" s="25"/>
      <c r="O4" s="25"/>
      <c r="P4" s="25"/>
      <c r="Q4" s="103"/>
      <c r="R4" s="103"/>
      <c r="S4" s="22"/>
      <c r="T4" s="104"/>
      <c r="U4" s="104"/>
      <c r="V4" s="104"/>
      <c r="W4" s="104"/>
      <c r="X4" s="104"/>
    </row>
    <row r="5" spans="1:24" ht="15.75">
      <c r="H5" s="36" t="s">
        <v>81</v>
      </c>
      <c r="I5" s="60">
        <f>ONSV_AUX_2018!E27</f>
        <v>16193</v>
      </c>
      <c r="J5" s="9"/>
      <c r="K5" s="104" t="s">
        <v>119</v>
      </c>
      <c r="L5" s="104"/>
      <c r="M5" s="9"/>
      <c r="N5" s="26" t="s">
        <v>120</v>
      </c>
      <c r="O5" s="26"/>
      <c r="Q5" s="26" t="s">
        <v>121</v>
      </c>
      <c r="R5" s="26"/>
      <c r="S5" s="26"/>
      <c r="T5" s="25" t="s">
        <v>122</v>
      </c>
      <c r="U5" s="25"/>
      <c r="V5" s="25"/>
      <c r="W5" s="25"/>
      <c r="X5" s="25"/>
    </row>
    <row r="6" spans="1:24" ht="15.75">
      <c r="H6" s="36" t="s">
        <v>84</v>
      </c>
      <c r="I6" s="60">
        <f>ONSV_AUX_2018!E28</f>
        <v>378610</v>
      </c>
      <c r="J6" s="9"/>
      <c r="K6" s="9"/>
      <c r="L6" s="9"/>
      <c r="M6" s="9"/>
      <c r="N6" s="9"/>
      <c r="O6" s="9"/>
      <c r="P6" s="20"/>
      <c r="Q6" s="11"/>
      <c r="R6" s="11"/>
      <c r="S6" s="11"/>
    </row>
    <row r="7" spans="1:24" ht="15.75">
      <c r="H7" s="36" t="s">
        <v>85</v>
      </c>
      <c r="I7" s="60">
        <f>ONSV_AUX_2018!E29</f>
        <v>64291</v>
      </c>
      <c r="J7" s="9"/>
      <c r="K7" s="2" t="s">
        <v>123</v>
      </c>
      <c r="L7" s="60">
        <f>I14+I17+I18+I23</f>
        <v>503896</v>
      </c>
      <c r="N7" s="28" t="s">
        <v>124</v>
      </c>
      <c r="O7" s="60">
        <f>J14+J23</f>
        <v>391188.70187102101</v>
      </c>
      <c r="P7" s="64"/>
      <c r="Q7" s="65" t="s">
        <v>125</v>
      </c>
      <c r="R7" s="60">
        <f>J17+J18</f>
        <v>112592.29812897899</v>
      </c>
      <c r="S7" s="66"/>
      <c r="T7" s="65" t="s">
        <v>126</v>
      </c>
      <c r="U7" s="67">
        <f>O11</f>
        <v>4952.2998481897785</v>
      </c>
      <c r="V7" s="48"/>
      <c r="W7" s="65" t="s">
        <v>127</v>
      </c>
      <c r="X7" s="68">
        <f>R13</f>
        <v>6990.0203164680606</v>
      </c>
    </row>
    <row r="8" spans="1:24" ht="15.75">
      <c r="H8" s="36" t="s">
        <v>101</v>
      </c>
      <c r="I8" s="60">
        <f>ONSV_AUX_2018!E30</f>
        <v>115</v>
      </c>
      <c r="J8" s="9"/>
      <c r="K8" s="27"/>
      <c r="L8" s="62"/>
      <c r="M8" s="20"/>
      <c r="N8" s="28" t="s">
        <v>128</v>
      </c>
      <c r="O8" s="69">
        <f>J14/O7</f>
        <v>0.98691978593225282</v>
      </c>
      <c r="P8" s="64"/>
      <c r="Q8" s="70" t="s">
        <v>129</v>
      </c>
      <c r="R8" s="63">
        <f>J17/R7</f>
        <v>0.75815588982223092</v>
      </c>
      <c r="S8" s="71"/>
      <c r="T8" s="65" t="s">
        <v>130</v>
      </c>
      <c r="U8" s="67">
        <f>I23-J23</f>
        <v>1.1680386428943166</v>
      </c>
      <c r="V8" s="48"/>
      <c r="W8" s="65" t="s">
        <v>131</v>
      </c>
      <c r="X8" s="68">
        <f>I18-J18</f>
        <v>6.2158461269791587</v>
      </c>
    </row>
    <row r="9" spans="1:24" ht="15.75">
      <c r="H9" s="36" t="s">
        <v>16</v>
      </c>
      <c r="I9" s="60">
        <f>ONSV_AUX_2018!E31</f>
        <v>2051</v>
      </c>
      <c r="J9" s="9"/>
      <c r="K9" s="2" t="s">
        <v>132</v>
      </c>
      <c r="L9" s="63">
        <f>I14/L7</f>
        <v>0.76634861161827039</v>
      </c>
      <c r="M9" s="20"/>
      <c r="N9" s="28" t="s">
        <v>133</v>
      </c>
      <c r="O9" s="69">
        <f>J23/O7</f>
        <v>1.3080214067747229E-2</v>
      </c>
      <c r="P9" s="64"/>
      <c r="Q9" s="70" t="s">
        <v>134</v>
      </c>
      <c r="R9" s="63">
        <f>J18/R7</f>
        <v>0.24184411017776911</v>
      </c>
      <c r="S9" s="71"/>
      <c r="T9" s="65" t="s">
        <v>135</v>
      </c>
      <c r="U9" s="72">
        <f>O13</f>
        <v>164.53211316732722</v>
      </c>
      <c r="V9" s="73"/>
      <c r="W9" s="65" t="s">
        <v>136</v>
      </c>
      <c r="X9" s="72">
        <f>R16</f>
        <v>20239.76383740496</v>
      </c>
    </row>
    <row r="10" spans="1:24" ht="15.75">
      <c r="H10" s="36" t="s">
        <v>94</v>
      </c>
      <c r="I10" s="60">
        <f>ONSV_AUX_2018!E32</f>
        <v>386548</v>
      </c>
      <c r="J10" s="10"/>
      <c r="K10" s="2" t="s">
        <v>2</v>
      </c>
      <c r="L10" s="63">
        <f>I17/L7</f>
        <v>0.16944369473065871</v>
      </c>
      <c r="M10" s="20"/>
      <c r="N10" s="20"/>
      <c r="O10" s="74"/>
      <c r="P10" s="48"/>
      <c r="Q10" s="48"/>
      <c r="R10" s="48"/>
      <c r="S10" s="48"/>
      <c r="T10" s="48"/>
      <c r="U10" s="62"/>
      <c r="V10" s="75"/>
      <c r="W10" s="48"/>
      <c r="X10" s="62"/>
    </row>
    <row r="11" spans="1:24" ht="15.75">
      <c r="K11" s="2" t="s">
        <v>3</v>
      </c>
      <c r="L11" s="63">
        <f>I18/L7</f>
        <v>5.4050835886770288E-2</v>
      </c>
      <c r="M11" s="20"/>
      <c r="N11" s="28" t="s">
        <v>137</v>
      </c>
      <c r="O11" s="60">
        <f>IF(O9*I6&gt;J23,J23,O9*I6)</f>
        <v>4952.2998481897785</v>
      </c>
      <c r="P11" s="76"/>
      <c r="Q11" s="65" t="s">
        <v>138</v>
      </c>
      <c r="R11" s="60">
        <f>I7-I15-I16-I19-I22</f>
        <v>28903</v>
      </c>
      <c r="S11" s="77"/>
      <c r="T11" s="65" t="s">
        <v>139</v>
      </c>
      <c r="U11" s="67">
        <f>O19</f>
        <v>367827.86990966392</v>
      </c>
      <c r="V11" s="76"/>
      <c r="W11" s="65" t="s">
        <v>140</v>
      </c>
      <c r="X11" s="67">
        <f>I15</f>
        <v>19927</v>
      </c>
    </row>
    <row r="12" spans="1:24" ht="15.75">
      <c r="H12" s="24" t="s">
        <v>141</v>
      </c>
      <c r="K12" s="2" t="s">
        <v>0</v>
      </c>
      <c r="L12" s="63">
        <f>I23/L7</f>
        <v>1.0156857764300571E-2</v>
      </c>
      <c r="O12" s="48"/>
      <c r="P12" s="76"/>
      <c r="Q12" s="65" t="s">
        <v>142</v>
      </c>
      <c r="R12" s="60">
        <f>R8*R11</f>
        <v>21912.979683531939</v>
      </c>
      <c r="S12" s="48"/>
      <c r="T12" s="65" t="s">
        <v>143</v>
      </c>
      <c r="U12" s="67">
        <f>O17</f>
        <v>16193</v>
      </c>
      <c r="V12" s="66"/>
      <c r="W12" s="65" t="s">
        <v>144</v>
      </c>
      <c r="X12" s="67">
        <f>I16</f>
        <v>3071</v>
      </c>
    </row>
    <row r="13" spans="1:24" ht="15.75">
      <c r="K13" s="11"/>
      <c r="L13" s="11"/>
      <c r="M13" s="11"/>
      <c r="N13" s="28" t="s">
        <v>145</v>
      </c>
      <c r="O13" s="60">
        <f>J23-O11</f>
        <v>164.53211316732722</v>
      </c>
      <c r="P13" s="76"/>
      <c r="Q13" s="65" t="s">
        <v>127</v>
      </c>
      <c r="R13" s="60">
        <f>R9*R11</f>
        <v>6990.0203164680606</v>
      </c>
      <c r="S13" s="48"/>
      <c r="T13" s="65" t="s">
        <v>146</v>
      </c>
      <c r="U13" s="67">
        <f>O18</f>
        <v>2051</v>
      </c>
      <c r="V13" s="71"/>
      <c r="W13" s="48"/>
      <c r="X13" s="62"/>
    </row>
    <row r="14" spans="1:24" ht="15.75">
      <c r="H14" s="37" t="s">
        <v>103</v>
      </c>
      <c r="I14" s="60">
        <f>ONSV_AUX_2018!E56</f>
        <v>386160</v>
      </c>
      <c r="J14" s="61">
        <f>I14-(L9*I8)</f>
        <v>386071.86990966392</v>
      </c>
      <c r="K14" s="11"/>
      <c r="L14" s="11"/>
      <c r="M14" s="11"/>
      <c r="O14" s="76"/>
      <c r="P14" s="76"/>
      <c r="Q14" s="48"/>
      <c r="R14" s="78"/>
      <c r="S14" s="48"/>
      <c r="T14" s="65" t="s">
        <v>147</v>
      </c>
      <c r="U14" s="68">
        <f>I14-J14</f>
        <v>88.130090336082503</v>
      </c>
      <c r="V14" s="71"/>
      <c r="W14" s="65" t="s">
        <v>148</v>
      </c>
      <c r="X14" s="67">
        <f>I22</f>
        <v>8886</v>
      </c>
    </row>
    <row r="15" spans="1:24" ht="15.75">
      <c r="H15" s="37" t="s">
        <v>104</v>
      </c>
      <c r="I15" s="60">
        <f>ONSV_AUX_2018!E57</f>
        <v>19927</v>
      </c>
      <c r="J15" s="10">
        <f>I15</f>
        <v>19927</v>
      </c>
      <c r="K15" s="11"/>
      <c r="L15" s="11"/>
      <c r="M15" s="11"/>
      <c r="N15" s="26" t="s">
        <v>149</v>
      </c>
      <c r="O15" s="76"/>
      <c r="P15" s="76"/>
      <c r="Q15" s="65" t="s">
        <v>150</v>
      </c>
      <c r="R15" s="60">
        <f>J17-R12</f>
        <v>63449.534291574033</v>
      </c>
      <c r="S15" s="48"/>
      <c r="T15" s="65" t="s">
        <v>151</v>
      </c>
      <c r="U15" s="72">
        <f>O20</f>
        <v>0</v>
      </c>
      <c r="V15" s="48"/>
      <c r="W15" s="65" t="s">
        <v>152</v>
      </c>
      <c r="X15" s="67">
        <f>I19</f>
        <v>3504</v>
      </c>
    </row>
    <row r="16" spans="1:24" ht="15.75">
      <c r="H16" s="37" t="s">
        <v>105</v>
      </c>
      <c r="I16" s="60">
        <f>ONSV_AUX_2018!E58</f>
        <v>3071</v>
      </c>
      <c r="J16" s="10">
        <f>I16</f>
        <v>3071</v>
      </c>
      <c r="K16" s="11"/>
      <c r="L16" s="11"/>
      <c r="M16" s="11"/>
      <c r="O16" s="73"/>
      <c r="P16" s="76"/>
      <c r="Q16" s="65" t="s">
        <v>136</v>
      </c>
      <c r="R16" s="60">
        <f>J18-R13</f>
        <v>20239.76383740496</v>
      </c>
      <c r="S16" s="48"/>
      <c r="T16" s="48"/>
      <c r="U16" s="62"/>
      <c r="V16" s="77"/>
      <c r="W16" s="48"/>
      <c r="X16" s="62"/>
    </row>
    <row r="17" spans="1:24" ht="15.75">
      <c r="H17" s="37" t="s">
        <v>106</v>
      </c>
      <c r="I17" s="60">
        <f>ONSV_AUX_2018!E59</f>
        <v>85382</v>
      </c>
      <c r="J17" s="61">
        <f>I17-(L10*I8)</f>
        <v>85362.513975105976</v>
      </c>
      <c r="K17" s="11"/>
      <c r="L17" s="11"/>
      <c r="M17" s="11"/>
      <c r="N17" s="28" t="s">
        <v>143</v>
      </c>
      <c r="O17" s="60">
        <f>I5</f>
        <v>16193</v>
      </c>
      <c r="P17" s="76"/>
      <c r="Q17" s="48"/>
      <c r="R17" s="48"/>
      <c r="S17" s="77"/>
      <c r="T17" s="65" t="s">
        <v>142</v>
      </c>
      <c r="U17" s="68">
        <f>R12</f>
        <v>21912.979683531939</v>
      </c>
      <c r="V17" s="48"/>
      <c r="W17" s="65" t="s">
        <v>153</v>
      </c>
      <c r="X17" s="67">
        <f>I20</f>
        <v>250892</v>
      </c>
    </row>
    <row r="18" spans="1:24" ht="15.75">
      <c r="H18" s="37" t="s">
        <v>107</v>
      </c>
      <c r="I18" s="60">
        <f>ONSV_AUX_2018!E60</f>
        <v>27236</v>
      </c>
      <c r="J18" s="61">
        <f>I18-(L11*I8)</f>
        <v>27229.784153873021</v>
      </c>
      <c r="K18" s="11"/>
      <c r="L18" s="11"/>
      <c r="M18" s="11"/>
      <c r="N18" s="28" t="s">
        <v>146</v>
      </c>
      <c r="O18" s="60">
        <f>I9</f>
        <v>2051</v>
      </c>
      <c r="P18" s="76"/>
      <c r="Q18" s="48"/>
      <c r="R18" s="48"/>
      <c r="S18" s="48"/>
      <c r="T18" s="65" t="s">
        <v>154</v>
      </c>
      <c r="U18" s="68">
        <f>I17-J17</f>
        <v>19.486024894024013</v>
      </c>
      <c r="V18" s="48"/>
      <c r="W18" s="65" t="s">
        <v>155</v>
      </c>
      <c r="X18" s="67">
        <f>I21</f>
        <v>56119</v>
      </c>
    </row>
    <row r="19" spans="1:24" ht="15.75">
      <c r="H19" s="37" t="s">
        <v>108</v>
      </c>
      <c r="I19" s="60">
        <f>ONSV_AUX_2018!E61</f>
        <v>3504</v>
      </c>
      <c r="J19" s="10">
        <f>I19</f>
        <v>3504</v>
      </c>
      <c r="K19" s="11"/>
      <c r="L19" s="11"/>
      <c r="M19" s="11"/>
      <c r="N19" s="28" t="s">
        <v>139</v>
      </c>
      <c r="O19" s="60">
        <f>IF(OR((O8*I6&gt;J14),((O17+O18+(O8*I6))&gt;J14)),(J14-O17-O18),(O8*I6))</f>
        <v>367827.86990966392</v>
      </c>
      <c r="P19" s="76"/>
      <c r="Q19" s="48"/>
      <c r="R19" s="78"/>
      <c r="S19" s="48"/>
      <c r="T19" s="65" t="s">
        <v>150</v>
      </c>
      <c r="U19" s="72">
        <f>R15</f>
        <v>63449.534291574033</v>
      </c>
      <c r="V19" s="48"/>
      <c r="W19" s="48"/>
      <c r="X19" s="48"/>
    </row>
    <row r="20" spans="1:24" ht="15.75">
      <c r="H20" s="37" t="s">
        <v>109</v>
      </c>
      <c r="I20" s="60">
        <f>ONSV_AUX_2018!E62</f>
        <v>250892</v>
      </c>
      <c r="J20" s="10">
        <f t="shared" ref="J20:J22" si="0">I20</f>
        <v>250892</v>
      </c>
      <c r="K20" s="11"/>
      <c r="L20" s="11"/>
      <c r="M20" s="11"/>
      <c r="N20" s="28" t="s">
        <v>151</v>
      </c>
      <c r="O20" s="60">
        <f>IF((J14-O17-O19-O18)&lt;0,0,(J14-O17-O19-O18))</f>
        <v>0</v>
      </c>
      <c r="P20" s="48"/>
      <c r="Q20" s="48"/>
      <c r="R20" s="48"/>
      <c r="S20" s="48"/>
      <c r="T20" s="48"/>
      <c r="U20" s="62"/>
      <c r="V20" s="48"/>
      <c r="W20" s="48"/>
      <c r="X20" s="48"/>
    </row>
    <row r="21" spans="1:24" ht="15.75">
      <c r="H21" s="37" t="s">
        <v>110</v>
      </c>
      <c r="I21" s="60">
        <f>ONSV_AUX_2018!E63</f>
        <v>56119</v>
      </c>
      <c r="J21" s="10">
        <f t="shared" si="0"/>
        <v>56119</v>
      </c>
      <c r="K21" s="11"/>
      <c r="L21" s="11"/>
      <c r="M21" s="11"/>
      <c r="O21" s="48"/>
      <c r="P21" s="76"/>
      <c r="Q21" s="48"/>
      <c r="R21" s="48"/>
      <c r="S21" s="48"/>
      <c r="T21" s="79" t="s">
        <v>156</v>
      </c>
      <c r="U21" s="80">
        <f>(SUM(U7:U19,X7:X18)/SUM(I14:I23))-1</f>
        <v>0</v>
      </c>
      <c r="V21" s="48"/>
      <c r="W21" s="79" t="s">
        <v>10</v>
      </c>
      <c r="X21" s="67">
        <f>SUM(U7:U19,X7:X18)</f>
        <v>846295</v>
      </c>
    </row>
    <row r="22" spans="1:24" ht="15.75">
      <c r="H22" s="37" t="s">
        <v>111</v>
      </c>
      <c r="I22" s="60">
        <f>ONSV_AUX_2018!E64</f>
        <v>8886</v>
      </c>
      <c r="J22" s="10">
        <f t="shared" si="0"/>
        <v>8886</v>
      </c>
      <c r="K22" s="11"/>
      <c r="L22" s="11"/>
      <c r="M22" s="11"/>
      <c r="O22" s="48"/>
      <c r="P22" s="76"/>
      <c r="Q22" s="48"/>
      <c r="R22" s="48"/>
      <c r="S22" s="48"/>
      <c r="T22" s="48"/>
      <c r="U22" s="48"/>
      <c r="V22" s="48"/>
      <c r="W22" s="48"/>
      <c r="X22" s="48"/>
    </row>
    <row r="23" spans="1:24" ht="15.75">
      <c r="H23" s="37" t="s">
        <v>112</v>
      </c>
      <c r="I23" s="60">
        <f>ONSV_AUX_2018!E65</f>
        <v>5118</v>
      </c>
      <c r="J23" s="61">
        <f>I23-(L12*I8)</f>
        <v>5116.8319613571057</v>
      </c>
      <c r="K23" s="12"/>
      <c r="L23" s="12"/>
      <c r="M23" s="12"/>
      <c r="N23" s="12"/>
      <c r="O23" s="12"/>
      <c r="P23" s="12"/>
      <c r="Q23" s="4"/>
      <c r="R23" s="4"/>
    </row>
    <row r="25" spans="1:24" s="31" customFormat="1" ht="15.75">
      <c r="A25" s="101" t="str">
        <f>"AMAZONAS/"&amp;ONSV_AUX_2017!$A$1&amp;""</f>
        <v>AMAZONAS/2017</v>
      </c>
      <c r="B25" s="102"/>
      <c r="C25" s="102"/>
      <c r="D25" s="102"/>
      <c r="E25" s="102"/>
      <c r="F25" s="102"/>
    </row>
    <row r="26" spans="1:24" s="4" customFormat="1" ht="15.75">
      <c r="A26" s="32"/>
      <c r="B26" s="32"/>
      <c r="C26" s="32"/>
      <c r="D26" s="32"/>
      <c r="E26" s="32"/>
      <c r="F26" s="32"/>
    </row>
    <row r="27" spans="1:24" ht="15.75">
      <c r="A27" s="12"/>
      <c r="H27" s="23" t="s">
        <v>118</v>
      </c>
      <c r="N27" s="26"/>
      <c r="O27" s="26"/>
      <c r="P27" s="9"/>
      <c r="Q27" s="26"/>
      <c r="R27" s="26"/>
      <c r="S27" s="26"/>
      <c r="T27" s="104"/>
      <c r="U27" s="104"/>
      <c r="V27" s="104"/>
      <c r="W27" s="104"/>
      <c r="X27" s="104"/>
    </row>
    <row r="28" spans="1:24" ht="15.75">
      <c r="B28" s="5"/>
      <c r="J28" s="9"/>
      <c r="M28" s="25"/>
    </row>
    <row r="29" spans="1:24" ht="15.75">
      <c r="H29" s="36" t="s">
        <v>81</v>
      </c>
      <c r="I29" s="60">
        <f>ONSV_AUX_2017!E27</f>
        <v>16190</v>
      </c>
      <c r="J29" s="9"/>
      <c r="K29" s="104" t="s">
        <v>119</v>
      </c>
      <c r="L29" s="104"/>
      <c r="M29" s="9"/>
      <c r="N29" s="26" t="s">
        <v>120</v>
      </c>
      <c r="O29" s="26"/>
      <c r="Q29" s="26" t="s">
        <v>121</v>
      </c>
      <c r="R29" s="26"/>
      <c r="S29" s="26"/>
      <c r="T29" s="25" t="s">
        <v>122</v>
      </c>
      <c r="U29" s="25"/>
      <c r="V29" s="25"/>
      <c r="W29" s="25"/>
      <c r="X29" s="25"/>
    </row>
    <row r="30" spans="1:24" ht="15.75">
      <c r="H30" s="36" t="s">
        <v>84</v>
      </c>
      <c r="I30" s="60">
        <f>ONSV_AUX_2017!E28</f>
        <v>352411</v>
      </c>
      <c r="J30" s="9"/>
      <c r="K30" s="9"/>
      <c r="L30" s="9"/>
      <c r="M30" s="9"/>
      <c r="N30" s="9"/>
      <c r="O30" s="9"/>
      <c r="P30" s="20"/>
      <c r="Q30" s="11"/>
      <c r="R30" s="11"/>
      <c r="S30" s="11"/>
    </row>
    <row r="31" spans="1:24" ht="15.75">
      <c r="H31" s="36" t="s">
        <v>85</v>
      </c>
      <c r="I31" s="60">
        <f>ONSV_AUX_2017!E29</f>
        <v>63315</v>
      </c>
      <c r="J31" s="9"/>
      <c r="K31" s="2" t="s">
        <v>123</v>
      </c>
      <c r="L31" s="60">
        <f>I38+I41+I42+I47</f>
        <v>486880</v>
      </c>
      <c r="N31" s="28" t="s">
        <v>124</v>
      </c>
      <c r="O31" s="60">
        <f>J38+J47</f>
        <v>376568.9256161683</v>
      </c>
      <c r="P31" s="64"/>
      <c r="Q31" s="65" t="s">
        <v>125</v>
      </c>
      <c r="R31" s="60">
        <f>J41+J42</f>
        <v>110223.07438383174</v>
      </c>
      <c r="S31" s="66"/>
      <c r="T31" s="65" t="s">
        <v>126</v>
      </c>
      <c r="U31" s="67">
        <f>O35</f>
        <v>4643.7705084736754</v>
      </c>
      <c r="V31" s="48"/>
      <c r="W31" s="65" t="s">
        <v>127</v>
      </c>
      <c r="X31" s="68">
        <f>R37</f>
        <v>6886.7573269958184</v>
      </c>
    </row>
    <row r="32" spans="1:24" ht="15.75">
      <c r="H32" s="36" t="s">
        <v>101</v>
      </c>
      <c r="I32" s="60">
        <f>ONSV_AUX_2017!E30</f>
        <v>88</v>
      </c>
      <c r="J32" s="9"/>
      <c r="K32" s="27"/>
      <c r="L32" s="62"/>
      <c r="M32" s="20"/>
      <c r="N32" s="28" t="s">
        <v>128</v>
      </c>
      <c r="O32" s="69">
        <f>J38/O31</f>
        <v>0.98682285595945163</v>
      </c>
      <c r="P32" s="64"/>
      <c r="Q32" s="70" t="s">
        <v>129</v>
      </c>
      <c r="R32" s="63">
        <f>J41/R31</f>
        <v>0.75434267935379118</v>
      </c>
      <c r="S32" s="71"/>
      <c r="T32" s="65" t="s">
        <v>130</v>
      </c>
      <c r="U32" s="67">
        <f>I47-J47</f>
        <v>0.89702596122242539</v>
      </c>
      <c r="V32" s="48"/>
      <c r="W32" s="65" t="s">
        <v>131</v>
      </c>
      <c r="X32" s="68">
        <f>I42-J42</f>
        <v>4.8948734801197133</v>
      </c>
    </row>
    <row r="33" spans="8:24" ht="15.75">
      <c r="H33" s="36" t="s">
        <v>16</v>
      </c>
      <c r="I33" s="60">
        <f>ONSV_AUX_2017!E31</f>
        <v>2100</v>
      </c>
      <c r="J33" s="9"/>
      <c r="K33" s="2" t="s">
        <v>132</v>
      </c>
      <c r="L33" s="63">
        <f>I38/L31</f>
        <v>0.76337906671048306</v>
      </c>
      <c r="M33" s="20"/>
      <c r="N33" s="28" t="s">
        <v>133</v>
      </c>
      <c r="O33" s="69">
        <f>J47/O31</f>
        <v>1.3177144040548325E-2</v>
      </c>
      <c r="P33" s="64"/>
      <c r="Q33" s="70" t="s">
        <v>134</v>
      </c>
      <c r="R33" s="63">
        <f>J42/R31</f>
        <v>0.24565732064620882</v>
      </c>
      <c r="S33" s="71"/>
      <c r="T33" s="65" t="s">
        <v>135</v>
      </c>
      <c r="U33" s="72">
        <f>O37</f>
        <v>318.33246556510221</v>
      </c>
      <c r="V33" s="73"/>
      <c r="W33" s="65" t="s">
        <v>136</v>
      </c>
      <c r="X33" s="72">
        <f>R40</f>
        <v>20190.347799524061</v>
      </c>
    </row>
    <row r="34" spans="8:24" ht="15.75">
      <c r="H34" s="36" t="s">
        <v>94</v>
      </c>
      <c r="I34" s="60">
        <f>ONSV_AUX_2017!E32</f>
        <v>381763</v>
      </c>
      <c r="J34" s="10"/>
      <c r="K34" s="2" t="s">
        <v>2</v>
      </c>
      <c r="L34" s="63">
        <f>I41/L31</f>
        <v>0.17080389418337166</v>
      </c>
      <c r="M34" s="20"/>
      <c r="N34" s="20"/>
      <c r="O34" s="74"/>
      <c r="P34" s="48"/>
      <c r="Q34" s="48"/>
      <c r="R34" s="48"/>
      <c r="S34" s="48"/>
      <c r="T34" s="48"/>
      <c r="U34" s="62"/>
      <c r="V34" s="75"/>
      <c r="W34" s="48"/>
      <c r="X34" s="62"/>
    </row>
    <row r="35" spans="8:24" ht="15.75">
      <c r="K35" s="2" t="s">
        <v>3</v>
      </c>
      <c r="L35" s="63">
        <f>I42/L31</f>
        <v>5.5623562274071642E-2</v>
      </c>
      <c r="M35" s="20"/>
      <c r="N35" s="28" t="s">
        <v>137</v>
      </c>
      <c r="O35" s="60">
        <f>IF(O33*I30&gt;J47,J47,O33*I30)</f>
        <v>4643.7705084736754</v>
      </c>
      <c r="P35" s="76"/>
      <c r="Q35" s="65" t="s">
        <v>138</v>
      </c>
      <c r="R35" s="60">
        <f>IF((I31-I39-I40-I43-I46&lt;0),R31,(I31-I39-I40-I43-I46))</f>
        <v>28034</v>
      </c>
      <c r="S35" s="77"/>
      <c r="T35" s="65" t="s">
        <v>139</v>
      </c>
      <c r="U35" s="67">
        <f>O43</f>
        <v>347767.22949152632</v>
      </c>
      <c r="V35" s="76"/>
      <c r="W35" s="65" t="s">
        <v>140</v>
      </c>
      <c r="X35" s="67">
        <f>I39</f>
        <v>19915</v>
      </c>
    </row>
    <row r="36" spans="8:24" ht="15.75">
      <c r="H36" s="24" t="s">
        <v>141</v>
      </c>
      <c r="K36" s="2" t="s">
        <v>0</v>
      </c>
      <c r="L36" s="63">
        <f>I47/L31</f>
        <v>1.0193476832073611E-2</v>
      </c>
      <c r="O36" s="48"/>
      <c r="P36" s="76"/>
      <c r="Q36" s="65" t="s">
        <v>142</v>
      </c>
      <c r="R36" s="60">
        <f>R32*R35</f>
        <v>21147.242673004181</v>
      </c>
      <c r="S36" s="48"/>
      <c r="T36" s="65" t="s">
        <v>143</v>
      </c>
      <c r="U36" s="67">
        <f>O41</f>
        <v>16190</v>
      </c>
      <c r="V36" s="66"/>
      <c r="W36" s="65" t="s">
        <v>144</v>
      </c>
      <c r="X36" s="67">
        <f>I40</f>
        <v>3026</v>
      </c>
    </row>
    <row r="37" spans="8:24" ht="15.75">
      <c r="K37" s="11"/>
      <c r="L37" s="11"/>
      <c r="M37" s="11"/>
      <c r="N37" s="28" t="s">
        <v>145</v>
      </c>
      <c r="O37" s="60">
        <f>J47-O35</f>
        <v>318.33246556510221</v>
      </c>
      <c r="P37" s="76"/>
      <c r="Q37" s="65" t="s">
        <v>127</v>
      </c>
      <c r="R37" s="60">
        <f>R33*R35</f>
        <v>6886.7573269958184</v>
      </c>
      <c r="S37" s="48"/>
      <c r="T37" s="65" t="s">
        <v>146</v>
      </c>
      <c r="U37" s="67">
        <f>O42</f>
        <v>2100</v>
      </c>
      <c r="V37" s="71"/>
      <c r="W37" s="48"/>
      <c r="X37" s="62"/>
    </row>
    <row r="38" spans="8:24" ht="15.75">
      <c r="H38" s="37" t="s">
        <v>103</v>
      </c>
      <c r="I38" s="60">
        <f>ONSV_AUX_2017!E56</f>
        <v>371674</v>
      </c>
      <c r="J38" s="61">
        <f>I38-(L33*I32)</f>
        <v>371606.8226421295</v>
      </c>
      <c r="K38" s="11"/>
      <c r="L38" s="11"/>
      <c r="M38" s="11"/>
      <c r="O38" s="76"/>
      <c r="P38" s="76"/>
      <c r="Q38" s="48"/>
      <c r="R38" s="78"/>
      <c r="S38" s="48"/>
      <c r="T38" s="65" t="s">
        <v>147</v>
      </c>
      <c r="U38" s="68">
        <f>I38-J38</f>
        <v>67.177357870503329</v>
      </c>
      <c r="V38" s="71"/>
      <c r="W38" s="65" t="s">
        <v>148</v>
      </c>
      <c r="X38" s="67">
        <f>I46</f>
        <v>8812</v>
      </c>
    </row>
    <row r="39" spans="8:24" ht="15.75">
      <c r="H39" s="37" t="s">
        <v>104</v>
      </c>
      <c r="I39" s="60">
        <f>ONSV_AUX_2017!E57</f>
        <v>19915</v>
      </c>
      <c r="J39" s="10">
        <f>I39</f>
        <v>19915</v>
      </c>
      <c r="K39" s="11"/>
      <c r="L39" s="11"/>
      <c r="M39" s="11"/>
      <c r="N39" s="26" t="s">
        <v>149</v>
      </c>
      <c r="O39" s="76"/>
      <c r="P39" s="76"/>
      <c r="Q39" s="65" t="s">
        <v>150</v>
      </c>
      <c r="R39" s="60">
        <f>J41-R36</f>
        <v>61998.726584307689</v>
      </c>
      <c r="S39" s="48"/>
      <c r="T39" s="65" t="s">
        <v>151</v>
      </c>
      <c r="U39" s="72">
        <f>O44</f>
        <v>5549.5931506031775</v>
      </c>
      <c r="V39" s="48"/>
      <c r="W39" s="65" t="s">
        <v>152</v>
      </c>
      <c r="X39" s="67">
        <f>I43</f>
        <v>3528</v>
      </c>
    </row>
    <row r="40" spans="8:24" ht="15.75">
      <c r="H40" s="37" t="s">
        <v>105</v>
      </c>
      <c r="I40" s="60">
        <f>ONSV_AUX_2017!E58</f>
        <v>3026</v>
      </c>
      <c r="J40" s="10">
        <f>I40</f>
        <v>3026</v>
      </c>
      <c r="K40" s="11"/>
      <c r="L40" s="11"/>
      <c r="M40" s="11"/>
      <c r="O40" s="73"/>
      <c r="P40" s="76"/>
      <c r="Q40" s="65" t="s">
        <v>136</v>
      </c>
      <c r="R40" s="60">
        <f>J42-R37</f>
        <v>20190.347799524061</v>
      </c>
      <c r="S40" s="48"/>
      <c r="T40" s="48"/>
      <c r="U40" s="62"/>
      <c r="V40" s="77"/>
      <c r="W40" s="48"/>
      <c r="X40" s="62"/>
    </row>
    <row r="41" spans="8:24" ht="15.75">
      <c r="H41" s="37" t="s">
        <v>106</v>
      </c>
      <c r="I41" s="60">
        <f>ONSV_AUX_2017!E59</f>
        <v>83161</v>
      </c>
      <c r="J41" s="61">
        <f>I41-(L34*I32)</f>
        <v>83145.969257311866</v>
      </c>
      <c r="K41" s="11"/>
      <c r="L41" s="11"/>
      <c r="M41" s="11"/>
      <c r="N41" s="28" t="s">
        <v>143</v>
      </c>
      <c r="O41" s="60">
        <f>I29</f>
        <v>16190</v>
      </c>
      <c r="P41" s="76"/>
      <c r="Q41" s="48"/>
      <c r="R41" s="48"/>
      <c r="S41" s="77"/>
      <c r="T41" s="65" t="s">
        <v>142</v>
      </c>
      <c r="U41" s="68">
        <f>R36</f>
        <v>21147.242673004181</v>
      </c>
      <c r="V41" s="48"/>
      <c r="W41" s="65" t="s">
        <v>153</v>
      </c>
      <c r="X41" s="67">
        <f>I44</f>
        <v>238875</v>
      </c>
    </row>
    <row r="42" spans="8:24" ht="15.75">
      <c r="H42" s="37" t="s">
        <v>107</v>
      </c>
      <c r="I42" s="60">
        <f>ONSV_AUX_2017!E60</f>
        <v>27082</v>
      </c>
      <c r="J42" s="61">
        <f>I42-(L35*I32)</f>
        <v>27077.10512651988</v>
      </c>
      <c r="K42" s="11"/>
      <c r="L42" s="11"/>
      <c r="M42" s="11"/>
      <c r="N42" s="28" t="s">
        <v>146</v>
      </c>
      <c r="O42" s="60">
        <f>I33</f>
        <v>2100</v>
      </c>
      <c r="P42" s="76"/>
      <c r="Q42" s="48"/>
      <c r="R42" s="48"/>
      <c r="S42" s="48"/>
      <c r="T42" s="65" t="s">
        <v>154</v>
      </c>
      <c r="U42" s="68">
        <f>I41-J41</f>
        <v>15.030742688133614</v>
      </c>
      <c r="V42" s="48"/>
      <c r="W42" s="65" t="s">
        <v>155</v>
      </c>
      <c r="X42" s="67">
        <f>I45</f>
        <v>53189</v>
      </c>
    </row>
    <row r="43" spans="8:24" ht="15.75">
      <c r="H43" s="37" t="s">
        <v>108</v>
      </c>
      <c r="I43" s="60">
        <f>ONSV_AUX_2017!E61</f>
        <v>3528</v>
      </c>
      <c r="J43" s="10">
        <f>I43</f>
        <v>3528</v>
      </c>
      <c r="K43" s="11"/>
      <c r="L43" s="11"/>
      <c r="M43" s="11"/>
      <c r="N43" s="28" t="s">
        <v>139</v>
      </c>
      <c r="O43" s="60">
        <f>IF(OR((O32*I30&gt;J38),((O41+O42+(O32*I30))&gt;J38)),(J38-O41-O42),(O32*I30))</f>
        <v>347767.22949152632</v>
      </c>
      <c r="P43" s="76"/>
      <c r="Q43" s="48"/>
      <c r="R43" s="78"/>
      <c r="S43" s="48"/>
      <c r="T43" s="65" t="s">
        <v>150</v>
      </c>
      <c r="U43" s="72">
        <f>R39</f>
        <v>61998.726584307689</v>
      </c>
      <c r="V43" s="48"/>
      <c r="W43" s="48"/>
      <c r="X43" s="48"/>
    </row>
    <row r="44" spans="8:24" ht="15.75">
      <c r="H44" s="37" t="s">
        <v>109</v>
      </c>
      <c r="I44" s="60">
        <f>ONSV_AUX_2017!E62</f>
        <v>238875</v>
      </c>
      <c r="J44" s="10">
        <f t="shared" ref="J44:J46" si="1">I44</f>
        <v>238875</v>
      </c>
      <c r="K44" s="11"/>
      <c r="L44" s="11"/>
      <c r="M44" s="11"/>
      <c r="N44" s="28" t="s">
        <v>151</v>
      </c>
      <c r="O44" s="60">
        <f>IF((J38-O41-O43-O42)&lt;0,0,(J38-O41-O43-O42))</f>
        <v>5549.5931506031775</v>
      </c>
      <c r="P44" s="48"/>
      <c r="Q44" s="48"/>
      <c r="R44" s="48"/>
      <c r="S44" s="48"/>
      <c r="T44" s="48"/>
      <c r="U44" s="62"/>
      <c r="V44" s="48"/>
      <c r="W44" s="48"/>
      <c r="X44" s="48"/>
    </row>
    <row r="45" spans="8:24" ht="15.75">
      <c r="H45" s="37" t="s">
        <v>110</v>
      </c>
      <c r="I45" s="60">
        <f>ONSV_AUX_2017!E63</f>
        <v>53189</v>
      </c>
      <c r="J45" s="10">
        <f t="shared" si="1"/>
        <v>53189</v>
      </c>
      <c r="K45" s="11"/>
      <c r="L45" s="11"/>
      <c r="M45" s="11"/>
      <c r="O45" s="48"/>
      <c r="P45" s="76"/>
      <c r="Q45" s="48"/>
      <c r="R45" s="48"/>
      <c r="S45" s="48"/>
      <c r="T45" s="79" t="s">
        <v>156</v>
      </c>
      <c r="U45" s="80">
        <f>(SUM(U31:U43,X31:X42)/SUM(I38:I47))-1</f>
        <v>0</v>
      </c>
      <c r="V45" s="48"/>
      <c r="W45" s="79" t="s">
        <v>10</v>
      </c>
      <c r="X45" s="67">
        <f>SUM(U31:U43,X31:X42)</f>
        <v>814225</v>
      </c>
    </row>
    <row r="46" spans="8:24" ht="15.75">
      <c r="H46" s="37" t="s">
        <v>111</v>
      </c>
      <c r="I46" s="60">
        <f>ONSV_AUX_2017!E64</f>
        <v>8812</v>
      </c>
      <c r="J46" s="10">
        <f t="shared" si="1"/>
        <v>8812</v>
      </c>
      <c r="K46" s="11"/>
      <c r="L46" s="11"/>
      <c r="M46" s="11"/>
      <c r="O46" s="48"/>
      <c r="P46" s="76"/>
      <c r="Q46" s="48"/>
      <c r="R46" s="48"/>
      <c r="S46" s="48"/>
      <c r="T46" s="48"/>
      <c r="U46" s="48"/>
      <c r="V46" s="48"/>
      <c r="W46" s="48"/>
      <c r="X46" s="48"/>
    </row>
    <row r="47" spans="8:24" ht="15.75">
      <c r="H47" s="37" t="s">
        <v>112</v>
      </c>
      <c r="I47" s="60">
        <f>ONSV_AUX_2017!E65</f>
        <v>4963</v>
      </c>
      <c r="J47" s="61">
        <f>I47-(L36*I32)</f>
        <v>4962.1029740387776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39"/>
      <c r="I48" s="40"/>
      <c r="J48" s="40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1" customFormat="1" ht="15.75">
      <c r="A50" s="101" t="str">
        <f>"AMAZONAS/"&amp;ONSV_AUX_2016!$A$1&amp;""</f>
        <v>AMAZONAS/2016</v>
      </c>
      <c r="B50" s="102"/>
      <c r="C50" s="102"/>
      <c r="D50" s="102"/>
      <c r="E50" s="102"/>
      <c r="F50" s="102"/>
    </row>
    <row r="52" spans="1:24" ht="15.75">
      <c r="H52" s="23" t="s">
        <v>118</v>
      </c>
      <c r="N52" s="26"/>
      <c r="O52" s="26"/>
      <c r="P52" s="9"/>
      <c r="Q52" s="26"/>
      <c r="R52" s="26"/>
      <c r="S52" s="26"/>
      <c r="T52" s="104"/>
      <c r="U52" s="104"/>
      <c r="V52" s="104"/>
      <c r="W52" s="104"/>
      <c r="X52" s="104"/>
    </row>
    <row r="53" spans="1:24" ht="15.75">
      <c r="J53" s="9"/>
      <c r="M53" s="25"/>
      <c r="N53" s="9"/>
      <c r="O53" s="9"/>
      <c r="P53" s="9"/>
      <c r="Q53" s="11"/>
      <c r="R53" s="11"/>
      <c r="S53" s="11"/>
    </row>
    <row r="54" spans="1:24" ht="15.75">
      <c r="H54" s="36" t="s">
        <v>81</v>
      </c>
      <c r="I54" s="60">
        <f>ONSV_AUX_2016!E27</f>
        <v>16201</v>
      </c>
      <c r="J54" s="9"/>
      <c r="K54" s="104" t="s">
        <v>119</v>
      </c>
      <c r="L54" s="104"/>
      <c r="M54" s="9"/>
      <c r="N54" s="26" t="s">
        <v>120</v>
      </c>
      <c r="O54" s="26"/>
      <c r="Q54" s="26" t="s">
        <v>121</v>
      </c>
      <c r="R54" s="26"/>
      <c r="S54" s="26"/>
      <c r="T54" s="25" t="s">
        <v>122</v>
      </c>
      <c r="U54" s="25"/>
      <c r="V54" s="25"/>
      <c r="W54" s="25"/>
      <c r="X54" s="25"/>
    </row>
    <row r="55" spans="1:24" ht="15.75">
      <c r="H55" s="36" t="s">
        <v>84</v>
      </c>
      <c r="I55" s="60">
        <f>ONSV_AUX_2016!E28</f>
        <v>334305</v>
      </c>
      <c r="J55" s="9"/>
      <c r="K55" s="9"/>
      <c r="L55" s="9"/>
      <c r="M55" s="9"/>
      <c r="N55" s="9"/>
      <c r="O55" s="9"/>
      <c r="P55" s="20"/>
      <c r="Q55" s="11"/>
      <c r="R55" s="11"/>
      <c r="S55" s="11"/>
    </row>
    <row r="56" spans="1:24" ht="15.75">
      <c r="H56" s="36" t="s">
        <v>85</v>
      </c>
      <c r="I56" s="60">
        <f>ONSV_AUX_2016!E29</f>
        <v>62686</v>
      </c>
      <c r="J56" s="9"/>
      <c r="K56" s="2" t="s">
        <v>123</v>
      </c>
      <c r="L56" s="60">
        <f>I63+I66+I67+I72</f>
        <v>477099</v>
      </c>
      <c r="N56" s="28" t="s">
        <v>124</v>
      </c>
      <c r="O56" s="60">
        <f>J63+J72</f>
        <v>368790.65627888555</v>
      </c>
      <c r="P56" s="64"/>
      <c r="Q56" s="65" t="s">
        <v>125</v>
      </c>
      <c r="R56" s="60">
        <f>J66+J67</f>
        <v>108239.34372111449</v>
      </c>
      <c r="S56" s="66"/>
      <c r="T56" s="65" t="s">
        <v>126</v>
      </c>
      <c r="U56" s="67">
        <f>O60</f>
        <v>4378.6192943358155</v>
      </c>
      <c r="V56" s="48"/>
      <c r="W56" s="65" t="s">
        <v>127</v>
      </c>
      <c r="X56" s="68">
        <f>R62</f>
        <v>6849.9486952103825</v>
      </c>
    </row>
    <row r="57" spans="1:24" ht="15.75">
      <c r="H57" s="36" t="s">
        <v>101</v>
      </c>
      <c r="I57" s="60">
        <f>ONSV_AUX_2016!E30</f>
        <v>69</v>
      </c>
      <c r="J57" s="9"/>
      <c r="K57" s="27"/>
      <c r="L57" s="62"/>
      <c r="M57" s="20"/>
      <c r="N57" s="28" t="s">
        <v>128</v>
      </c>
      <c r="O57" s="69">
        <f>J63/O56</f>
        <v>0.98690232184880322</v>
      </c>
      <c r="P57" s="64"/>
      <c r="Q57" s="70" t="s">
        <v>129</v>
      </c>
      <c r="R57" s="63">
        <f>J66/R56</f>
        <v>0.75084753591058151</v>
      </c>
      <c r="S57" s="71"/>
      <c r="T57" s="65" t="s">
        <v>130</v>
      </c>
      <c r="U57" s="67">
        <f>I72-J72</f>
        <v>0.69867889054512489</v>
      </c>
      <c r="V57" s="48"/>
      <c r="W57" s="65" t="s">
        <v>131</v>
      </c>
      <c r="X57" s="68">
        <f>I67-J67</f>
        <v>3.9008004627976334</v>
      </c>
    </row>
    <row r="58" spans="1:24" ht="15.75">
      <c r="H58" s="36" t="s">
        <v>16</v>
      </c>
      <c r="I58" s="60">
        <f>ONSV_AUX_2016!E31</f>
        <v>2114</v>
      </c>
      <c r="J58" s="9"/>
      <c r="K58" s="2" t="s">
        <v>132</v>
      </c>
      <c r="L58" s="63">
        <f>I63/L56</f>
        <v>0.76297162643392669</v>
      </c>
      <c r="M58" s="20"/>
      <c r="N58" s="28" t="s">
        <v>133</v>
      </c>
      <c r="O58" s="69">
        <f>J72/O56</f>
        <v>1.3097678151196709E-2</v>
      </c>
      <c r="P58" s="64"/>
      <c r="Q58" s="70" t="s">
        <v>134</v>
      </c>
      <c r="R58" s="63">
        <f>J67/R56</f>
        <v>0.24915246408941849</v>
      </c>
      <c r="S58" s="71"/>
      <c r="T58" s="65" t="s">
        <v>135</v>
      </c>
      <c r="U58" s="72">
        <f>O62</f>
        <v>451.68202677363934</v>
      </c>
      <c r="V58" s="73"/>
      <c r="W58" s="65" t="s">
        <v>136</v>
      </c>
      <c r="X58" s="72">
        <f>R65</f>
        <v>20118.150504326819</v>
      </c>
    </row>
    <row r="59" spans="1:24" ht="15.75">
      <c r="H59" s="36" t="s">
        <v>94</v>
      </c>
      <c r="I59" s="60">
        <f>ONSV_AUX_2016!E32</f>
        <v>377736</v>
      </c>
      <c r="J59" s="10"/>
      <c r="K59" s="2" t="s">
        <v>2</v>
      </c>
      <c r="L59" s="63">
        <f>I66/L56</f>
        <v>0.17036925250314924</v>
      </c>
      <c r="M59" s="20"/>
      <c r="N59" s="20"/>
      <c r="O59" s="74"/>
      <c r="P59" s="48"/>
      <c r="Q59" s="48"/>
      <c r="R59" s="48"/>
      <c r="S59" s="48"/>
      <c r="T59" s="48"/>
      <c r="U59" s="62"/>
      <c r="V59" s="75"/>
      <c r="W59" s="48"/>
      <c r="X59" s="62"/>
    </row>
    <row r="60" spans="1:24" ht="15.75">
      <c r="K60" s="2" t="s">
        <v>3</v>
      </c>
      <c r="L60" s="63">
        <f>I67/L56</f>
        <v>5.6533340040536659E-2</v>
      </c>
      <c r="M60" s="20"/>
      <c r="N60" s="28" t="s">
        <v>137</v>
      </c>
      <c r="O60" s="60">
        <f>IF(O58*I55&gt;J72,J72,O58*I55)</f>
        <v>4378.6192943358155</v>
      </c>
      <c r="P60" s="76"/>
      <c r="Q60" s="65" t="s">
        <v>138</v>
      </c>
      <c r="R60" s="60">
        <f>I56-I64-I65-I68-I71</f>
        <v>27493</v>
      </c>
      <c r="S60" s="77"/>
      <c r="T60" s="65" t="s">
        <v>139</v>
      </c>
      <c r="U60" s="67">
        <f>O68</f>
        <v>329926.38070566417</v>
      </c>
      <c r="V60" s="76"/>
      <c r="W60" s="65" t="s">
        <v>140</v>
      </c>
      <c r="X60" s="67">
        <f>I64</f>
        <v>19943</v>
      </c>
    </row>
    <row r="61" spans="1:24" ht="15.75">
      <c r="H61" s="24" t="s">
        <v>141</v>
      </c>
      <c r="K61" s="2" t="s">
        <v>0</v>
      </c>
      <c r="L61" s="63">
        <f>I72/L56</f>
        <v>1.0125781022387387E-2</v>
      </c>
      <c r="O61" s="48"/>
      <c r="P61" s="76"/>
      <c r="Q61" s="65" t="s">
        <v>142</v>
      </c>
      <c r="R61" s="60">
        <f>R57*R60</f>
        <v>20643.051304789617</v>
      </c>
      <c r="S61" s="48"/>
      <c r="T61" s="65" t="s">
        <v>143</v>
      </c>
      <c r="U61" s="67">
        <f>O66</f>
        <v>16201</v>
      </c>
      <c r="V61" s="66"/>
      <c r="W61" s="65" t="s">
        <v>144</v>
      </c>
      <c r="X61" s="67">
        <f>I65</f>
        <v>2990</v>
      </c>
    </row>
    <row r="62" spans="1:24" ht="15.75">
      <c r="K62" s="11"/>
      <c r="L62" s="11"/>
      <c r="M62" s="11"/>
      <c r="N62" s="28" t="s">
        <v>145</v>
      </c>
      <c r="O62" s="60">
        <f>J72-O60</f>
        <v>451.68202677363934</v>
      </c>
      <c r="P62" s="76"/>
      <c r="Q62" s="65" t="s">
        <v>127</v>
      </c>
      <c r="R62" s="60">
        <f>R58*R60</f>
        <v>6849.9486952103825</v>
      </c>
      <c r="S62" s="48"/>
      <c r="T62" s="65" t="s">
        <v>146</v>
      </c>
      <c r="U62" s="67">
        <f>O67</f>
        <v>2114</v>
      </c>
      <c r="V62" s="71"/>
      <c r="W62" s="48"/>
      <c r="X62" s="62"/>
    </row>
    <row r="63" spans="1:24" ht="15.75">
      <c r="H63" s="37" t="s">
        <v>103</v>
      </c>
      <c r="I63" s="60">
        <f>ONSV_AUX_2016!E56</f>
        <v>364013</v>
      </c>
      <c r="J63" s="61">
        <f>I63-(L58*I57)</f>
        <v>363960.35495777609</v>
      </c>
      <c r="K63" s="11"/>
      <c r="L63" s="11"/>
      <c r="M63" s="11"/>
      <c r="O63" s="76"/>
      <c r="P63" s="76"/>
      <c r="Q63" s="48"/>
      <c r="R63" s="78"/>
      <c r="S63" s="48"/>
      <c r="T63" s="65" t="s">
        <v>147</v>
      </c>
      <c r="U63" s="68">
        <f>I63-J63</f>
        <v>52.645042223914061</v>
      </c>
      <c r="V63" s="71"/>
      <c r="W63" s="65" t="s">
        <v>148</v>
      </c>
      <c r="X63" s="67">
        <f>I71</f>
        <v>8774</v>
      </c>
    </row>
    <row r="64" spans="1:24" ht="15.75">
      <c r="H64" s="37" t="s">
        <v>104</v>
      </c>
      <c r="I64" s="60">
        <f>ONSV_AUX_2016!E57</f>
        <v>19943</v>
      </c>
      <c r="J64" s="10">
        <f>I64</f>
        <v>19943</v>
      </c>
      <c r="K64" s="11"/>
      <c r="L64" s="11"/>
      <c r="M64" s="11"/>
      <c r="N64" s="26" t="s">
        <v>149</v>
      </c>
      <c r="O64" s="76"/>
      <c r="P64" s="76"/>
      <c r="Q64" s="65" t="s">
        <v>150</v>
      </c>
      <c r="R64" s="60">
        <f>J66-R61</f>
        <v>60628.193216787673</v>
      </c>
      <c r="S64" s="48"/>
      <c r="T64" s="65" t="s">
        <v>151</v>
      </c>
      <c r="U64" s="72">
        <f>O69</f>
        <v>15718.974252111919</v>
      </c>
      <c r="V64" s="48"/>
      <c r="W64" s="65" t="s">
        <v>152</v>
      </c>
      <c r="X64" s="67">
        <f>I68</f>
        <v>3486</v>
      </c>
    </row>
    <row r="65" spans="1:24" ht="15.75">
      <c r="H65" s="37" t="s">
        <v>105</v>
      </c>
      <c r="I65" s="60">
        <f>ONSV_AUX_2016!E58</f>
        <v>2990</v>
      </c>
      <c r="J65" s="10">
        <f>I65</f>
        <v>2990</v>
      </c>
      <c r="K65" s="11"/>
      <c r="L65" s="11"/>
      <c r="M65" s="11"/>
      <c r="O65" s="73"/>
      <c r="P65" s="76"/>
      <c r="Q65" s="65" t="s">
        <v>136</v>
      </c>
      <c r="R65" s="60">
        <f>J67-R62</f>
        <v>20118.150504326819</v>
      </c>
      <c r="S65" s="48"/>
      <c r="T65" s="48"/>
      <c r="U65" s="62"/>
      <c r="V65" s="77"/>
      <c r="W65" s="48"/>
      <c r="X65" s="62"/>
    </row>
    <row r="66" spans="1:24" ht="15.75">
      <c r="H66" s="37" t="s">
        <v>106</v>
      </c>
      <c r="I66" s="60">
        <f>ONSV_AUX_2016!E59</f>
        <v>81283</v>
      </c>
      <c r="J66" s="61">
        <f>I66-(L59*I57)</f>
        <v>81271.24452157729</v>
      </c>
      <c r="K66" s="11"/>
      <c r="L66" s="11"/>
      <c r="M66" s="11"/>
      <c r="N66" s="28" t="s">
        <v>143</v>
      </c>
      <c r="O66" s="60">
        <f>I54</f>
        <v>16201</v>
      </c>
      <c r="P66" s="76"/>
      <c r="Q66" s="48"/>
      <c r="R66" s="48"/>
      <c r="S66" s="77"/>
      <c r="T66" s="65" t="s">
        <v>142</v>
      </c>
      <c r="U66" s="68">
        <f>R61</f>
        <v>20643.051304789617</v>
      </c>
      <c r="V66" s="48"/>
      <c r="W66" s="65" t="s">
        <v>153</v>
      </c>
      <c r="X66" s="67">
        <f>I69</f>
        <v>227822</v>
      </c>
    </row>
    <row r="67" spans="1:24" ht="15.75">
      <c r="H67" s="37" t="s">
        <v>107</v>
      </c>
      <c r="I67" s="60">
        <f>ONSV_AUX_2016!E60</f>
        <v>26972</v>
      </c>
      <c r="J67" s="61">
        <f>I67-(L60*I57)</f>
        <v>26968.099199537202</v>
      </c>
      <c r="K67" s="11"/>
      <c r="L67" s="11"/>
      <c r="M67" s="11"/>
      <c r="N67" s="28" t="s">
        <v>146</v>
      </c>
      <c r="O67" s="60">
        <f>I58</f>
        <v>2114</v>
      </c>
      <c r="P67" s="76"/>
      <c r="Q67" s="48"/>
      <c r="R67" s="48"/>
      <c r="S67" s="48"/>
      <c r="T67" s="65" t="s">
        <v>154</v>
      </c>
      <c r="U67" s="68">
        <f>I66-J66</f>
        <v>11.755478422710439</v>
      </c>
      <c r="V67" s="48"/>
      <c r="W67" s="65" t="s">
        <v>155</v>
      </c>
      <c r="X67" s="67">
        <f>I70</f>
        <v>51107</v>
      </c>
    </row>
    <row r="68" spans="1:24" ht="15.75">
      <c r="H68" s="37" t="s">
        <v>108</v>
      </c>
      <c r="I68" s="60">
        <f>ONSV_AUX_2016!E61</f>
        <v>3486</v>
      </c>
      <c r="J68" s="10">
        <f>I68</f>
        <v>3486</v>
      </c>
      <c r="K68" s="11"/>
      <c r="L68" s="11"/>
      <c r="M68" s="11"/>
      <c r="N68" s="28" t="s">
        <v>139</v>
      </c>
      <c r="O68" s="60">
        <f>IF(OR((O57*I55&gt;J63),((O66+O67+(O57*I55))&gt;J63)),(J63-O66-O67),(O57*I55))</f>
        <v>329926.38070566417</v>
      </c>
      <c r="P68" s="76"/>
      <c r="Q68" s="48"/>
      <c r="R68" s="78"/>
      <c r="S68" s="48"/>
      <c r="T68" s="65" t="s">
        <v>150</v>
      </c>
      <c r="U68" s="72">
        <f>R64</f>
        <v>60628.193216787673</v>
      </c>
      <c r="V68" s="48"/>
      <c r="W68" s="48"/>
      <c r="X68" s="48"/>
    </row>
    <row r="69" spans="1:24" ht="15.75">
      <c r="H69" s="37" t="s">
        <v>109</v>
      </c>
      <c r="I69" s="60">
        <f>ONSV_AUX_2016!E62</f>
        <v>227822</v>
      </c>
      <c r="J69" s="10">
        <f t="shared" ref="J69:J71" si="2">I69</f>
        <v>227822</v>
      </c>
      <c r="K69" s="11"/>
      <c r="L69" s="11"/>
      <c r="M69" s="11"/>
      <c r="N69" s="28" t="s">
        <v>151</v>
      </c>
      <c r="O69" s="60">
        <f>IF((J63-O66-O68-O67)&lt;0,0,(J63-O66-O68-O67))</f>
        <v>15718.974252111919</v>
      </c>
      <c r="P69" s="48"/>
      <c r="Q69" s="48"/>
      <c r="R69" s="48"/>
      <c r="S69" s="48"/>
      <c r="T69" s="48"/>
      <c r="U69" s="62"/>
      <c r="V69" s="48"/>
      <c r="W69" s="48"/>
      <c r="X69" s="48"/>
    </row>
    <row r="70" spans="1:24" ht="15.75">
      <c r="H70" s="37" t="s">
        <v>110</v>
      </c>
      <c r="I70" s="60">
        <f>ONSV_AUX_2016!E63</f>
        <v>51107</v>
      </c>
      <c r="J70" s="10">
        <f t="shared" si="2"/>
        <v>51107</v>
      </c>
      <c r="K70" s="11"/>
      <c r="L70" s="11"/>
      <c r="M70" s="11"/>
      <c r="O70" s="48"/>
      <c r="P70" s="76"/>
      <c r="Q70" s="48"/>
      <c r="R70" s="48"/>
      <c r="S70" s="48"/>
      <c r="T70" s="79" t="s">
        <v>156</v>
      </c>
      <c r="U70" s="80">
        <f>(SUM(U56:U68,X56:X67)/SUM(I63:I72))-1</f>
        <v>0</v>
      </c>
      <c r="V70" s="48"/>
      <c r="W70" s="79" t="s">
        <v>10</v>
      </c>
      <c r="X70" s="67">
        <f>SUM(U56:U68,X56:X67)</f>
        <v>791221</v>
      </c>
    </row>
    <row r="71" spans="1:24" ht="15.75">
      <c r="H71" s="37" t="s">
        <v>111</v>
      </c>
      <c r="I71" s="60">
        <f>ONSV_AUX_2016!E64</f>
        <v>8774</v>
      </c>
      <c r="J71" s="10">
        <f t="shared" si="2"/>
        <v>8774</v>
      </c>
      <c r="K71" s="11"/>
      <c r="L71" s="11"/>
      <c r="M71" s="11"/>
      <c r="O71" s="48"/>
      <c r="P71" s="76"/>
      <c r="Q71" s="48"/>
      <c r="R71" s="48"/>
      <c r="S71" s="48"/>
      <c r="T71" s="48"/>
      <c r="U71" s="48"/>
      <c r="V71" s="48"/>
      <c r="W71" s="48"/>
      <c r="X71" s="48"/>
    </row>
    <row r="72" spans="1:24" ht="15.75">
      <c r="H72" s="37" t="s">
        <v>112</v>
      </c>
      <c r="I72" s="60">
        <f>ONSV_AUX_2016!E65</f>
        <v>4831</v>
      </c>
      <c r="J72" s="61">
        <f>I72-(L61*I57)</f>
        <v>4830.3013211094549</v>
      </c>
      <c r="K72" s="12"/>
      <c r="L72" s="12"/>
      <c r="M72" s="12"/>
      <c r="N72" s="12"/>
      <c r="O72" s="12"/>
      <c r="P72" s="12"/>
      <c r="Q72" s="4"/>
      <c r="R72" s="4"/>
    </row>
    <row r="75" spans="1:24" s="31" customFormat="1" ht="15.75">
      <c r="A75" s="101" t="str">
        <f>"AMAZONAS/"&amp;ONSV_AUX_2015!$A$1&amp;""</f>
        <v>AMAZONAS/2015</v>
      </c>
      <c r="B75" s="102"/>
      <c r="C75" s="102"/>
      <c r="D75" s="102"/>
      <c r="E75" s="102"/>
      <c r="F75" s="102"/>
    </row>
    <row r="76" spans="1:24"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>
      <c r="H77" s="23" t="s">
        <v>118</v>
      </c>
      <c r="P77" s="9"/>
    </row>
    <row r="78" spans="1:24" ht="15.75">
      <c r="J78" s="9"/>
      <c r="M78" s="25"/>
      <c r="P78" s="9"/>
    </row>
    <row r="79" spans="1:24" ht="15.75">
      <c r="H79" s="36" t="s">
        <v>81</v>
      </c>
      <c r="I79" s="60">
        <f>ONSV_AUX_2015!E27</f>
        <v>16210</v>
      </c>
      <c r="J79" s="9"/>
      <c r="K79" s="104" t="s">
        <v>119</v>
      </c>
      <c r="L79" s="104"/>
      <c r="M79" s="9"/>
      <c r="N79" s="26" t="s">
        <v>120</v>
      </c>
      <c r="O79" s="26"/>
      <c r="Q79" s="26" t="s">
        <v>121</v>
      </c>
      <c r="R79" s="26"/>
      <c r="S79" s="26"/>
      <c r="T79" s="25" t="s">
        <v>122</v>
      </c>
      <c r="U79" s="25"/>
      <c r="V79" s="25"/>
      <c r="W79" s="25"/>
      <c r="X79" s="25"/>
    </row>
    <row r="80" spans="1:24" ht="15.75">
      <c r="H80" s="36" t="s">
        <v>84</v>
      </c>
      <c r="I80" s="60">
        <f>ONSV_AUX_2015!E28</f>
        <v>309207</v>
      </c>
      <c r="J80" s="9"/>
      <c r="K80" s="9"/>
      <c r="L80" s="9"/>
      <c r="M80" s="9"/>
      <c r="N80" s="9"/>
      <c r="O80" s="9"/>
      <c r="P80" s="20"/>
      <c r="Q80" s="11"/>
      <c r="R80" s="11"/>
      <c r="S80" s="11"/>
    </row>
    <row r="81" spans="8:24" ht="15.75">
      <c r="H81" s="36" t="s">
        <v>85</v>
      </c>
      <c r="I81" s="60">
        <f>ONSV_AUX_2015!E29</f>
        <v>62289</v>
      </c>
      <c r="J81" s="9"/>
      <c r="K81" s="2" t="s">
        <v>123</v>
      </c>
      <c r="L81" s="60">
        <f>I88+I91+I92+I97</f>
        <v>462851</v>
      </c>
      <c r="N81" s="28" t="s">
        <v>124</v>
      </c>
      <c r="O81" s="60">
        <f>J88+J97</f>
        <v>357760.84381366789</v>
      </c>
      <c r="P81" s="64"/>
      <c r="Q81" s="65" t="s">
        <v>125</v>
      </c>
      <c r="R81" s="60">
        <f>J91+J92</f>
        <v>105029.15618633211</v>
      </c>
      <c r="S81" s="66"/>
      <c r="T81" s="65" t="s">
        <v>126</v>
      </c>
      <c r="U81" s="67">
        <f>O85</f>
        <v>4142.8317924697049</v>
      </c>
      <c r="V81" s="48"/>
      <c r="W81" s="65" t="s">
        <v>127</v>
      </c>
      <c r="X81" s="68">
        <f>R87</f>
        <v>6823.6712774768421</v>
      </c>
    </row>
    <row r="82" spans="8:24" ht="15.75">
      <c r="H82" s="36" t="s">
        <v>101</v>
      </c>
      <c r="I82" s="60">
        <f>ONSV_AUX_2015!E30</f>
        <v>61</v>
      </c>
      <c r="J82" s="9"/>
      <c r="K82" s="27"/>
      <c r="L82" s="62"/>
      <c r="M82" s="20"/>
      <c r="N82" s="28" t="s">
        <v>128</v>
      </c>
      <c r="O82" s="69">
        <f>J88/O81</f>
        <v>0.98660175289540764</v>
      </c>
      <c r="P82" s="64"/>
      <c r="Q82" s="70" t="s">
        <v>129</v>
      </c>
      <c r="R82" s="63">
        <f>J91/R81</f>
        <v>0.74936930590329665</v>
      </c>
      <c r="S82" s="71"/>
      <c r="T82" s="65" t="s">
        <v>130</v>
      </c>
      <c r="U82" s="67">
        <f>I97-J97</f>
        <v>0.63181023698780336</v>
      </c>
      <c r="V82" s="48"/>
      <c r="W82" s="65" t="s">
        <v>131</v>
      </c>
      <c r="X82" s="68">
        <f>I92-J92</f>
        <v>3.4696846285296488</v>
      </c>
    </row>
    <row r="83" spans="8:24" ht="15.75">
      <c r="H83" s="36" t="s">
        <v>16</v>
      </c>
      <c r="I83" s="60">
        <f>ONSV_AUX_2015!E31</f>
        <v>1767</v>
      </c>
      <c r="J83" s="9"/>
      <c r="K83" s="2" t="s">
        <v>132</v>
      </c>
      <c r="L83" s="63">
        <f>I88/L81</f>
        <v>0.76269469008384982</v>
      </c>
      <c r="M83" s="20"/>
      <c r="N83" s="28" t="s">
        <v>133</v>
      </c>
      <c r="O83" s="69">
        <f>J97/O81</f>
        <v>1.3398247104592408E-2</v>
      </c>
      <c r="P83" s="64"/>
      <c r="Q83" s="70" t="s">
        <v>134</v>
      </c>
      <c r="R83" s="63">
        <f>J92/R81</f>
        <v>0.25063069409670324</v>
      </c>
      <c r="S83" s="71"/>
      <c r="T83" s="65" t="s">
        <v>135</v>
      </c>
      <c r="U83" s="72">
        <f>O87</f>
        <v>650.53639729330735</v>
      </c>
      <c r="V83" s="73"/>
      <c r="W83" s="65" t="s">
        <v>136</v>
      </c>
      <c r="X83" s="72">
        <f>R90</f>
        <v>19499.859037894628</v>
      </c>
    </row>
    <row r="84" spans="8:24" ht="15.75">
      <c r="H84" s="36" t="s">
        <v>94</v>
      </c>
      <c r="I84" s="60">
        <f>ONSV_AUX_2015!E32</f>
        <v>373372</v>
      </c>
      <c r="J84" s="10"/>
      <c r="K84" s="2" t="s">
        <v>2</v>
      </c>
      <c r="L84" s="63">
        <f>I91/L81</f>
        <v>0.17006768916994885</v>
      </c>
      <c r="M84" s="20"/>
      <c r="N84" s="20"/>
      <c r="O84" s="74"/>
      <c r="P84" s="48"/>
      <c r="Q84" s="48"/>
      <c r="R84" s="48"/>
      <c r="S84" s="48"/>
      <c r="T84" s="48"/>
      <c r="U84" s="62"/>
      <c r="V84" s="75"/>
      <c r="W84" s="48"/>
      <c r="X84" s="62"/>
    </row>
    <row r="85" spans="8:24" ht="15.75">
      <c r="K85" s="2" t="s">
        <v>3</v>
      </c>
      <c r="L85" s="63">
        <f>I92/L81</f>
        <v>5.6880075877550229E-2</v>
      </c>
      <c r="M85" s="20"/>
      <c r="N85" s="28" t="s">
        <v>137</v>
      </c>
      <c r="O85" s="60">
        <f>IF(O83*I80&gt;J97,J97,O83*I80)</f>
        <v>4142.8317924697049</v>
      </c>
      <c r="P85" s="76"/>
      <c r="Q85" s="65" t="s">
        <v>138</v>
      </c>
      <c r="R85" s="60">
        <f>I81-I89-I90-I93-I96</f>
        <v>27226</v>
      </c>
      <c r="S85" s="77"/>
      <c r="T85" s="65" t="s">
        <v>139</v>
      </c>
      <c r="U85" s="67">
        <f>O93</f>
        <v>305064.16820753028</v>
      </c>
      <c r="V85" s="76"/>
      <c r="W85" s="65" t="s">
        <v>140</v>
      </c>
      <c r="X85" s="67">
        <f>I89</f>
        <v>19833</v>
      </c>
    </row>
    <row r="86" spans="8:24" ht="15.75">
      <c r="H86" s="24" t="s">
        <v>141</v>
      </c>
      <c r="K86" s="2" t="s">
        <v>0</v>
      </c>
      <c r="L86" s="63">
        <f>I97/L81</f>
        <v>1.0357544868651035E-2</v>
      </c>
      <c r="O86" s="48"/>
      <c r="P86" s="76"/>
      <c r="Q86" s="65" t="s">
        <v>142</v>
      </c>
      <c r="R86" s="60">
        <f>R82*R85</f>
        <v>20402.328722523154</v>
      </c>
      <c r="S86" s="48"/>
      <c r="T86" s="65" t="s">
        <v>143</v>
      </c>
      <c r="U86" s="67">
        <f>O91</f>
        <v>16210</v>
      </c>
      <c r="V86" s="66"/>
      <c r="W86" s="65" t="s">
        <v>144</v>
      </c>
      <c r="X86" s="67">
        <f>I90</f>
        <v>2947</v>
      </c>
    </row>
    <row r="87" spans="8:24" ht="15.75">
      <c r="K87" s="11"/>
      <c r="L87" s="11"/>
      <c r="M87" s="11"/>
      <c r="N87" s="28" t="s">
        <v>145</v>
      </c>
      <c r="O87" s="60">
        <f>J97-O85</f>
        <v>650.53639729330735</v>
      </c>
      <c r="P87" s="76"/>
      <c r="Q87" s="65" t="s">
        <v>127</v>
      </c>
      <c r="R87" s="60">
        <f>R83*R85</f>
        <v>6823.6712774768421</v>
      </c>
      <c r="S87" s="48"/>
      <c r="T87" s="65" t="s">
        <v>146</v>
      </c>
      <c r="U87" s="67">
        <f>O92</f>
        <v>1767</v>
      </c>
      <c r="V87" s="71"/>
      <c r="W87" s="48"/>
      <c r="X87" s="62"/>
    </row>
    <row r="88" spans="8:24" ht="15.75">
      <c r="H88" s="37" t="s">
        <v>103</v>
      </c>
      <c r="I88" s="60">
        <f>ONSV_AUX_2015!E56</f>
        <v>353014</v>
      </c>
      <c r="J88" s="61">
        <f>I88-(L83*I82)</f>
        <v>352967.4756239049</v>
      </c>
      <c r="K88" s="11"/>
      <c r="L88" s="11"/>
      <c r="M88" s="11"/>
      <c r="O88" s="76"/>
      <c r="P88" s="76"/>
      <c r="Q88" s="48"/>
      <c r="R88" s="78"/>
      <c r="S88" s="48"/>
      <c r="T88" s="65" t="s">
        <v>147</v>
      </c>
      <c r="U88" s="68">
        <f>I88-J88</f>
        <v>46.524376095097978</v>
      </c>
      <c r="V88" s="71"/>
      <c r="W88" s="65" t="s">
        <v>148</v>
      </c>
      <c r="X88" s="67">
        <f>I96</f>
        <v>8833</v>
      </c>
    </row>
    <row r="89" spans="8:24" ht="15.75">
      <c r="H89" s="37" t="s">
        <v>104</v>
      </c>
      <c r="I89" s="60">
        <f>ONSV_AUX_2015!E57</f>
        <v>19833</v>
      </c>
      <c r="J89" s="10">
        <f>I89</f>
        <v>19833</v>
      </c>
      <c r="K89" s="11"/>
      <c r="L89" s="11"/>
      <c r="M89" s="11"/>
      <c r="N89" s="26" t="s">
        <v>149</v>
      </c>
      <c r="O89" s="76"/>
      <c r="P89" s="76"/>
      <c r="Q89" s="65" t="s">
        <v>150</v>
      </c>
      <c r="R89" s="60">
        <f>J91-R86</f>
        <v>58303.297148437479</v>
      </c>
      <c r="S89" s="48"/>
      <c r="T89" s="65" t="s">
        <v>151</v>
      </c>
      <c r="U89" s="72">
        <f>O94</f>
        <v>29926.307416374621</v>
      </c>
      <c r="V89" s="48"/>
      <c r="W89" s="65" t="s">
        <v>152</v>
      </c>
      <c r="X89" s="67">
        <f>I93</f>
        <v>3450</v>
      </c>
    </row>
    <row r="90" spans="8:24" ht="15.75">
      <c r="H90" s="37" t="s">
        <v>105</v>
      </c>
      <c r="I90" s="60">
        <f>ONSV_AUX_2015!E58</f>
        <v>2947</v>
      </c>
      <c r="J90" s="10">
        <f>I90</f>
        <v>2947</v>
      </c>
      <c r="K90" s="11"/>
      <c r="L90" s="11"/>
      <c r="M90" s="11"/>
      <c r="O90" s="73"/>
      <c r="P90" s="76"/>
      <c r="Q90" s="65" t="s">
        <v>136</v>
      </c>
      <c r="R90" s="60">
        <f>J92-R87</f>
        <v>19499.859037894628</v>
      </c>
      <c r="S90" s="48"/>
      <c r="T90" s="48"/>
      <c r="U90" s="62"/>
      <c r="V90" s="77"/>
      <c r="W90" s="48"/>
      <c r="X90" s="62"/>
    </row>
    <row r="91" spans="8:24" ht="15.75">
      <c r="H91" s="37" t="s">
        <v>106</v>
      </c>
      <c r="I91" s="60">
        <f>ONSV_AUX_2015!E59</f>
        <v>78716</v>
      </c>
      <c r="J91" s="61">
        <f>I91-(L84*I82)</f>
        <v>78705.625870960634</v>
      </c>
      <c r="K91" s="11"/>
      <c r="L91" s="11"/>
      <c r="M91" s="11"/>
      <c r="N91" s="28" t="s">
        <v>143</v>
      </c>
      <c r="O91" s="60">
        <f>I79</f>
        <v>16210</v>
      </c>
      <c r="P91" s="76"/>
      <c r="Q91" s="48"/>
      <c r="R91" s="48"/>
      <c r="S91" s="77"/>
      <c r="T91" s="65" t="s">
        <v>142</v>
      </c>
      <c r="U91" s="68">
        <f>R86</f>
        <v>20402.328722523154</v>
      </c>
      <c r="V91" s="48"/>
      <c r="W91" s="65" t="s">
        <v>153</v>
      </c>
      <c r="X91" s="67">
        <f>I94</f>
        <v>213904</v>
      </c>
    </row>
    <row r="92" spans="8:24" ht="15.75">
      <c r="H92" s="37" t="s">
        <v>107</v>
      </c>
      <c r="I92" s="60">
        <f>ONSV_AUX_2015!E60</f>
        <v>26327</v>
      </c>
      <c r="J92" s="61">
        <f>I92-(L85*I82)</f>
        <v>26323.53031537147</v>
      </c>
      <c r="K92" s="11"/>
      <c r="L92" s="11"/>
      <c r="M92" s="11"/>
      <c r="N92" s="28" t="s">
        <v>146</v>
      </c>
      <c r="O92" s="60">
        <f>I83</f>
        <v>1767</v>
      </c>
      <c r="P92" s="76"/>
      <c r="Q92" s="48"/>
      <c r="R92" s="48"/>
      <c r="S92" s="48"/>
      <c r="T92" s="65" t="s">
        <v>154</v>
      </c>
      <c r="U92" s="68">
        <f>I91-J91</f>
        <v>10.37412903936638</v>
      </c>
      <c r="V92" s="48"/>
      <c r="W92" s="65" t="s">
        <v>155</v>
      </c>
      <c r="X92" s="67">
        <f>I95</f>
        <v>48308</v>
      </c>
    </row>
    <row r="93" spans="8:24" ht="15.75">
      <c r="H93" s="37" t="s">
        <v>108</v>
      </c>
      <c r="I93" s="60">
        <f>ONSV_AUX_2015!E61</f>
        <v>3450</v>
      </c>
      <c r="J93" s="10">
        <f>I93</f>
        <v>3450</v>
      </c>
      <c r="K93" s="11"/>
      <c r="L93" s="11"/>
      <c r="M93" s="11"/>
      <c r="N93" s="28" t="s">
        <v>139</v>
      </c>
      <c r="O93" s="60">
        <f>IF(OR((O82*I80&gt;J88),((O91+O92+(O82*I80))&gt;J88)),(J88-O91-O92),(O82*I80))</f>
        <v>305064.16820753028</v>
      </c>
      <c r="P93" s="76"/>
      <c r="Q93" s="48"/>
      <c r="R93" s="78"/>
      <c r="S93" s="48"/>
      <c r="T93" s="65" t="s">
        <v>150</v>
      </c>
      <c r="U93" s="72">
        <f>R89</f>
        <v>58303.297148437479</v>
      </c>
      <c r="V93" s="48"/>
      <c r="W93" s="48"/>
      <c r="X93" s="48"/>
    </row>
    <row r="94" spans="8:24" ht="15.75">
      <c r="H94" s="37" t="s">
        <v>109</v>
      </c>
      <c r="I94" s="60">
        <f>ONSV_AUX_2015!E62</f>
        <v>213904</v>
      </c>
      <c r="J94" s="10">
        <f t="shared" ref="J94:J96" si="3">I94</f>
        <v>213904</v>
      </c>
      <c r="K94" s="11"/>
      <c r="L94" s="11"/>
      <c r="M94" s="11"/>
      <c r="N94" s="28" t="s">
        <v>151</v>
      </c>
      <c r="O94" s="60">
        <f>IF((J88-O91-O93-O92)&lt;0,0,(J88-O91-O93-O92))</f>
        <v>29926.307416374621</v>
      </c>
      <c r="P94" s="48"/>
      <c r="Q94" s="48"/>
      <c r="R94" s="48"/>
      <c r="S94" s="48"/>
      <c r="T94" s="48"/>
      <c r="U94" s="62"/>
      <c r="V94" s="48"/>
      <c r="W94" s="48"/>
      <c r="X94" s="48"/>
    </row>
    <row r="95" spans="8:24" ht="15.75">
      <c r="H95" s="37" t="s">
        <v>110</v>
      </c>
      <c r="I95" s="60">
        <f>ONSV_AUX_2015!E63</f>
        <v>48308</v>
      </c>
      <c r="J95" s="10">
        <f t="shared" si="3"/>
        <v>48308</v>
      </c>
      <c r="K95" s="11"/>
      <c r="L95" s="11"/>
      <c r="M95" s="11"/>
      <c r="O95" s="48"/>
      <c r="P95" s="76"/>
      <c r="Q95" s="48"/>
      <c r="R95" s="48"/>
      <c r="S95" s="48"/>
      <c r="T95" s="79" t="s">
        <v>156</v>
      </c>
      <c r="U95" s="80">
        <f>(SUM(U81:U93,X81:X92)/SUM(I88:I97))-1</f>
        <v>0</v>
      </c>
      <c r="V95" s="48"/>
      <c r="W95" s="79" t="s">
        <v>10</v>
      </c>
      <c r="X95" s="67">
        <f>SUM(U81:U93,X81:X92)</f>
        <v>760126</v>
      </c>
    </row>
    <row r="96" spans="8:24" ht="15.75">
      <c r="H96" s="37" t="s">
        <v>111</v>
      </c>
      <c r="I96" s="60">
        <f>ONSV_AUX_2015!E64</f>
        <v>8833</v>
      </c>
      <c r="J96" s="10">
        <f t="shared" si="3"/>
        <v>8833</v>
      </c>
      <c r="K96" s="11"/>
      <c r="L96" s="11"/>
      <c r="M96" s="11"/>
      <c r="O96" s="48"/>
      <c r="P96" s="76"/>
      <c r="Q96" s="48"/>
      <c r="R96" s="48"/>
      <c r="S96" s="48"/>
      <c r="T96" s="48"/>
      <c r="U96" s="48"/>
      <c r="V96" s="48"/>
      <c r="W96" s="48"/>
      <c r="X96" s="48"/>
    </row>
    <row r="97" spans="1:24" ht="15.75">
      <c r="H97" s="37" t="s">
        <v>112</v>
      </c>
      <c r="I97" s="60">
        <f>ONSV_AUX_2015!E65</f>
        <v>4794</v>
      </c>
      <c r="J97" s="61">
        <f>I97-(L86*I82)</f>
        <v>4793.3681897630122</v>
      </c>
      <c r="K97" s="12"/>
      <c r="L97" s="12"/>
      <c r="M97" s="12"/>
      <c r="N97" s="12"/>
      <c r="O97" s="12"/>
      <c r="P97" s="12"/>
      <c r="Q97" s="4"/>
      <c r="R97" s="4"/>
    </row>
    <row r="98" spans="1:24" ht="15.75">
      <c r="I98" s="40"/>
      <c r="J98" s="21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4" ht="15.75">
      <c r="I99" s="40"/>
      <c r="J99" s="21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4" s="31" customFormat="1" ht="15.75">
      <c r="A100" s="101" t="str">
        <f>"AMAZONAS/"&amp;ONSV_AUX_2014!$A$1&amp;""</f>
        <v>AMAZONAS/2014</v>
      </c>
      <c r="B100" s="102"/>
      <c r="C100" s="102"/>
      <c r="D100" s="102"/>
      <c r="E100" s="102"/>
      <c r="F100" s="102"/>
    </row>
    <row r="101" spans="1:24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>
      <c r="H102" s="23" t="s">
        <v>118</v>
      </c>
      <c r="N102" s="26"/>
      <c r="O102" s="26"/>
      <c r="P102" s="9"/>
      <c r="Q102" s="26"/>
      <c r="R102" s="26"/>
      <c r="S102" s="26"/>
      <c r="T102" s="25"/>
      <c r="U102" s="25"/>
      <c r="V102" s="25"/>
      <c r="W102" s="25"/>
      <c r="X102" s="25"/>
    </row>
    <row r="103" spans="1:24" ht="15.75">
      <c r="J103" s="9"/>
      <c r="M103" s="25"/>
      <c r="N103" s="9"/>
      <c r="O103" s="9"/>
      <c r="P103" s="9"/>
      <c r="Q103" s="11"/>
      <c r="R103" s="11"/>
      <c r="S103" s="11"/>
    </row>
    <row r="104" spans="1:24" ht="15.75">
      <c r="H104" s="36" t="s">
        <v>81</v>
      </c>
      <c r="I104" s="60">
        <f>ONSV_AUX_2014!E27</f>
        <v>16219</v>
      </c>
      <c r="J104" s="9"/>
      <c r="K104" s="104" t="s">
        <v>119</v>
      </c>
      <c r="L104" s="104"/>
      <c r="M104" s="9"/>
      <c r="N104" s="26" t="s">
        <v>120</v>
      </c>
      <c r="O104" s="26"/>
      <c r="Q104" s="26" t="s">
        <v>121</v>
      </c>
      <c r="R104" s="26"/>
      <c r="S104" s="26"/>
      <c r="T104" s="25" t="s">
        <v>122</v>
      </c>
      <c r="U104" s="25"/>
      <c r="V104" s="25"/>
      <c r="W104" s="25"/>
      <c r="X104" s="25"/>
    </row>
    <row r="105" spans="1:24" ht="15.75">
      <c r="H105" s="36" t="s">
        <v>84</v>
      </c>
      <c r="I105" s="60">
        <f>ONSV_AUX_2014!E28</f>
        <v>268295</v>
      </c>
      <c r="J105" s="9"/>
      <c r="K105" s="9"/>
      <c r="L105" s="9"/>
      <c r="M105" s="9"/>
      <c r="N105" s="9"/>
      <c r="O105" s="9"/>
      <c r="P105" s="20"/>
      <c r="Q105" s="11"/>
      <c r="R105" s="11"/>
      <c r="S105" s="11"/>
    </row>
    <row r="106" spans="1:24" ht="15.75">
      <c r="H106" s="36" t="s">
        <v>85</v>
      </c>
      <c r="I106" s="60">
        <f>ONSV_AUX_2014!E29</f>
        <v>59517</v>
      </c>
      <c r="J106" s="9"/>
      <c r="K106" s="2" t="s">
        <v>123</v>
      </c>
      <c r="L106" s="60">
        <f>I113+I116+I117+I122</f>
        <v>437090</v>
      </c>
      <c r="N106" s="28" t="s">
        <v>124</v>
      </c>
      <c r="O106" s="60">
        <f>J113+J122</f>
        <v>338867.35420622752</v>
      </c>
      <c r="P106" s="64"/>
      <c r="Q106" s="65" t="s">
        <v>125</v>
      </c>
      <c r="R106" s="60">
        <f>J116+J117</f>
        <v>98167.645793772448</v>
      </c>
      <c r="S106" s="66"/>
      <c r="T106" s="65" t="s">
        <v>126</v>
      </c>
      <c r="U106" s="67">
        <f>O110</f>
        <v>3503.0107550677176</v>
      </c>
      <c r="V106" s="48"/>
      <c r="W106" s="65" t="s">
        <v>127</v>
      </c>
      <c r="X106" s="68">
        <f>R112</f>
        <v>6566.5390099816677</v>
      </c>
    </row>
    <row r="107" spans="1:24" ht="15.75">
      <c r="H107" s="36" t="s">
        <v>101</v>
      </c>
      <c r="I107" s="60">
        <f>ONSV_AUX_2014!E30</f>
        <v>55</v>
      </c>
      <c r="J107" s="9"/>
      <c r="K107" s="27"/>
      <c r="L107" s="62"/>
      <c r="M107" s="20"/>
      <c r="N107" s="28" t="s">
        <v>128</v>
      </c>
      <c r="O107" s="69">
        <f>J113/O106</f>
        <v>0.98694343631052495</v>
      </c>
      <c r="P107" s="64"/>
      <c r="Q107" s="70" t="s">
        <v>129</v>
      </c>
      <c r="R107" s="63">
        <f>J116/R106</f>
        <v>0.74147484212670611</v>
      </c>
      <c r="S107" s="71"/>
      <c r="T107" s="65" t="s">
        <v>130</v>
      </c>
      <c r="U107" s="67">
        <f>I122-J122</f>
        <v>0.55680752247826604</v>
      </c>
      <c r="V107" s="48"/>
      <c r="W107" s="65" t="s">
        <v>131</v>
      </c>
      <c r="X107" s="68">
        <f>I117-J117</f>
        <v>3.1938731153750268</v>
      </c>
    </row>
    <row r="108" spans="1:24" ht="15.75">
      <c r="H108" s="36" t="s">
        <v>16</v>
      </c>
      <c r="I108" s="60">
        <f>ONSV_AUX_2014!E31</f>
        <v>1492</v>
      </c>
      <c r="J108" s="9"/>
      <c r="K108" s="2" t="s">
        <v>132</v>
      </c>
      <c r="L108" s="63">
        <f>I113/L106</f>
        <v>0.76525429545402546</v>
      </c>
      <c r="M108" s="20"/>
      <c r="N108" s="28" t="s">
        <v>133</v>
      </c>
      <c r="O108" s="69">
        <f>J122/O106</f>
        <v>1.3056563689475083E-2</v>
      </c>
      <c r="P108" s="64"/>
      <c r="Q108" s="70" t="s">
        <v>134</v>
      </c>
      <c r="R108" s="63">
        <f>J117/R106</f>
        <v>0.258525157873294</v>
      </c>
      <c r="S108" s="71"/>
      <c r="T108" s="65" t="s">
        <v>135</v>
      </c>
      <c r="U108" s="72">
        <f>O112</f>
        <v>921.43243740980415</v>
      </c>
      <c r="V108" s="73"/>
      <c r="W108" s="65" t="s">
        <v>136</v>
      </c>
      <c r="X108" s="72">
        <f>R115</f>
        <v>18812.267116902956</v>
      </c>
    </row>
    <row r="109" spans="1:24" ht="15.75">
      <c r="H109" s="36" t="s">
        <v>94</v>
      </c>
      <c r="I109" s="60">
        <f>ONSV_AUX_2014!E32</f>
        <v>365684</v>
      </c>
      <c r="J109" s="10"/>
      <c r="K109" s="2" t="s">
        <v>2</v>
      </c>
      <c r="L109" s="63">
        <f>I116/L106</f>
        <v>0.16655151113043079</v>
      </c>
      <c r="M109" s="20"/>
      <c r="N109" s="20"/>
      <c r="O109" s="74"/>
      <c r="P109" s="48"/>
      <c r="Q109" s="48"/>
      <c r="R109" s="48"/>
      <c r="S109" s="48"/>
      <c r="T109" s="48"/>
      <c r="U109" s="62"/>
      <c r="V109" s="75"/>
      <c r="W109" s="48"/>
      <c r="X109" s="62"/>
    </row>
    <row r="110" spans="1:24" ht="15.75">
      <c r="K110" s="2" t="s">
        <v>3</v>
      </c>
      <c r="L110" s="63">
        <f>I117/L106</f>
        <v>5.807042027957629E-2</v>
      </c>
      <c r="M110" s="20"/>
      <c r="N110" s="28" t="s">
        <v>137</v>
      </c>
      <c r="O110" s="60">
        <f>IF(O108*I105&gt;J122,J122,O108*I105)</f>
        <v>3503.0107550677176</v>
      </c>
      <c r="P110" s="76"/>
      <c r="Q110" s="65" t="s">
        <v>138</v>
      </c>
      <c r="R110" s="60">
        <f>I106-I114-I115-I118-I121</f>
        <v>25400</v>
      </c>
      <c r="S110" s="77"/>
      <c r="T110" s="65" t="s">
        <v>139</v>
      </c>
      <c r="U110" s="67">
        <f>O118</f>
        <v>264791.98924493231</v>
      </c>
      <c r="V110" s="76"/>
      <c r="W110" s="65" t="s">
        <v>140</v>
      </c>
      <c r="X110" s="67">
        <f>I114</f>
        <v>19273</v>
      </c>
    </row>
    <row r="111" spans="1:24" ht="15.75">
      <c r="H111" s="24" t="s">
        <v>141</v>
      </c>
      <c r="K111" s="2" t="s">
        <v>0</v>
      </c>
      <c r="L111" s="63">
        <f>I122/L106</f>
        <v>1.012377313596742E-2</v>
      </c>
      <c r="O111" s="48"/>
      <c r="P111" s="76"/>
      <c r="Q111" s="65" t="s">
        <v>142</v>
      </c>
      <c r="R111" s="60">
        <f>R107*R110</f>
        <v>18833.460990018335</v>
      </c>
      <c r="S111" s="48"/>
      <c r="T111" s="65" t="s">
        <v>143</v>
      </c>
      <c r="U111" s="67">
        <f>O116</f>
        <v>16219</v>
      </c>
      <c r="V111" s="66"/>
      <c r="W111" s="65" t="s">
        <v>144</v>
      </c>
      <c r="X111" s="67">
        <f>I115</f>
        <v>2817</v>
      </c>
    </row>
    <row r="112" spans="1:24" ht="15.75">
      <c r="K112" s="11"/>
      <c r="L112" s="11"/>
      <c r="M112" s="11"/>
      <c r="N112" s="28" t="s">
        <v>145</v>
      </c>
      <c r="O112" s="60">
        <f>J122-O110</f>
        <v>921.43243740980415</v>
      </c>
      <c r="P112" s="76"/>
      <c r="Q112" s="65" t="s">
        <v>127</v>
      </c>
      <c r="R112" s="60">
        <f>R108*R110</f>
        <v>6566.5390099816677</v>
      </c>
      <c r="S112" s="48"/>
      <c r="T112" s="65" t="s">
        <v>146</v>
      </c>
      <c r="U112" s="67">
        <f>O117</f>
        <v>1492</v>
      </c>
      <c r="V112" s="71"/>
      <c r="W112" s="48"/>
      <c r="X112" s="62"/>
    </row>
    <row r="113" spans="8:24" ht="15.75">
      <c r="H113" s="37" t="s">
        <v>103</v>
      </c>
      <c r="I113" s="60">
        <f>ONSV_AUX_2014!E56</f>
        <v>334485</v>
      </c>
      <c r="J113" s="61">
        <f>I113-(L108*I107)</f>
        <v>334442.91101375001</v>
      </c>
      <c r="K113" s="11"/>
      <c r="L113" s="11"/>
      <c r="M113" s="11"/>
      <c r="O113" s="76"/>
      <c r="P113" s="76"/>
      <c r="Q113" s="48"/>
      <c r="R113" s="78"/>
      <c r="S113" s="48"/>
      <c r="T113" s="65" t="s">
        <v>147</v>
      </c>
      <c r="U113" s="68">
        <f>I113-J113</f>
        <v>42.08898624998983</v>
      </c>
      <c r="V113" s="71"/>
      <c r="W113" s="65" t="s">
        <v>148</v>
      </c>
      <c r="X113" s="67">
        <f>I121</f>
        <v>8697</v>
      </c>
    </row>
    <row r="114" spans="8:24" ht="15.75">
      <c r="H114" s="37" t="s">
        <v>104</v>
      </c>
      <c r="I114" s="60">
        <f>ONSV_AUX_2014!E57</f>
        <v>19273</v>
      </c>
      <c r="J114" s="10">
        <f>I114</f>
        <v>19273</v>
      </c>
      <c r="K114" s="11"/>
      <c r="L114" s="11"/>
      <c r="M114" s="11"/>
      <c r="N114" s="26" t="s">
        <v>149</v>
      </c>
      <c r="O114" s="76"/>
      <c r="P114" s="76"/>
      <c r="Q114" s="65" t="s">
        <v>150</v>
      </c>
      <c r="R114" s="60">
        <f>J116-R111</f>
        <v>53955.378676869492</v>
      </c>
      <c r="S114" s="48"/>
      <c r="T114" s="65" t="s">
        <v>151</v>
      </c>
      <c r="U114" s="72">
        <f>O119</f>
        <v>51939.921768817701</v>
      </c>
      <c r="V114" s="48"/>
      <c r="W114" s="65" t="s">
        <v>152</v>
      </c>
      <c r="X114" s="67">
        <f>I118</f>
        <v>3330</v>
      </c>
    </row>
    <row r="115" spans="8:24" ht="15.75">
      <c r="H115" s="37" t="s">
        <v>105</v>
      </c>
      <c r="I115" s="60">
        <f>ONSV_AUX_2014!E58</f>
        <v>2817</v>
      </c>
      <c r="J115" s="10">
        <f>I115</f>
        <v>2817</v>
      </c>
      <c r="K115" s="11"/>
      <c r="L115" s="11"/>
      <c r="M115" s="11"/>
      <c r="O115" s="73"/>
      <c r="P115" s="76"/>
      <c r="Q115" s="65" t="s">
        <v>136</v>
      </c>
      <c r="R115" s="60">
        <f>J117-R112</f>
        <v>18812.267116902956</v>
      </c>
      <c r="S115" s="48"/>
      <c r="T115" s="48"/>
      <c r="U115" s="62"/>
      <c r="V115" s="77"/>
      <c r="W115" s="48"/>
      <c r="X115" s="62"/>
    </row>
    <row r="116" spans="8:24" ht="15.75">
      <c r="H116" s="37" t="s">
        <v>106</v>
      </c>
      <c r="I116" s="60">
        <f>ONSV_AUX_2014!E59</f>
        <v>72798</v>
      </c>
      <c r="J116" s="61">
        <f>I116-(L109*I107)</f>
        <v>72788.839666887827</v>
      </c>
      <c r="K116" s="11"/>
      <c r="L116" s="11"/>
      <c r="M116" s="11"/>
      <c r="N116" s="28" t="s">
        <v>143</v>
      </c>
      <c r="O116" s="60">
        <f>I104</f>
        <v>16219</v>
      </c>
      <c r="P116" s="76"/>
      <c r="Q116" s="48"/>
      <c r="R116" s="48"/>
      <c r="S116" s="77"/>
      <c r="T116" s="65" t="s">
        <v>142</v>
      </c>
      <c r="U116" s="68">
        <f>R111</f>
        <v>18833.460990018335</v>
      </c>
      <c r="V116" s="48"/>
      <c r="W116" s="65" t="s">
        <v>153</v>
      </c>
      <c r="X116" s="67">
        <f>I119</f>
        <v>193455</v>
      </c>
    </row>
    <row r="117" spans="8:24" ht="15.75">
      <c r="H117" s="37" t="s">
        <v>107</v>
      </c>
      <c r="I117" s="60">
        <f>ONSV_AUX_2014!E60</f>
        <v>25382</v>
      </c>
      <c r="J117" s="61">
        <f>I117-(L110*I107)</f>
        <v>25378.806126884625</v>
      </c>
      <c r="K117" s="11"/>
      <c r="L117" s="11"/>
      <c r="M117" s="11"/>
      <c r="N117" s="28" t="s">
        <v>146</v>
      </c>
      <c r="O117" s="60">
        <f>I108</f>
        <v>1492</v>
      </c>
      <c r="P117" s="76"/>
      <c r="Q117" s="48"/>
      <c r="R117" s="48"/>
      <c r="S117" s="48"/>
      <c r="T117" s="65" t="s">
        <v>154</v>
      </c>
      <c r="U117" s="68">
        <f>I116-J116</f>
        <v>9.1603331121732481</v>
      </c>
      <c r="V117" s="48"/>
      <c r="W117" s="65" t="s">
        <v>155</v>
      </c>
      <c r="X117" s="67">
        <f>I120</f>
        <v>44012</v>
      </c>
    </row>
    <row r="118" spans="8:24" ht="15.75">
      <c r="H118" s="37" t="s">
        <v>108</v>
      </c>
      <c r="I118" s="60">
        <f>ONSV_AUX_2014!E61</f>
        <v>3330</v>
      </c>
      <c r="J118" s="10">
        <f>I118</f>
        <v>3330</v>
      </c>
      <c r="K118" s="11"/>
      <c r="L118" s="11"/>
      <c r="M118" s="11"/>
      <c r="N118" s="28" t="s">
        <v>139</v>
      </c>
      <c r="O118" s="60">
        <f>IF(OR((O107*I105&gt;J113),((O116+O117+(O107*I105))&gt;J113)),(J113-O116-O117),(O107*I105))</f>
        <v>264791.98924493231</v>
      </c>
      <c r="P118" s="76"/>
      <c r="Q118" s="48"/>
      <c r="R118" s="78"/>
      <c r="S118" s="48"/>
      <c r="T118" s="65" t="s">
        <v>150</v>
      </c>
      <c r="U118" s="72">
        <f>R114</f>
        <v>53955.378676869492</v>
      </c>
      <c r="V118" s="48"/>
      <c r="W118" s="48"/>
      <c r="X118" s="48"/>
    </row>
    <row r="119" spans="8:24" ht="15.75">
      <c r="H119" s="37" t="s">
        <v>109</v>
      </c>
      <c r="I119" s="60">
        <f>ONSV_AUX_2014!E62</f>
        <v>193455</v>
      </c>
      <c r="J119" s="10">
        <f t="shared" ref="J119:J121" si="4">I119</f>
        <v>193455</v>
      </c>
      <c r="K119" s="11"/>
      <c r="L119" s="11"/>
      <c r="M119" s="11"/>
      <c r="N119" s="28" t="s">
        <v>151</v>
      </c>
      <c r="O119" s="60">
        <f>IF((J113-O116-O118-O117)&lt;0,0,(J113-O116-O118-O117))</f>
        <v>51939.921768817701</v>
      </c>
      <c r="P119" s="48"/>
      <c r="Q119" s="48"/>
      <c r="R119" s="48"/>
      <c r="S119" s="48"/>
      <c r="T119" s="48"/>
      <c r="U119" s="62"/>
      <c r="V119" s="48"/>
      <c r="W119" s="48"/>
      <c r="X119" s="48"/>
    </row>
    <row r="120" spans="8:24" ht="15.75">
      <c r="H120" s="37" t="s">
        <v>110</v>
      </c>
      <c r="I120" s="60">
        <f>ONSV_AUX_2014!E63</f>
        <v>44012</v>
      </c>
      <c r="J120" s="10">
        <f t="shared" si="4"/>
        <v>44012</v>
      </c>
      <c r="K120" s="11"/>
      <c r="L120" s="11"/>
      <c r="M120" s="11"/>
      <c r="O120" s="48"/>
      <c r="P120" s="76"/>
      <c r="Q120" s="48"/>
      <c r="R120" s="48"/>
      <c r="S120" s="48"/>
      <c r="T120" s="79" t="s">
        <v>156</v>
      </c>
      <c r="U120" s="80">
        <f>(SUM(U106:U118,X106:X117)/SUM(I113:I122))-1</f>
        <v>0</v>
      </c>
      <c r="V120" s="48"/>
      <c r="W120" s="79" t="s">
        <v>10</v>
      </c>
      <c r="X120" s="67">
        <f>SUM(U106:U118,X106:X117)</f>
        <v>708674</v>
      </c>
    </row>
    <row r="121" spans="8:24" ht="15.75">
      <c r="H121" s="37" t="s">
        <v>111</v>
      </c>
      <c r="I121" s="60">
        <f>ONSV_AUX_2014!E64</f>
        <v>8697</v>
      </c>
      <c r="J121" s="10">
        <f t="shared" si="4"/>
        <v>8697</v>
      </c>
      <c r="K121" s="11"/>
      <c r="L121" s="11"/>
      <c r="M121" s="11"/>
      <c r="O121" s="48"/>
      <c r="P121" s="76"/>
      <c r="Q121" s="48"/>
      <c r="R121" s="48"/>
      <c r="S121" s="48"/>
      <c r="T121" s="48"/>
      <c r="U121" s="48"/>
      <c r="V121" s="48"/>
      <c r="W121" s="48"/>
      <c r="X121" s="48"/>
    </row>
    <row r="122" spans="8:24" ht="15.75">
      <c r="H122" s="37" t="s">
        <v>112</v>
      </c>
      <c r="I122" s="60">
        <f>ONSV_AUX_2014!E65</f>
        <v>4425</v>
      </c>
      <c r="J122" s="61">
        <f>I122-(L111*I107)</f>
        <v>4424.4431924775217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A100:F100"/>
    <mergeCell ref="K104:L104"/>
    <mergeCell ref="K54:L54"/>
    <mergeCell ref="A75:F75"/>
    <mergeCell ref="K79:L79"/>
    <mergeCell ref="T52:X52"/>
    <mergeCell ref="A1:F1"/>
    <mergeCell ref="Q4:R4"/>
    <mergeCell ref="T4:X4"/>
    <mergeCell ref="K5:L5"/>
    <mergeCell ref="T27:X27"/>
    <mergeCell ref="K29:L29"/>
    <mergeCell ref="A25:F25"/>
    <mergeCell ref="A50:F5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0.39997558519241921"/>
  </sheetPr>
  <dimension ref="A1:X122"/>
  <sheetViews>
    <sheetView showGridLines="0" topLeftCell="A91" zoomScale="90" zoomScaleNormal="90" workbookViewId="0">
      <selection activeCell="A101" sqref="A101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</cols>
  <sheetData>
    <row r="1" spans="1:24" s="31" customFormat="1" ht="15.75">
      <c r="A1" s="101" t="str">
        <f>"BAHIA/"&amp;ONSV_AUX_2018!$A$1&amp;""</f>
        <v>BAHIA/2018</v>
      </c>
      <c r="B1" s="102"/>
      <c r="C1" s="102"/>
      <c r="D1" s="102"/>
      <c r="E1" s="102"/>
      <c r="F1" s="102"/>
    </row>
    <row r="2" spans="1:24" s="4" customFormat="1" ht="15.75">
      <c r="A2" s="32"/>
      <c r="B2" s="32"/>
      <c r="C2" s="32"/>
      <c r="D2" s="32"/>
      <c r="E2" s="32"/>
      <c r="F2" s="32"/>
    </row>
    <row r="3" spans="1:24" ht="15.75">
      <c r="A3" s="12"/>
      <c r="H3" s="23" t="s">
        <v>118</v>
      </c>
    </row>
    <row r="4" spans="1:24" ht="15.75">
      <c r="B4" s="5"/>
      <c r="J4" s="9"/>
      <c r="M4" s="25"/>
      <c r="N4" s="25"/>
      <c r="O4" s="25"/>
      <c r="P4" s="25"/>
      <c r="Q4" s="103"/>
      <c r="R4" s="103"/>
      <c r="S4" s="22"/>
      <c r="T4" s="104"/>
      <c r="U4" s="104"/>
      <c r="V4" s="104"/>
      <c r="W4" s="104"/>
      <c r="X4" s="104"/>
    </row>
    <row r="5" spans="1:24" ht="15.75">
      <c r="H5" s="36" t="s">
        <v>81</v>
      </c>
      <c r="I5" s="60">
        <f>ONSV_AUX_2018!F27</f>
        <v>99404</v>
      </c>
      <c r="J5" s="9"/>
      <c r="K5" s="104" t="s">
        <v>119</v>
      </c>
      <c r="L5" s="104"/>
      <c r="M5" s="9"/>
      <c r="N5" s="26" t="s">
        <v>120</v>
      </c>
      <c r="O5" s="26"/>
      <c r="Q5" s="26" t="s">
        <v>121</v>
      </c>
      <c r="R5" s="26"/>
      <c r="S5" s="26"/>
      <c r="T5" s="25" t="s">
        <v>122</v>
      </c>
      <c r="U5" s="25"/>
      <c r="V5" s="25"/>
      <c r="W5" s="25"/>
      <c r="X5" s="25"/>
    </row>
    <row r="6" spans="1:24" ht="15.75">
      <c r="H6" s="36" t="s">
        <v>84</v>
      </c>
      <c r="I6" s="60">
        <f>ONSV_AUX_2018!F28</f>
        <v>1632252</v>
      </c>
      <c r="J6" s="9"/>
      <c r="K6" s="9"/>
      <c r="L6" s="9"/>
      <c r="M6" s="9"/>
      <c r="N6" s="9"/>
      <c r="O6" s="9"/>
      <c r="P6" s="20"/>
      <c r="Q6" s="11"/>
      <c r="R6" s="11"/>
      <c r="S6" s="11"/>
    </row>
    <row r="7" spans="1:24" ht="15.75">
      <c r="H7" s="36" t="s">
        <v>85</v>
      </c>
      <c r="I7" s="60">
        <f>ONSV_AUX_2018!F29</f>
        <v>343076</v>
      </c>
      <c r="J7" s="9"/>
      <c r="K7" s="2" t="s">
        <v>123</v>
      </c>
      <c r="L7" s="60">
        <f>I14+I17+I18+I23</f>
        <v>2285140</v>
      </c>
      <c r="N7" s="28" t="s">
        <v>124</v>
      </c>
      <c r="O7" s="60">
        <f>J14+J23</f>
        <v>1821574.4549126094</v>
      </c>
      <c r="P7" s="64"/>
      <c r="Q7" s="65" t="s">
        <v>125</v>
      </c>
      <c r="R7" s="60">
        <f>J17+J18</f>
        <v>463178.5450873907</v>
      </c>
      <c r="S7" s="66"/>
      <c r="T7" s="65" t="s">
        <v>126</v>
      </c>
      <c r="U7" s="67">
        <f>O11</f>
        <v>25842.663299454467</v>
      </c>
      <c r="V7" s="48"/>
      <c r="W7" s="65" t="s">
        <v>127</v>
      </c>
      <c r="X7" s="68">
        <f>R13</f>
        <v>33962.768538845608</v>
      </c>
    </row>
    <row r="8" spans="1:24" ht="15.75">
      <c r="H8" s="36" t="s">
        <v>101</v>
      </c>
      <c r="I8" s="60">
        <f>ONSV_AUX_2018!F30</f>
        <v>387</v>
      </c>
      <c r="J8" s="9"/>
      <c r="K8" s="27"/>
      <c r="L8" s="62"/>
      <c r="M8" s="20"/>
      <c r="N8" s="28" t="s">
        <v>128</v>
      </c>
      <c r="O8" s="69">
        <f>J14/O7</f>
        <v>0.98416747947041605</v>
      </c>
      <c r="P8" s="64"/>
      <c r="Q8" s="70" t="s">
        <v>129</v>
      </c>
      <c r="R8" s="63">
        <f>J17/R7</f>
        <v>0.75121584779075112</v>
      </c>
      <c r="S8" s="71"/>
      <c r="T8" s="65" t="s">
        <v>130</v>
      </c>
      <c r="U8" s="67">
        <f>I23-J23</f>
        <v>4.8850464304159686</v>
      </c>
      <c r="V8" s="48"/>
      <c r="W8" s="65" t="s">
        <v>131</v>
      </c>
      <c r="X8" s="68">
        <f>I18-J18</f>
        <v>19.518338920155657</v>
      </c>
    </row>
    <row r="9" spans="1:24" ht="15.75">
      <c r="H9" s="36" t="s">
        <v>16</v>
      </c>
      <c r="I9" s="60">
        <f>ONSV_AUX_2018!F31</f>
        <v>53127</v>
      </c>
      <c r="J9" s="9"/>
      <c r="K9" s="2" t="s">
        <v>132</v>
      </c>
      <c r="L9" s="63">
        <f>I14/L7</f>
        <v>0.78465126863124357</v>
      </c>
      <c r="M9" s="20"/>
      <c r="N9" s="28" t="s">
        <v>133</v>
      </c>
      <c r="O9" s="69">
        <f>J23/O7</f>
        <v>1.5832520529583952E-2</v>
      </c>
      <c r="P9" s="64"/>
      <c r="Q9" s="70" t="s">
        <v>134</v>
      </c>
      <c r="R9" s="63">
        <f>J18/R7</f>
        <v>0.24878415220924888</v>
      </c>
      <c r="S9" s="71"/>
      <c r="T9" s="65" t="s">
        <v>135</v>
      </c>
      <c r="U9" s="72">
        <f>O13</f>
        <v>2997.451654115117</v>
      </c>
      <c r="V9" s="73"/>
      <c r="W9" s="65" t="s">
        <v>136</v>
      </c>
      <c r="X9" s="72">
        <f>R16</f>
        <v>81268.713122234243</v>
      </c>
    </row>
    <row r="10" spans="1:24" ht="15.75">
      <c r="H10" s="36" t="s">
        <v>94</v>
      </c>
      <c r="I10" s="60">
        <f>ONSV_AUX_2018!F32</f>
        <v>1829622</v>
      </c>
      <c r="J10" s="10"/>
      <c r="K10" s="2" t="s">
        <v>2</v>
      </c>
      <c r="L10" s="63">
        <f>I17/L7</f>
        <v>0.15229088808563152</v>
      </c>
      <c r="M10" s="20"/>
      <c r="N10" s="20"/>
      <c r="O10" s="74"/>
      <c r="P10" s="48"/>
      <c r="Q10" s="48"/>
      <c r="R10" s="48"/>
      <c r="S10" s="48"/>
      <c r="T10" s="48"/>
      <c r="U10" s="62"/>
      <c r="V10" s="75"/>
      <c r="W10" s="48"/>
      <c r="X10" s="62"/>
    </row>
    <row r="11" spans="1:24" ht="15.75">
      <c r="K11" s="2" t="s">
        <v>3</v>
      </c>
      <c r="L11" s="63">
        <f>I18/L7</f>
        <v>5.0434984289802816E-2</v>
      </c>
      <c r="M11" s="20"/>
      <c r="N11" s="28" t="s">
        <v>137</v>
      </c>
      <c r="O11" s="60">
        <f>IF(O9*I6&gt;J23,J23,O9*I6)</f>
        <v>25842.663299454467</v>
      </c>
      <c r="P11" s="76"/>
      <c r="Q11" s="65" t="s">
        <v>138</v>
      </c>
      <c r="R11" s="60">
        <f>I7-I15-I16-I19-I22</f>
        <v>136515</v>
      </c>
      <c r="S11" s="77"/>
      <c r="T11" s="65" t="s">
        <v>139</v>
      </c>
      <c r="U11" s="67">
        <f>O19</f>
        <v>1606409.3367005456</v>
      </c>
      <c r="V11" s="76"/>
      <c r="W11" s="65" t="s">
        <v>140</v>
      </c>
      <c r="X11" s="67">
        <f>I15</f>
        <v>117538</v>
      </c>
    </row>
    <row r="12" spans="1:24" ht="15.75">
      <c r="H12" s="24" t="s">
        <v>141</v>
      </c>
      <c r="K12" s="2" t="s">
        <v>0</v>
      </c>
      <c r="L12" s="63">
        <f>I23/L7</f>
        <v>1.2622858993322073E-2</v>
      </c>
      <c r="O12" s="48"/>
      <c r="P12" s="76"/>
      <c r="Q12" s="65" t="s">
        <v>142</v>
      </c>
      <c r="R12" s="60">
        <f>R8*R11</f>
        <v>102552.23146115438</v>
      </c>
      <c r="S12" s="48"/>
      <c r="T12" s="65" t="s">
        <v>143</v>
      </c>
      <c r="U12" s="67">
        <f>O17</f>
        <v>99404</v>
      </c>
      <c r="V12" s="66"/>
      <c r="W12" s="65" t="s">
        <v>144</v>
      </c>
      <c r="X12" s="67">
        <f>I16</f>
        <v>20597</v>
      </c>
    </row>
    <row r="13" spans="1:24" ht="15.75">
      <c r="K13" s="11"/>
      <c r="L13" s="11"/>
      <c r="M13" s="11"/>
      <c r="N13" s="28" t="s">
        <v>145</v>
      </c>
      <c r="O13" s="60">
        <f>J23-O11</f>
        <v>2997.451654115117</v>
      </c>
      <c r="P13" s="76"/>
      <c r="Q13" s="65" t="s">
        <v>127</v>
      </c>
      <c r="R13" s="60">
        <f>R9*R11</f>
        <v>33962.768538845608</v>
      </c>
      <c r="S13" s="48"/>
      <c r="T13" s="65" t="s">
        <v>146</v>
      </c>
      <c r="U13" s="67">
        <f>O18</f>
        <v>53127</v>
      </c>
      <c r="V13" s="71"/>
      <c r="W13" s="48"/>
      <c r="X13" s="62"/>
    </row>
    <row r="14" spans="1:24" ht="15.75">
      <c r="H14" s="37" t="s">
        <v>103</v>
      </c>
      <c r="I14" s="60">
        <f>ONSV_AUX_2018!F56</f>
        <v>1793038</v>
      </c>
      <c r="J14" s="61">
        <f>I14-(L9*I8)</f>
        <v>1792734.3399590398</v>
      </c>
      <c r="K14" s="11"/>
      <c r="L14" s="11"/>
      <c r="M14" s="11"/>
      <c r="O14" s="76"/>
      <c r="P14" s="76"/>
      <c r="Q14" s="48"/>
      <c r="R14" s="78"/>
      <c r="S14" s="48"/>
      <c r="T14" s="65" t="s">
        <v>147</v>
      </c>
      <c r="U14" s="68">
        <f>I14-J14</f>
        <v>303.6600409601815</v>
      </c>
      <c r="V14" s="71"/>
      <c r="W14" s="65" t="s">
        <v>148</v>
      </c>
      <c r="X14" s="67">
        <f>I22</f>
        <v>39458</v>
      </c>
    </row>
    <row r="15" spans="1:24" ht="15.75">
      <c r="H15" s="37" t="s">
        <v>104</v>
      </c>
      <c r="I15" s="60">
        <f>ONSV_AUX_2018!F57</f>
        <v>117538</v>
      </c>
      <c r="J15" s="10">
        <f>I15</f>
        <v>117538</v>
      </c>
      <c r="K15" s="11"/>
      <c r="L15" s="11"/>
      <c r="M15" s="11"/>
      <c r="N15" s="26" t="s">
        <v>149</v>
      </c>
      <c r="O15" s="76"/>
      <c r="P15" s="76"/>
      <c r="Q15" s="65" t="s">
        <v>150</v>
      </c>
      <c r="R15" s="60">
        <f>J17-R12</f>
        <v>245394.83196515645</v>
      </c>
      <c r="S15" s="48"/>
      <c r="T15" s="65" t="s">
        <v>151</v>
      </c>
      <c r="U15" s="72">
        <f>O20</f>
        <v>33794.003258494195</v>
      </c>
      <c r="V15" s="48"/>
      <c r="W15" s="65" t="s">
        <v>152</v>
      </c>
      <c r="X15" s="67">
        <f>I19</f>
        <v>28968</v>
      </c>
    </row>
    <row r="16" spans="1:24" ht="15.75">
      <c r="H16" s="37" t="s">
        <v>105</v>
      </c>
      <c r="I16" s="60">
        <f>ONSV_AUX_2018!F58</f>
        <v>20597</v>
      </c>
      <c r="J16" s="10">
        <f>I16</f>
        <v>20597</v>
      </c>
      <c r="K16" s="11"/>
      <c r="L16" s="11"/>
      <c r="M16" s="11"/>
      <c r="O16" s="73"/>
      <c r="P16" s="76"/>
      <c r="Q16" s="65" t="s">
        <v>136</v>
      </c>
      <c r="R16" s="60">
        <f>J18-R13</f>
        <v>81268.713122234243</v>
      </c>
      <c r="S16" s="48"/>
      <c r="T16" s="48"/>
      <c r="U16" s="62"/>
      <c r="V16" s="77"/>
      <c r="W16" s="48"/>
      <c r="X16" s="62"/>
    </row>
    <row r="17" spans="1:24" ht="15.75">
      <c r="H17" s="37" t="s">
        <v>106</v>
      </c>
      <c r="I17" s="60">
        <f>ONSV_AUX_2018!F59</f>
        <v>348006</v>
      </c>
      <c r="J17" s="61">
        <f>I17-(L10*I8)</f>
        <v>347947.06342631084</v>
      </c>
      <c r="K17" s="11"/>
      <c r="L17" s="11"/>
      <c r="M17" s="11"/>
      <c r="N17" s="28" t="s">
        <v>143</v>
      </c>
      <c r="O17" s="60">
        <f>I5</f>
        <v>99404</v>
      </c>
      <c r="P17" s="76"/>
      <c r="Q17" s="48"/>
      <c r="R17" s="48"/>
      <c r="S17" s="77"/>
      <c r="T17" s="65" t="s">
        <v>142</v>
      </c>
      <c r="U17" s="68">
        <f>R12</f>
        <v>102552.23146115438</v>
      </c>
      <c r="V17" s="48"/>
      <c r="W17" s="65" t="s">
        <v>153</v>
      </c>
      <c r="X17" s="67">
        <f>I20</f>
        <v>1272385</v>
      </c>
    </row>
    <row r="18" spans="1:24" ht="15.75">
      <c r="H18" s="37" t="s">
        <v>107</v>
      </c>
      <c r="I18" s="60">
        <f>ONSV_AUX_2018!F60</f>
        <v>115251</v>
      </c>
      <c r="J18" s="61">
        <f>I18-(L11*I8)</f>
        <v>115231.48166107984</v>
      </c>
      <c r="K18" s="11"/>
      <c r="L18" s="11"/>
      <c r="M18" s="11"/>
      <c r="N18" s="28" t="s">
        <v>146</v>
      </c>
      <c r="O18" s="60">
        <f>I9</f>
        <v>53127</v>
      </c>
      <c r="P18" s="76"/>
      <c r="Q18" s="48"/>
      <c r="R18" s="48"/>
      <c r="S18" s="48"/>
      <c r="T18" s="65" t="s">
        <v>154</v>
      </c>
      <c r="U18" s="68">
        <f>I17-J17</f>
        <v>58.936573689163197</v>
      </c>
      <c r="V18" s="48"/>
      <c r="W18" s="65" t="s">
        <v>155</v>
      </c>
      <c r="X18" s="67">
        <f>I21</f>
        <v>187372</v>
      </c>
    </row>
    <row r="19" spans="1:24" ht="15.75">
      <c r="H19" s="37" t="s">
        <v>108</v>
      </c>
      <c r="I19" s="60">
        <f>ONSV_AUX_2018!F61</f>
        <v>28968</v>
      </c>
      <c r="J19" s="10">
        <f>I19</f>
        <v>28968</v>
      </c>
      <c r="K19" s="11"/>
      <c r="L19" s="11"/>
      <c r="M19" s="11"/>
      <c r="N19" s="28" t="s">
        <v>139</v>
      </c>
      <c r="O19" s="60">
        <f>IF(OR((O8*I6&gt;J14),((O17+O18+(O8*I6))&gt;J14)),(J14-O17-O18),(O8*I6))</f>
        <v>1606409.3367005456</v>
      </c>
      <c r="P19" s="76"/>
      <c r="Q19" s="48"/>
      <c r="R19" s="78"/>
      <c r="S19" s="48"/>
      <c r="T19" s="65" t="s">
        <v>150</v>
      </c>
      <c r="U19" s="72">
        <f>R15</f>
        <v>245394.83196515645</v>
      </c>
      <c r="V19" s="48"/>
      <c r="W19" s="48"/>
      <c r="X19" s="48"/>
    </row>
    <row r="20" spans="1:24" ht="15.75">
      <c r="H20" s="37" t="s">
        <v>109</v>
      </c>
      <c r="I20" s="60">
        <f>ONSV_AUX_2018!F62</f>
        <v>1272385</v>
      </c>
      <c r="J20" s="10">
        <f t="shared" ref="J20:J22" si="0">I20</f>
        <v>1272385</v>
      </c>
      <c r="K20" s="11"/>
      <c r="L20" s="11"/>
      <c r="M20" s="11"/>
      <c r="N20" s="28" t="s">
        <v>151</v>
      </c>
      <c r="O20" s="60">
        <f>IF((J14-O17-O19-O18)&lt;0,0,(J14-O17-O19-O18))</f>
        <v>33794.003258494195</v>
      </c>
      <c r="P20" s="48"/>
      <c r="Q20" s="48"/>
      <c r="R20" s="48"/>
      <c r="S20" s="48"/>
      <c r="T20" s="48"/>
      <c r="U20" s="62"/>
      <c r="V20" s="48"/>
      <c r="W20" s="48"/>
      <c r="X20" s="48"/>
    </row>
    <row r="21" spans="1:24" ht="15.75">
      <c r="H21" s="37" t="s">
        <v>110</v>
      </c>
      <c r="I21" s="60">
        <f>ONSV_AUX_2018!F63</f>
        <v>187372</v>
      </c>
      <c r="J21" s="10">
        <f t="shared" si="0"/>
        <v>187372</v>
      </c>
      <c r="K21" s="11"/>
      <c r="L21" s="11"/>
      <c r="M21" s="11"/>
      <c r="O21" s="48"/>
      <c r="P21" s="76"/>
      <c r="Q21" s="48"/>
      <c r="R21" s="48"/>
      <c r="S21" s="48"/>
      <c r="T21" s="79" t="s">
        <v>156</v>
      </c>
      <c r="U21" s="80">
        <f>(SUM(U7:U19,X7:X18)/SUM(I14:I23))-1</f>
        <v>0</v>
      </c>
      <c r="V21" s="48"/>
      <c r="W21" s="79" t="s">
        <v>10</v>
      </c>
      <c r="X21" s="67">
        <f>SUM(U7:U19,X7:X18)</f>
        <v>3951458</v>
      </c>
    </row>
    <row r="22" spans="1:24" ht="15.75">
      <c r="H22" s="37" t="s">
        <v>111</v>
      </c>
      <c r="I22" s="60">
        <f>ONSV_AUX_2018!F64</f>
        <v>39458</v>
      </c>
      <c r="J22" s="10">
        <f t="shared" si="0"/>
        <v>39458</v>
      </c>
      <c r="K22" s="11"/>
      <c r="L22" s="11"/>
      <c r="M22" s="11"/>
      <c r="O22" s="48"/>
      <c r="P22" s="76"/>
      <c r="Q22" s="48"/>
      <c r="R22" s="48"/>
      <c r="S22" s="48"/>
      <c r="T22" s="48"/>
      <c r="U22" s="48"/>
      <c r="V22" s="48"/>
      <c r="W22" s="48"/>
      <c r="X22" s="48"/>
    </row>
    <row r="23" spans="1:24" ht="15.75">
      <c r="H23" s="37" t="s">
        <v>112</v>
      </c>
      <c r="I23" s="60">
        <f>ONSV_AUX_2018!F65</f>
        <v>28845</v>
      </c>
      <c r="J23" s="61">
        <f>I23-(L12*I8)</f>
        <v>28840.114953569584</v>
      </c>
      <c r="K23" s="12"/>
      <c r="L23" s="12"/>
      <c r="M23" s="12"/>
      <c r="N23" s="12"/>
      <c r="O23" s="12"/>
      <c r="P23" s="12"/>
      <c r="Q23" s="4"/>
      <c r="R23" s="4"/>
    </row>
    <row r="25" spans="1:24" s="31" customFormat="1" ht="15.75">
      <c r="A25" s="101" t="str">
        <f>"BAHIA/"&amp;ONSV_AUX_2017!$A$1&amp;""</f>
        <v>BAHIA/2017</v>
      </c>
      <c r="B25" s="102"/>
      <c r="C25" s="102"/>
      <c r="D25" s="102"/>
      <c r="E25" s="102"/>
      <c r="F25" s="102"/>
    </row>
    <row r="26" spans="1:24" ht="15.75">
      <c r="A26" s="3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>
      <c r="A27" s="12"/>
      <c r="H27" s="23" t="s">
        <v>118</v>
      </c>
      <c r="N27" s="26"/>
      <c r="O27" s="26"/>
      <c r="P27" s="9"/>
      <c r="Q27" s="26"/>
      <c r="R27" s="26"/>
      <c r="S27" s="26"/>
      <c r="T27" s="104"/>
      <c r="U27" s="104"/>
      <c r="V27" s="104"/>
      <c r="W27" s="104"/>
      <c r="X27" s="104"/>
    </row>
    <row r="28" spans="1:24" ht="15.75">
      <c r="B28" s="5"/>
      <c r="J28" s="9"/>
      <c r="M28" s="25"/>
    </row>
    <row r="29" spans="1:24" ht="15.75">
      <c r="H29" s="36" t="s">
        <v>81</v>
      </c>
      <c r="I29" s="60">
        <f>ONSV_AUX_2017!F27</f>
        <v>98878</v>
      </c>
      <c r="J29" s="9"/>
      <c r="K29" s="104" t="s">
        <v>119</v>
      </c>
      <c r="L29" s="104"/>
      <c r="M29" s="9"/>
      <c r="N29" s="26" t="s">
        <v>120</v>
      </c>
      <c r="O29" s="26"/>
      <c r="Q29" s="26" t="s">
        <v>121</v>
      </c>
      <c r="R29" s="26"/>
      <c r="S29" s="26"/>
      <c r="T29" s="25" t="s">
        <v>122</v>
      </c>
      <c r="U29" s="25"/>
      <c r="V29" s="25"/>
      <c r="W29" s="25"/>
      <c r="X29" s="25"/>
    </row>
    <row r="30" spans="1:24" ht="15.75">
      <c r="H30" s="36" t="s">
        <v>84</v>
      </c>
      <c r="I30" s="60">
        <f>ONSV_AUX_2017!F28</f>
        <v>1528000</v>
      </c>
      <c r="J30" s="9"/>
      <c r="K30" s="9"/>
      <c r="L30" s="9"/>
      <c r="M30" s="9"/>
      <c r="N30" s="9"/>
      <c r="O30" s="9"/>
      <c r="P30" s="20"/>
      <c r="Q30" s="11"/>
      <c r="R30" s="11"/>
      <c r="S30" s="11"/>
    </row>
    <row r="31" spans="1:24" ht="15.75">
      <c r="H31" s="36" t="s">
        <v>85</v>
      </c>
      <c r="I31" s="60">
        <f>ONSV_AUX_2017!F29</f>
        <v>330436</v>
      </c>
      <c r="J31" s="9"/>
      <c r="K31" s="2" t="s">
        <v>123</v>
      </c>
      <c r="L31" s="60">
        <f>I38+I41+I42+I47</f>
        <v>2183422</v>
      </c>
      <c r="N31" s="28" t="s">
        <v>124</v>
      </c>
      <c r="O31" s="60">
        <f>J38+J47</f>
        <v>1746172.63743106</v>
      </c>
      <c r="P31" s="64"/>
      <c r="Q31" s="65" t="s">
        <v>125</v>
      </c>
      <c r="R31" s="60">
        <f>J41+J42</f>
        <v>437046.36256893992</v>
      </c>
      <c r="S31" s="66"/>
      <c r="T31" s="65" t="s">
        <v>126</v>
      </c>
      <c r="U31" s="67">
        <f>O35</f>
        <v>22884.104138094925</v>
      </c>
      <c r="V31" s="48"/>
      <c r="W31" s="65" t="s">
        <v>127</v>
      </c>
      <c r="X31" s="68">
        <f>R37</f>
        <v>31431.71066629756</v>
      </c>
    </row>
    <row r="32" spans="1:24" ht="15.75">
      <c r="H32" s="36" t="s">
        <v>101</v>
      </c>
      <c r="I32" s="60">
        <f>ONSV_AUX_2017!F30</f>
        <v>203</v>
      </c>
      <c r="J32" s="9"/>
      <c r="K32" s="27"/>
      <c r="L32" s="62"/>
      <c r="M32" s="20"/>
      <c r="N32" s="28" t="s">
        <v>128</v>
      </c>
      <c r="O32" s="69">
        <f>J38/O31</f>
        <v>0.98502349205622064</v>
      </c>
      <c r="P32" s="64"/>
      <c r="Q32" s="70" t="s">
        <v>129</v>
      </c>
      <c r="R32" s="63">
        <f>J41/R31</f>
        <v>0.7534381027118171</v>
      </c>
      <c r="S32" s="71"/>
      <c r="T32" s="65" t="s">
        <v>130</v>
      </c>
      <c r="U32" s="67">
        <f>I47-J47</f>
        <v>2.4316243035027583</v>
      </c>
      <c r="V32" s="48"/>
      <c r="W32" s="65" t="s">
        <v>131</v>
      </c>
      <c r="X32" s="68">
        <f>I42-J42</f>
        <v>10.019642103085062</v>
      </c>
    </row>
    <row r="33" spans="8:24" ht="15.75">
      <c r="H33" s="36" t="s">
        <v>16</v>
      </c>
      <c r="I33" s="60">
        <f>ONSV_AUX_2017!F31</f>
        <v>49827</v>
      </c>
      <c r="J33" s="9"/>
      <c r="K33" s="2" t="s">
        <v>132</v>
      </c>
      <c r="L33" s="63">
        <f>I38/L31</f>
        <v>0.78783716569678242</v>
      </c>
      <c r="M33" s="20"/>
      <c r="N33" s="28" t="s">
        <v>133</v>
      </c>
      <c r="O33" s="69">
        <f>J47/O31</f>
        <v>1.49765079437794E-2</v>
      </c>
      <c r="P33" s="64"/>
      <c r="Q33" s="70" t="s">
        <v>134</v>
      </c>
      <c r="R33" s="63">
        <f>J42/R31</f>
        <v>0.24656189728818292</v>
      </c>
      <c r="S33" s="71"/>
      <c r="T33" s="65" t="s">
        <v>135</v>
      </c>
      <c r="U33" s="72">
        <f>O37</f>
        <v>3267.4642376015727</v>
      </c>
      <c r="V33" s="73"/>
      <c r="W33" s="65" t="s">
        <v>136</v>
      </c>
      <c r="X33" s="72">
        <f>R40</f>
        <v>76327.269691599358</v>
      </c>
    </row>
    <row r="34" spans="8:24" ht="15.75">
      <c r="H34" s="36" t="s">
        <v>94</v>
      </c>
      <c r="I34" s="60">
        <f>ONSV_AUX_2017!F32</f>
        <v>1789629</v>
      </c>
      <c r="J34" s="10"/>
      <c r="K34" s="2" t="s">
        <v>2</v>
      </c>
      <c r="L34" s="63">
        <f>I41/L31</f>
        <v>0.15082654658604705</v>
      </c>
      <c r="M34" s="20"/>
      <c r="N34" s="20"/>
      <c r="O34" s="74"/>
      <c r="P34" s="48"/>
      <c r="Q34" s="48"/>
      <c r="R34" s="48"/>
      <c r="S34" s="48"/>
      <c r="T34" s="48"/>
      <c r="U34" s="62"/>
      <c r="V34" s="75"/>
      <c r="W34" s="48"/>
      <c r="X34" s="62"/>
    </row>
    <row r="35" spans="8:24" ht="15.75">
      <c r="K35" s="2" t="s">
        <v>3</v>
      </c>
      <c r="L35" s="63">
        <f>I42/L31</f>
        <v>4.9357842872335259E-2</v>
      </c>
      <c r="M35" s="20"/>
      <c r="N35" s="28" t="s">
        <v>137</v>
      </c>
      <c r="O35" s="60">
        <f>IF(O33*I30&gt;J47,J47,O33*I30)</f>
        <v>22884.104138094925</v>
      </c>
      <c r="P35" s="76"/>
      <c r="Q35" s="65" t="s">
        <v>138</v>
      </c>
      <c r="R35" s="60">
        <f>I31-I39-I40-I43-I46</f>
        <v>127480</v>
      </c>
      <c r="S35" s="77"/>
      <c r="T35" s="65" t="s">
        <v>139</v>
      </c>
      <c r="U35" s="67">
        <f>O43</f>
        <v>1505115.8958619051</v>
      </c>
      <c r="V35" s="76"/>
      <c r="W35" s="65" t="s">
        <v>140</v>
      </c>
      <c r="X35" s="67">
        <f>I39</f>
        <v>116036</v>
      </c>
    </row>
    <row r="36" spans="8:24" ht="15.75">
      <c r="H36" s="24" t="s">
        <v>141</v>
      </c>
      <c r="K36" s="2" t="s">
        <v>0</v>
      </c>
      <c r="L36" s="63">
        <f>I47/L31</f>
        <v>1.1978444844835309E-2</v>
      </c>
      <c r="O36" s="48"/>
      <c r="P36" s="76"/>
      <c r="Q36" s="65" t="s">
        <v>142</v>
      </c>
      <c r="R36" s="60">
        <f>R32*R35</f>
        <v>96048.289333702443</v>
      </c>
      <c r="S36" s="48"/>
      <c r="T36" s="65" t="s">
        <v>143</v>
      </c>
      <c r="U36" s="67">
        <f>O41</f>
        <v>98878</v>
      </c>
      <c r="V36" s="66"/>
      <c r="W36" s="65" t="s">
        <v>144</v>
      </c>
      <c r="X36" s="67">
        <f>I40</f>
        <v>20061</v>
      </c>
    </row>
    <row r="37" spans="8:24" ht="15.75">
      <c r="K37" s="11"/>
      <c r="L37" s="11"/>
      <c r="M37" s="11"/>
      <c r="N37" s="28" t="s">
        <v>145</v>
      </c>
      <c r="O37" s="60">
        <f>J47-O35</f>
        <v>3267.4642376015727</v>
      </c>
      <c r="P37" s="76"/>
      <c r="Q37" s="65" t="s">
        <v>127</v>
      </c>
      <c r="R37" s="60">
        <f>R33*R35</f>
        <v>31431.71066629756</v>
      </c>
      <c r="S37" s="48"/>
      <c r="T37" s="65" t="s">
        <v>146</v>
      </c>
      <c r="U37" s="67">
        <f>O42</f>
        <v>49827</v>
      </c>
      <c r="V37" s="71"/>
      <c r="W37" s="48"/>
      <c r="X37" s="62"/>
    </row>
    <row r="38" spans="8:24" ht="15.75">
      <c r="H38" s="37" t="s">
        <v>103</v>
      </c>
      <c r="I38" s="60">
        <f>ONSV_AUX_2017!F56</f>
        <v>1720181</v>
      </c>
      <c r="J38" s="61">
        <f>I38-(L33*I32)</f>
        <v>1720021.0690553635</v>
      </c>
      <c r="K38" s="11"/>
      <c r="L38" s="11"/>
      <c r="M38" s="11"/>
      <c r="O38" s="76"/>
      <c r="P38" s="76"/>
      <c r="Q38" s="48"/>
      <c r="R38" s="78"/>
      <c r="S38" s="48"/>
      <c r="T38" s="65" t="s">
        <v>147</v>
      </c>
      <c r="U38" s="68">
        <f>I38-J38</f>
        <v>159.93094463646412</v>
      </c>
      <c r="V38" s="71"/>
      <c r="W38" s="65" t="s">
        <v>148</v>
      </c>
      <c r="X38" s="67">
        <f>I46</f>
        <v>38777</v>
      </c>
    </row>
    <row r="39" spans="8:24" ht="15.75">
      <c r="H39" s="37" t="s">
        <v>104</v>
      </c>
      <c r="I39" s="60">
        <f>ONSV_AUX_2017!F57</f>
        <v>116036</v>
      </c>
      <c r="J39" s="10">
        <f>I39</f>
        <v>116036</v>
      </c>
      <c r="K39" s="11"/>
      <c r="L39" s="11"/>
      <c r="M39" s="11"/>
      <c r="N39" s="26" t="s">
        <v>149</v>
      </c>
      <c r="O39" s="76"/>
      <c r="P39" s="76"/>
      <c r="Q39" s="65" t="s">
        <v>150</v>
      </c>
      <c r="R39" s="60">
        <f>J41-R36</f>
        <v>233239.09287734059</v>
      </c>
      <c r="S39" s="48"/>
      <c r="T39" s="65" t="s">
        <v>151</v>
      </c>
      <c r="U39" s="72">
        <f>O44</f>
        <v>66200.173193458468</v>
      </c>
      <c r="V39" s="48"/>
      <c r="W39" s="65" t="s">
        <v>152</v>
      </c>
      <c r="X39" s="67">
        <f>I43</f>
        <v>28082</v>
      </c>
    </row>
    <row r="40" spans="8:24" ht="15.75">
      <c r="H40" s="37" t="s">
        <v>105</v>
      </c>
      <c r="I40" s="60">
        <f>ONSV_AUX_2017!F58</f>
        <v>20061</v>
      </c>
      <c r="J40" s="10">
        <f>I40</f>
        <v>20061</v>
      </c>
      <c r="K40" s="11"/>
      <c r="L40" s="11"/>
      <c r="M40" s="11"/>
      <c r="O40" s="73"/>
      <c r="P40" s="76"/>
      <c r="Q40" s="65" t="s">
        <v>136</v>
      </c>
      <c r="R40" s="60">
        <f>J42-R37</f>
        <v>76327.269691599358</v>
      </c>
      <c r="S40" s="48"/>
      <c r="T40" s="48"/>
      <c r="U40" s="62"/>
      <c r="V40" s="77"/>
      <c r="W40" s="48"/>
      <c r="X40" s="62"/>
    </row>
    <row r="41" spans="8:24" ht="15.75">
      <c r="H41" s="37" t="s">
        <v>106</v>
      </c>
      <c r="I41" s="60">
        <f>ONSV_AUX_2017!F59</f>
        <v>329318</v>
      </c>
      <c r="J41" s="61">
        <f>I41-(L34*I32)</f>
        <v>329287.38221104303</v>
      </c>
      <c r="K41" s="11"/>
      <c r="L41" s="11"/>
      <c r="M41" s="11"/>
      <c r="N41" s="28" t="s">
        <v>143</v>
      </c>
      <c r="O41" s="60">
        <f>I29</f>
        <v>98878</v>
      </c>
      <c r="P41" s="76"/>
      <c r="Q41" s="48"/>
      <c r="R41" s="48"/>
      <c r="S41" s="77"/>
      <c r="T41" s="65" t="s">
        <v>142</v>
      </c>
      <c r="U41" s="68">
        <f>R36</f>
        <v>96048.289333702443</v>
      </c>
      <c r="V41" s="48"/>
      <c r="W41" s="65" t="s">
        <v>153</v>
      </c>
      <c r="X41" s="67">
        <f>I44</f>
        <v>1230033</v>
      </c>
    </row>
    <row r="42" spans="8:24" ht="15.75">
      <c r="H42" s="37" t="s">
        <v>107</v>
      </c>
      <c r="I42" s="60">
        <f>ONSV_AUX_2017!F60</f>
        <v>107769</v>
      </c>
      <c r="J42" s="61">
        <f>I42-(L35*I32)</f>
        <v>107758.98035789691</v>
      </c>
      <c r="K42" s="11"/>
      <c r="L42" s="11"/>
      <c r="M42" s="11"/>
      <c r="N42" s="28" t="s">
        <v>146</v>
      </c>
      <c r="O42" s="60">
        <f>I33</f>
        <v>49827</v>
      </c>
      <c r="P42" s="76"/>
      <c r="Q42" s="48"/>
      <c r="R42" s="48"/>
      <c r="S42" s="48"/>
      <c r="T42" s="65" t="s">
        <v>154</v>
      </c>
      <c r="U42" s="68">
        <f>I41-J41</f>
        <v>30.617788956966251</v>
      </c>
      <c r="V42" s="48"/>
      <c r="W42" s="65" t="s">
        <v>155</v>
      </c>
      <c r="X42" s="67">
        <f>I45</f>
        <v>178830</v>
      </c>
    </row>
    <row r="43" spans="8:24" ht="15.75">
      <c r="H43" s="37" t="s">
        <v>108</v>
      </c>
      <c r="I43" s="60">
        <f>ONSV_AUX_2017!F61</f>
        <v>28082</v>
      </c>
      <c r="J43" s="10">
        <f>I43</f>
        <v>28082</v>
      </c>
      <c r="K43" s="11"/>
      <c r="L43" s="11"/>
      <c r="M43" s="11"/>
      <c r="N43" s="28" t="s">
        <v>139</v>
      </c>
      <c r="O43" s="60">
        <f>IF(OR((O32*I30&gt;J38),((O41+O42+(O32*I30))&gt;J38)),(J38-O41-O42),(O32*I30))</f>
        <v>1505115.8958619051</v>
      </c>
      <c r="P43" s="76"/>
      <c r="Q43" s="48"/>
      <c r="R43" s="78"/>
      <c r="S43" s="48"/>
      <c r="T43" s="65" t="s">
        <v>150</v>
      </c>
      <c r="U43" s="72">
        <f>R39</f>
        <v>233239.09287734059</v>
      </c>
      <c r="V43" s="48"/>
      <c r="W43" s="48"/>
      <c r="X43" s="48"/>
    </row>
    <row r="44" spans="8:24" ht="15.75">
      <c r="H44" s="37" t="s">
        <v>109</v>
      </c>
      <c r="I44" s="60">
        <f>ONSV_AUX_2017!F62</f>
        <v>1230033</v>
      </c>
      <c r="J44" s="10">
        <f>I44</f>
        <v>1230033</v>
      </c>
      <c r="K44" s="11"/>
      <c r="L44" s="11"/>
      <c r="M44" s="11"/>
      <c r="N44" s="28" t="s">
        <v>151</v>
      </c>
      <c r="O44" s="60">
        <f>IF((J38-O41-O43-O42)&lt;0,0,(J38-O41-O43-O42))</f>
        <v>66200.173193458468</v>
      </c>
      <c r="P44" s="48"/>
      <c r="Q44" s="48"/>
      <c r="R44" s="48"/>
      <c r="S44" s="48"/>
      <c r="T44" s="48"/>
      <c r="U44" s="62"/>
      <c r="V44" s="48"/>
      <c r="W44" s="48"/>
      <c r="X44" s="48"/>
    </row>
    <row r="45" spans="8:24" ht="15.75">
      <c r="H45" s="37" t="s">
        <v>110</v>
      </c>
      <c r="I45" s="60">
        <f>ONSV_AUX_2017!F63</f>
        <v>178830</v>
      </c>
      <c r="J45" s="10">
        <f>I45</f>
        <v>178830</v>
      </c>
      <c r="K45" s="11"/>
      <c r="L45" s="11"/>
      <c r="M45" s="11"/>
      <c r="O45" s="48"/>
      <c r="P45" s="76"/>
      <c r="Q45" s="48"/>
      <c r="R45" s="48"/>
      <c r="S45" s="48"/>
      <c r="T45" s="79" t="s">
        <v>156</v>
      </c>
      <c r="U45" s="80">
        <f>(SUM(U31:U43,X31:X42)/SUM(I38:I47))-1</f>
        <v>0</v>
      </c>
      <c r="V45" s="48"/>
      <c r="W45" s="79" t="s">
        <v>10</v>
      </c>
      <c r="X45" s="67">
        <f>SUM(U31:U43,X31:X42)</f>
        <v>3795241</v>
      </c>
    </row>
    <row r="46" spans="8:24" ht="15.75">
      <c r="H46" s="37" t="s">
        <v>111</v>
      </c>
      <c r="I46" s="60">
        <f>ONSV_AUX_2017!F64</f>
        <v>38777</v>
      </c>
      <c r="J46" s="10">
        <f>I46</f>
        <v>38777</v>
      </c>
      <c r="K46" s="11"/>
      <c r="L46" s="11"/>
      <c r="M46" s="11"/>
      <c r="O46" s="48"/>
      <c r="P46" s="76"/>
      <c r="Q46" s="48"/>
      <c r="R46" s="48"/>
      <c r="S46" s="48"/>
      <c r="T46" s="48"/>
      <c r="U46" s="48"/>
      <c r="V46" s="48"/>
      <c r="W46" s="48"/>
      <c r="X46" s="48"/>
    </row>
    <row r="47" spans="8:24" ht="15.75">
      <c r="H47" s="37" t="s">
        <v>112</v>
      </c>
      <c r="I47" s="60">
        <f>ONSV_AUX_2017!F65</f>
        <v>26154</v>
      </c>
      <c r="J47" s="61">
        <f>I47-(L36*I32)</f>
        <v>26151.568375696497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39"/>
      <c r="I48" s="40"/>
      <c r="J48" s="40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1" customFormat="1" ht="15.75">
      <c r="A50" s="101" t="str">
        <f>"BAHIA/"&amp;ONSV_AUX_2016!$A$1&amp;""</f>
        <v>BAHIA/2016</v>
      </c>
      <c r="B50" s="102"/>
      <c r="C50" s="102"/>
      <c r="D50" s="102"/>
      <c r="E50" s="102"/>
      <c r="F50" s="102"/>
    </row>
    <row r="52" spans="1:24" ht="15.75">
      <c r="H52" s="23" t="s">
        <v>118</v>
      </c>
      <c r="N52" s="26"/>
      <c r="O52" s="26"/>
      <c r="P52" s="9"/>
      <c r="Q52" s="26"/>
      <c r="R52" s="26"/>
      <c r="S52" s="26"/>
      <c r="T52" s="104"/>
      <c r="U52" s="104"/>
      <c r="V52" s="104"/>
      <c r="W52" s="104"/>
      <c r="X52" s="104"/>
    </row>
    <row r="53" spans="1:24" ht="15.75">
      <c r="J53" s="9"/>
      <c r="M53" s="25"/>
      <c r="N53" s="9"/>
      <c r="O53" s="9"/>
      <c r="P53" s="9"/>
      <c r="Q53" s="11"/>
      <c r="R53" s="11"/>
      <c r="S53" s="11"/>
    </row>
    <row r="54" spans="1:24" ht="15.75">
      <c r="H54" s="36" t="s">
        <v>81</v>
      </c>
      <c r="I54" s="60">
        <f>ONSV_AUX_2016!F27</f>
        <v>98291</v>
      </c>
      <c r="J54" s="9"/>
      <c r="K54" s="104" t="s">
        <v>119</v>
      </c>
      <c r="L54" s="104"/>
      <c r="M54" s="9"/>
      <c r="N54" s="26" t="s">
        <v>120</v>
      </c>
      <c r="O54" s="26"/>
      <c r="Q54" s="26" t="s">
        <v>121</v>
      </c>
      <c r="R54" s="26"/>
      <c r="S54" s="26"/>
      <c r="T54" s="25" t="s">
        <v>122</v>
      </c>
      <c r="U54" s="25"/>
      <c r="V54" s="25"/>
      <c r="W54" s="25"/>
      <c r="X54" s="25"/>
    </row>
    <row r="55" spans="1:24" ht="15.75">
      <c r="H55" s="36" t="s">
        <v>84</v>
      </c>
      <c r="I55" s="60">
        <f>ONSV_AUX_2016!F28</f>
        <v>1427554</v>
      </c>
      <c r="J55" s="9"/>
      <c r="K55" s="9"/>
      <c r="L55" s="9"/>
      <c r="M55" s="9"/>
      <c r="N55" s="9"/>
      <c r="O55" s="9"/>
      <c r="P55" s="20"/>
      <c r="Q55" s="11"/>
      <c r="R55" s="11"/>
      <c r="S55" s="11"/>
    </row>
    <row r="56" spans="1:24" ht="15.75">
      <c r="H56" s="36" t="s">
        <v>85</v>
      </c>
      <c r="I56" s="60">
        <f>ONSV_AUX_2016!F29</f>
        <v>319793</v>
      </c>
      <c r="J56" s="9"/>
      <c r="K56" s="2" t="s">
        <v>123</v>
      </c>
      <c r="L56" s="60">
        <f>I63+I66+I67+I72</f>
        <v>2088823</v>
      </c>
      <c r="N56" s="28" t="s">
        <v>124</v>
      </c>
      <c r="O56" s="60">
        <f>J63+J72</f>
        <v>1675104.6595968159</v>
      </c>
      <c r="P56" s="64"/>
      <c r="Q56" s="65" t="s">
        <v>125</v>
      </c>
      <c r="R56" s="60">
        <f>J66+J67</f>
        <v>413548.34040318395</v>
      </c>
      <c r="S56" s="66"/>
      <c r="T56" s="65" t="s">
        <v>126</v>
      </c>
      <c r="U56" s="67">
        <f>O60</f>
        <v>20347.600382273358</v>
      </c>
      <c r="V56" s="48"/>
      <c r="W56" s="65" t="s">
        <v>127</v>
      </c>
      <c r="X56" s="68">
        <f>R62</f>
        <v>29564.910073455812</v>
      </c>
    </row>
    <row r="57" spans="1:24" ht="15.75">
      <c r="H57" s="36" t="s">
        <v>101</v>
      </c>
      <c r="I57" s="60">
        <f>ONSV_AUX_2016!F30</f>
        <v>170</v>
      </c>
      <c r="J57" s="9"/>
      <c r="K57" s="27"/>
      <c r="L57" s="62"/>
      <c r="M57" s="20"/>
      <c r="N57" s="28" t="s">
        <v>128</v>
      </c>
      <c r="O57" s="69">
        <f>J63/O56</f>
        <v>0.98574652840994226</v>
      </c>
      <c r="P57" s="64"/>
      <c r="Q57" s="70" t="s">
        <v>129</v>
      </c>
      <c r="R57" s="63">
        <f>J66/R56</f>
        <v>0.75433408610626196</v>
      </c>
      <c r="S57" s="71"/>
      <c r="T57" s="65" t="s">
        <v>130</v>
      </c>
      <c r="U57" s="67">
        <f>I72-J72</f>
        <v>1.9433240633588866</v>
      </c>
      <c r="V57" s="48"/>
      <c r="W57" s="65" t="s">
        <v>131</v>
      </c>
      <c r="X57" s="68">
        <f>I67-J67</f>
        <v>8.2690156130993273</v>
      </c>
    </row>
    <row r="58" spans="1:24" ht="15.75">
      <c r="H58" s="36" t="s">
        <v>16</v>
      </c>
      <c r="I58" s="60">
        <f>ONSV_AUX_2016!F31</f>
        <v>48735</v>
      </c>
      <c r="J58" s="9"/>
      <c r="K58" s="2" t="s">
        <v>132</v>
      </c>
      <c r="L58" s="63">
        <f>I63/L56</f>
        <v>0.79057105365078806</v>
      </c>
      <c r="M58" s="20"/>
      <c r="N58" s="28" t="s">
        <v>133</v>
      </c>
      <c r="O58" s="69">
        <f>J72/O56</f>
        <v>1.4253471590057789E-2</v>
      </c>
      <c r="P58" s="64"/>
      <c r="Q58" s="70" t="s">
        <v>134</v>
      </c>
      <c r="R58" s="63">
        <f>J67/R56</f>
        <v>0.24566591389373815</v>
      </c>
      <c r="S58" s="71"/>
      <c r="T58" s="65" t="s">
        <v>135</v>
      </c>
      <c r="U58" s="72">
        <f>O62</f>
        <v>3528.4562936632828</v>
      </c>
      <c r="V58" s="73"/>
      <c r="W58" s="65" t="s">
        <v>136</v>
      </c>
      <c r="X58" s="72">
        <f>R65</f>
        <v>72029.820910931085</v>
      </c>
    </row>
    <row r="59" spans="1:24" ht="15.75">
      <c r="H59" s="36" t="s">
        <v>94</v>
      </c>
      <c r="I59" s="60">
        <f>ONSV_AUX_2016!F32</f>
        <v>1748542</v>
      </c>
      <c r="J59" s="10"/>
      <c r="K59" s="2" t="s">
        <v>2</v>
      </c>
      <c r="L59" s="63">
        <f>I66/L56</f>
        <v>0.14935636001710054</v>
      </c>
      <c r="M59" s="20"/>
      <c r="N59" s="20"/>
      <c r="O59" s="74"/>
      <c r="P59" s="48"/>
      <c r="Q59" s="48"/>
      <c r="R59" s="48"/>
      <c r="S59" s="48"/>
      <c r="T59" s="48"/>
      <c r="U59" s="62"/>
      <c r="V59" s="75"/>
      <c r="W59" s="48"/>
      <c r="X59" s="62"/>
    </row>
    <row r="60" spans="1:24" ht="15.75">
      <c r="K60" s="2" t="s">
        <v>3</v>
      </c>
      <c r="L60" s="63">
        <f>I67/L56</f>
        <v>4.8641268312346234E-2</v>
      </c>
      <c r="M60" s="20"/>
      <c r="N60" s="28" t="s">
        <v>137</v>
      </c>
      <c r="O60" s="60">
        <f>IF(O58*I55&gt;J72,J72,O58*I55)</f>
        <v>20347.600382273358</v>
      </c>
      <c r="P60" s="76"/>
      <c r="Q60" s="65" t="s">
        <v>138</v>
      </c>
      <c r="R60" s="60">
        <f>I56-I64-I65-I68-I71</f>
        <v>120346</v>
      </c>
      <c r="S60" s="77"/>
      <c r="T60" s="65" t="s">
        <v>139</v>
      </c>
      <c r="U60" s="67">
        <f>O68</f>
        <v>1407206.3996177267</v>
      </c>
      <c r="V60" s="76"/>
      <c r="W60" s="65" t="s">
        <v>140</v>
      </c>
      <c r="X60" s="67">
        <f>I64</f>
        <v>114451</v>
      </c>
    </row>
    <row r="61" spans="1:24" ht="15.75">
      <c r="H61" s="24" t="s">
        <v>141</v>
      </c>
      <c r="K61" s="2" t="s">
        <v>0</v>
      </c>
      <c r="L61" s="63">
        <f>I72/L56</f>
        <v>1.1431318019765197E-2</v>
      </c>
      <c r="O61" s="48"/>
      <c r="P61" s="76"/>
      <c r="Q61" s="65" t="s">
        <v>142</v>
      </c>
      <c r="R61" s="60">
        <f>R57*R60</f>
        <v>90781.089926544199</v>
      </c>
      <c r="S61" s="48"/>
      <c r="T61" s="65" t="s">
        <v>143</v>
      </c>
      <c r="U61" s="67">
        <f>O66</f>
        <v>98291</v>
      </c>
      <c r="V61" s="66"/>
      <c r="W61" s="65" t="s">
        <v>144</v>
      </c>
      <c r="X61" s="67">
        <f>I65</f>
        <v>19958</v>
      </c>
    </row>
    <row r="62" spans="1:24" ht="15.75">
      <c r="K62" s="11"/>
      <c r="L62" s="11"/>
      <c r="M62" s="11"/>
      <c r="N62" s="28" t="s">
        <v>145</v>
      </c>
      <c r="O62" s="60">
        <f>J72-O60</f>
        <v>3528.4562936632828</v>
      </c>
      <c r="P62" s="76"/>
      <c r="Q62" s="65" t="s">
        <v>127</v>
      </c>
      <c r="R62" s="60">
        <f>R58*R60</f>
        <v>29564.910073455812</v>
      </c>
      <c r="S62" s="48"/>
      <c r="T62" s="65" t="s">
        <v>146</v>
      </c>
      <c r="U62" s="67">
        <f>O67</f>
        <v>48735</v>
      </c>
      <c r="V62" s="71"/>
      <c r="W62" s="48"/>
      <c r="X62" s="62"/>
    </row>
    <row r="63" spans="1:24" ht="15.75">
      <c r="H63" s="37" t="s">
        <v>103</v>
      </c>
      <c r="I63" s="60">
        <f>ONSV_AUX_2016!F56</f>
        <v>1651363</v>
      </c>
      <c r="J63" s="61">
        <f>I63-(L58*I57)</f>
        <v>1651228.6029208794</v>
      </c>
      <c r="K63" s="11"/>
      <c r="L63" s="11"/>
      <c r="M63" s="11"/>
      <c r="O63" s="76"/>
      <c r="P63" s="76"/>
      <c r="Q63" s="48"/>
      <c r="R63" s="78"/>
      <c r="S63" s="48"/>
      <c r="T63" s="65" t="s">
        <v>147</v>
      </c>
      <c r="U63" s="68">
        <f>I63-J63</f>
        <v>134.39707912062295</v>
      </c>
      <c r="V63" s="71"/>
      <c r="W63" s="65" t="s">
        <v>148</v>
      </c>
      <c r="X63" s="67">
        <f>I71</f>
        <v>38101</v>
      </c>
    </row>
    <row r="64" spans="1:24" ht="15.75">
      <c r="H64" s="37" t="s">
        <v>104</v>
      </c>
      <c r="I64" s="60">
        <f>ONSV_AUX_2016!F57</f>
        <v>114451</v>
      </c>
      <c r="J64" s="10">
        <f>I64</f>
        <v>114451</v>
      </c>
      <c r="K64" s="11"/>
      <c r="L64" s="11"/>
      <c r="M64" s="11"/>
      <c r="N64" s="26" t="s">
        <v>149</v>
      </c>
      <c r="O64" s="76"/>
      <c r="P64" s="76"/>
      <c r="Q64" s="65" t="s">
        <v>150</v>
      </c>
      <c r="R64" s="60">
        <f>J66-R61</f>
        <v>221172.51949225288</v>
      </c>
      <c r="S64" s="48"/>
      <c r="T64" s="65" t="s">
        <v>151</v>
      </c>
      <c r="U64" s="72">
        <f>O69</f>
        <v>96996.203303152695</v>
      </c>
      <c r="V64" s="48"/>
      <c r="W64" s="65" t="s">
        <v>152</v>
      </c>
      <c r="X64" s="67">
        <f>I68</f>
        <v>26937</v>
      </c>
    </row>
    <row r="65" spans="1:24" ht="15.75">
      <c r="H65" s="37" t="s">
        <v>105</v>
      </c>
      <c r="I65" s="60">
        <f>ONSV_AUX_2016!F58</f>
        <v>19958</v>
      </c>
      <c r="J65" s="10">
        <f>I65</f>
        <v>19958</v>
      </c>
      <c r="K65" s="11"/>
      <c r="L65" s="11"/>
      <c r="M65" s="11"/>
      <c r="O65" s="73"/>
      <c r="P65" s="76"/>
      <c r="Q65" s="65" t="s">
        <v>136</v>
      </c>
      <c r="R65" s="60">
        <f>J67-R62</f>
        <v>72029.820910931085</v>
      </c>
      <c r="S65" s="48"/>
      <c r="T65" s="48"/>
      <c r="U65" s="62"/>
      <c r="V65" s="77"/>
      <c r="W65" s="48"/>
      <c r="X65" s="62"/>
    </row>
    <row r="66" spans="1:24" ht="15.75">
      <c r="H66" s="37" t="s">
        <v>106</v>
      </c>
      <c r="I66" s="60">
        <f>ONSV_AUX_2016!F59</f>
        <v>311979</v>
      </c>
      <c r="J66" s="61">
        <f>I66-(L59*I57)</f>
        <v>311953.60941879707</v>
      </c>
      <c r="K66" s="11"/>
      <c r="L66" s="11"/>
      <c r="M66" s="11"/>
      <c r="N66" s="28" t="s">
        <v>143</v>
      </c>
      <c r="O66" s="60">
        <f>I54</f>
        <v>98291</v>
      </c>
      <c r="P66" s="76"/>
      <c r="Q66" s="48"/>
      <c r="R66" s="48"/>
      <c r="S66" s="77"/>
      <c r="T66" s="65" t="s">
        <v>142</v>
      </c>
      <c r="U66" s="68">
        <f>R61</f>
        <v>90781.089926544199</v>
      </c>
      <c r="V66" s="48"/>
      <c r="W66" s="65" t="s">
        <v>153</v>
      </c>
      <c r="X66" s="67">
        <f>I69</f>
        <v>1185541</v>
      </c>
    </row>
    <row r="67" spans="1:24" ht="15.75">
      <c r="H67" s="37" t="s">
        <v>107</v>
      </c>
      <c r="I67" s="60">
        <f>ONSV_AUX_2016!F60</f>
        <v>101603</v>
      </c>
      <c r="J67" s="61">
        <f>I67-(L60*I57)</f>
        <v>101594.7309843869</v>
      </c>
      <c r="K67" s="11"/>
      <c r="L67" s="11"/>
      <c r="M67" s="11"/>
      <c r="N67" s="28" t="s">
        <v>146</v>
      </c>
      <c r="O67" s="60">
        <f>I58</f>
        <v>48735</v>
      </c>
      <c r="P67" s="76"/>
      <c r="Q67" s="48"/>
      <c r="R67" s="48"/>
      <c r="S67" s="48"/>
      <c r="T67" s="65" t="s">
        <v>154</v>
      </c>
      <c r="U67" s="68">
        <f>I66-J66</f>
        <v>25.390581202926114</v>
      </c>
      <c r="V67" s="48"/>
      <c r="W67" s="65" t="s">
        <v>155</v>
      </c>
      <c r="X67" s="67">
        <f>I70</f>
        <v>171298</v>
      </c>
    </row>
    <row r="68" spans="1:24" ht="15.75">
      <c r="H68" s="37" t="s">
        <v>108</v>
      </c>
      <c r="I68" s="60">
        <f>ONSV_AUX_2016!F61</f>
        <v>26937</v>
      </c>
      <c r="J68" s="10">
        <f>I68</f>
        <v>26937</v>
      </c>
      <c r="K68" s="11"/>
      <c r="L68" s="11"/>
      <c r="M68" s="11"/>
      <c r="N68" s="28" t="s">
        <v>139</v>
      </c>
      <c r="O68" s="60">
        <f>IF(OR((O57*I55&gt;J63),((O66+O67+(O57*I55))&gt;J63)),(J63-O66-O67),(O57*I55))</f>
        <v>1407206.3996177267</v>
      </c>
      <c r="P68" s="76"/>
      <c r="Q68" s="48"/>
      <c r="R68" s="78"/>
      <c r="S68" s="48"/>
      <c r="T68" s="65" t="s">
        <v>150</v>
      </c>
      <c r="U68" s="72">
        <f>R64</f>
        <v>221172.51949225288</v>
      </c>
      <c r="V68" s="48"/>
      <c r="W68" s="48"/>
      <c r="X68" s="48"/>
    </row>
    <row r="69" spans="1:24" ht="15.75">
      <c r="H69" s="37" t="s">
        <v>109</v>
      </c>
      <c r="I69" s="60">
        <f>ONSV_AUX_2016!F62</f>
        <v>1185541</v>
      </c>
      <c r="J69" s="10">
        <f>I69</f>
        <v>1185541</v>
      </c>
      <c r="K69" s="11"/>
      <c r="L69" s="11"/>
      <c r="M69" s="11"/>
      <c r="N69" s="28" t="s">
        <v>151</v>
      </c>
      <c r="O69" s="60">
        <f>IF((J63-O66-O68-O67)&lt;0,0,(J63-O66-O68-O67))</f>
        <v>96996.203303152695</v>
      </c>
      <c r="P69" s="48"/>
      <c r="Q69" s="48"/>
      <c r="R69" s="48"/>
      <c r="S69" s="48"/>
      <c r="T69" s="48"/>
      <c r="U69" s="62"/>
      <c r="V69" s="48"/>
      <c r="W69" s="48"/>
      <c r="X69" s="48"/>
    </row>
    <row r="70" spans="1:24" ht="15.75">
      <c r="H70" s="37" t="s">
        <v>110</v>
      </c>
      <c r="I70" s="60">
        <f>ONSV_AUX_2016!F63</f>
        <v>171298</v>
      </c>
      <c r="J70" s="10">
        <f>I70</f>
        <v>171298</v>
      </c>
      <c r="K70" s="11"/>
      <c r="L70" s="11"/>
      <c r="M70" s="11"/>
      <c r="O70" s="48"/>
      <c r="P70" s="76"/>
      <c r="Q70" s="48"/>
      <c r="R70" s="48"/>
      <c r="S70" s="48"/>
      <c r="T70" s="79" t="s">
        <v>156</v>
      </c>
      <c r="U70" s="80">
        <f>(SUM(U56:U68,X56:X67)/SUM(I63:I72))-1</f>
        <v>0</v>
      </c>
      <c r="V70" s="48"/>
      <c r="W70" s="79" t="s">
        <v>10</v>
      </c>
      <c r="X70" s="67">
        <f>SUM(U56:U68,X56:X67)</f>
        <v>3645109</v>
      </c>
    </row>
    <row r="71" spans="1:24" ht="15.75">
      <c r="H71" s="37" t="s">
        <v>111</v>
      </c>
      <c r="I71" s="60">
        <f>ONSV_AUX_2016!F64</f>
        <v>38101</v>
      </c>
      <c r="J71" s="10">
        <f>I71</f>
        <v>38101</v>
      </c>
      <c r="K71" s="11"/>
      <c r="L71" s="11"/>
      <c r="M71" s="11"/>
      <c r="O71" s="48"/>
      <c r="P71" s="76"/>
      <c r="Q71" s="48"/>
      <c r="R71" s="48"/>
      <c r="S71" s="48"/>
      <c r="T71" s="48"/>
      <c r="U71" s="48"/>
      <c r="V71" s="48"/>
      <c r="W71" s="48"/>
      <c r="X71" s="48"/>
    </row>
    <row r="72" spans="1:24" ht="15.75">
      <c r="H72" s="37" t="s">
        <v>112</v>
      </c>
      <c r="I72" s="60">
        <f>ONSV_AUX_2016!F65</f>
        <v>23878</v>
      </c>
      <c r="J72" s="61">
        <f>I72-(L61*I57)</f>
        <v>23876.056675936641</v>
      </c>
      <c r="K72" s="12"/>
      <c r="L72" s="12"/>
      <c r="M72" s="12"/>
      <c r="N72" s="12"/>
      <c r="O72" s="12"/>
      <c r="P72" s="12"/>
      <c r="Q72" s="4"/>
      <c r="R72" s="4"/>
    </row>
    <row r="75" spans="1:24" s="31" customFormat="1" ht="15.75">
      <c r="A75" s="101" t="str">
        <f>"BAHIA/"&amp;ONSV_AUX_2015!$A$1&amp;""</f>
        <v>BAHIA/2015</v>
      </c>
      <c r="B75" s="102"/>
      <c r="C75" s="102"/>
      <c r="D75" s="102"/>
      <c r="E75" s="102"/>
      <c r="F75" s="102"/>
    </row>
    <row r="76" spans="1:24"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6.5">
      <c r="B77" s="38"/>
      <c r="H77" s="23" t="s">
        <v>118</v>
      </c>
      <c r="P77" s="9"/>
    </row>
    <row r="78" spans="1:24" ht="15.75">
      <c r="J78" s="9"/>
      <c r="M78" s="25"/>
      <c r="P78" s="9"/>
    </row>
    <row r="79" spans="1:24" ht="15.75">
      <c r="H79" s="36" t="s">
        <v>81</v>
      </c>
      <c r="I79" s="60">
        <f>ONSV_AUX_2015!F27</f>
        <v>97542</v>
      </c>
      <c r="J79" s="9"/>
      <c r="K79" s="104" t="s">
        <v>119</v>
      </c>
      <c r="L79" s="104"/>
      <c r="M79" s="9"/>
      <c r="N79" s="26" t="s">
        <v>120</v>
      </c>
      <c r="O79" s="26"/>
      <c r="Q79" s="26" t="s">
        <v>121</v>
      </c>
      <c r="R79" s="26"/>
      <c r="S79" s="26"/>
      <c r="T79" s="25" t="s">
        <v>122</v>
      </c>
      <c r="U79" s="25"/>
      <c r="V79" s="25"/>
      <c r="W79" s="25"/>
      <c r="X79" s="25"/>
    </row>
    <row r="80" spans="1:24" ht="15.75">
      <c r="H80" s="36" t="s">
        <v>84</v>
      </c>
      <c r="I80" s="60">
        <f>ONSV_AUX_2015!F28</f>
        <v>1300018</v>
      </c>
      <c r="J80" s="9"/>
      <c r="K80" s="9"/>
      <c r="L80" s="9"/>
      <c r="M80" s="9"/>
      <c r="N80" s="9"/>
      <c r="O80" s="9"/>
      <c r="P80" s="20"/>
      <c r="Q80" s="11"/>
      <c r="R80" s="11"/>
      <c r="S80" s="11"/>
    </row>
    <row r="81" spans="8:24" ht="15.75">
      <c r="H81" s="36" t="s">
        <v>85</v>
      </c>
      <c r="I81" s="60">
        <f>ONSV_AUX_2015!F29</f>
        <v>308090</v>
      </c>
      <c r="J81" s="9"/>
      <c r="K81" s="2" t="s">
        <v>123</v>
      </c>
      <c r="L81" s="60">
        <f>I88+I91+I92+I97</f>
        <v>1981862</v>
      </c>
      <c r="N81" s="28" t="s">
        <v>124</v>
      </c>
      <c r="O81" s="60">
        <f>J88+J97</f>
        <v>1593755.5179851069</v>
      </c>
      <c r="P81" s="64"/>
      <c r="Q81" s="65" t="s">
        <v>125</v>
      </c>
      <c r="R81" s="60">
        <f>J91+J92</f>
        <v>387945.48201489309</v>
      </c>
      <c r="S81" s="66"/>
      <c r="T81" s="65" t="s">
        <v>126</v>
      </c>
      <c r="U81" s="67">
        <f>O85</f>
        <v>17401.433622877434</v>
      </c>
      <c r="V81" s="48"/>
      <c r="W81" s="65" t="s">
        <v>127</v>
      </c>
      <c r="X81" s="68">
        <f>R87</f>
        <v>27651.65952105408</v>
      </c>
    </row>
    <row r="82" spans="8:24" ht="15.75">
      <c r="H82" s="36" t="s">
        <v>101</v>
      </c>
      <c r="I82" s="60">
        <f>ONSV_AUX_2015!F30</f>
        <v>161</v>
      </c>
      <c r="J82" s="9"/>
      <c r="K82" s="27"/>
      <c r="L82" s="62"/>
      <c r="M82" s="20"/>
      <c r="N82" s="28" t="s">
        <v>128</v>
      </c>
      <c r="O82" s="69">
        <f>J88/O81</f>
        <v>0.98661446716670265</v>
      </c>
      <c r="P82" s="64"/>
      <c r="Q82" s="70" t="s">
        <v>129</v>
      </c>
      <c r="R82" s="63">
        <f>J91/R81</f>
        <v>0.75726911646824424</v>
      </c>
      <c r="S82" s="71"/>
      <c r="T82" s="65" t="s">
        <v>130</v>
      </c>
      <c r="U82" s="67">
        <f>I97-J97</f>
        <v>1.733185761673667</v>
      </c>
      <c r="V82" s="48"/>
      <c r="W82" s="65" t="s">
        <v>131</v>
      </c>
      <c r="X82" s="68">
        <f>I92-J92</f>
        <v>7.6503883721452439</v>
      </c>
    </row>
    <row r="83" spans="8:24" ht="15.75">
      <c r="H83" s="36" t="s">
        <v>16</v>
      </c>
      <c r="I83" s="60">
        <f>ONSV_AUX_2015!F31</f>
        <v>48098</v>
      </c>
      <c r="J83" s="9"/>
      <c r="K83" s="2" t="s">
        <v>132</v>
      </c>
      <c r="L83" s="63">
        <f>I88/L81</f>
        <v>0.79347098839374286</v>
      </c>
      <c r="M83" s="20"/>
      <c r="N83" s="28" t="s">
        <v>133</v>
      </c>
      <c r="O83" s="69">
        <f>J97/O81</f>
        <v>1.3385532833297258E-2</v>
      </c>
      <c r="P83" s="64"/>
      <c r="Q83" s="70" t="s">
        <v>134</v>
      </c>
      <c r="R83" s="63">
        <f>J92/R81</f>
        <v>0.24273088353175573</v>
      </c>
      <c r="S83" s="71"/>
      <c r="T83" s="65" t="s">
        <v>135</v>
      </c>
      <c r="U83" s="72">
        <f>O87</f>
        <v>3931.8331913608927</v>
      </c>
      <c r="V83" s="73"/>
      <c r="W83" s="65" t="s">
        <v>136</v>
      </c>
      <c r="X83" s="72">
        <f>R90</f>
        <v>66514.690090573771</v>
      </c>
    </row>
    <row r="84" spans="8:24" ht="15.75">
      <c r="H84" s="36" t="s">
        <v>94</v>
      </c>
      <c r="I84" s="60">
        <f>ONSV_AUX_2015!F32</f>
        <v>1709278</v>
      </c>
      <c r="J84" s="10"/>
      <c r="K84" s="2" t="s">
        <v>2</v>
      </c>
      <c r="L84" s="63">
        <f>I91/L81</f>
        <v>0.14824594245209807</v>
      </c>
      <c r="M84" s="20"/>
      <c r="N84" s="20"/>
      <c r="O84" s="74"/>
      <c r="P84" s="48"/>
      <c r="Q84" s="48"/>
      <c r="R84" s="48"/>
      <c r="S84" s="48"/>
      <c r="T84" s="48"/>
      <c r="U84" s="62"/>
      <c r="V84" s="75"/>
      <c r="W84" s="48"/>
      <c r="X84" s="62"/>
    </row>
    <row r="85" spans="8:24" ht="15.75">
      <c r="K85" s="2" t="s">
        <v>3</v>
      </c>
      <c r="L85" s="63">
        <f>I92/L81</f>
        <v>4.7517940199670816E-2</v>
      </c>
      <c r="M85" s="20"/>
      <c r="N85" s="28" t="s">
        <v>137</v>
      </c>
      <c r="O85" s="60">
        <f>IF(O83*I80&gt;J97,J97,O83*I80)</f>
        <v>17401.433622877434</v>
      </c>
      <c r="P85" s="76"/>
      <c r="Q85" s="65" t="s">
        <v>138</v>
      </c>
      <c r="R85" s="60">
        <f>I81-I89-I90-I93-I96</f>
        <v>113919</v>
      </c>
      <c r="S85" s="77"/>
      <c r="T85" s="65" t="s">
        <v>139</v>
      </c>
      <c r="U85" s="67">
        <f>O93</f>
        <v>1282616.5663771224</v>
      </c>
      <c r="V85" s="76"/>
      <c r="W85" s="65" t="s">
        <v>140</v>
      </c>
      <c r="X85" s="67">
        <f>I89</f>
        <v>112107</v>
      </c>
    </row>
    <row r="86" spans="8:24" ht="15.75">
      <c r="H86" s="24" t="s">
        <v>141</v>
      </c>
      <c r="K86" s="2" t="s">
        <v>0</v>
      </c>
      <c r="L86" s="63">
        <f>I97/L81</f>
        <v>1.0765128954488255E-2</v>
      </c>
      <c r="O86" s="48"/>
      <c r="P86" s="76"/>
      <c r="Q86" s="65" t="s">
        <v>142</v>
      </c>
      <c r="R86" s="60">
        <f>R82*R85</f>
        <v>86267.340478945916</v>
      </c>
      <c r="S86" s="48"/>
      <c r="T86" s="65" t="s">
        <v>143</v>
      </c>
      <c r="U86" s="67">
        <f>O91</f>
        <v>97542</v>
      </c>
      <c r="V86" s="66"/>
      <c r="W86" s="65" t="s">
        <v>144</v>
      </c>
      <c r="X86" s="67">
        <f>I90</f>
        <v>19377</v>
      </c>
    </row>
    <row r="87" spans="8:24" ht="15.75">
      <c r="K87" s="11"/>
      <c r="L87" s="11"/>
      <c r="M87" s="11"/>
      <c r="N87" s="28" t="s">
        <v>145</v>
      </c>
      <c r="O87" s="60">
        <f>J97-O85</f>
        <v>3931.8331913608927</v>
      </c>
      <c r="P87" s="76"/>
      <c r="Q87" s="65" t="s">
        <v>127</v>
      </c>
      <c r="R87" s="60">
        <f>R83*R85</f>
        <v>27651.65952105408</v>
      </c>
      <c r="S87" s="48"/>
      <c r="T87" s="65" t="s">
        <v>146</v>
      </c>
      <c r="U87" s="67">
        <f>O92</f>
        <v>48098</v>
      </c>
      <c r="V87" s="71"/>
      <c r="W87" s="48"/>
      <c r="X87" s="62"/>
    </row>
    <row r="88" spans="8:24" ht="15.75">
      <c r="H88" s="37" t="s">
        <v>103</v>
      </c>
      <c r="I88" s="60">
        <f>ONSV_AUX_2015!F56</f>
        <v>1572550</v>
      </c>
      <c r="J88" s="61">
        <f>I88-(L83*I82)</f>
        <v>1572422.2511708685</v>
      </c>
      <c r="K88" s="11"/>
      <c r="L88" s="11"/>
      <c r="M88" s="11"/>
      <c r="O88" s="76"/>
      <c r="P88" s="76"/>
      <c r="Q88" s="48"/>
      <c r="R88" s="78"/>
      <c r="S88" s="48"/>
      <c r="T88" s="65" t="s">
        <v>147</v>
      </c>
      <c r="U88" s="68">
        <f>I88-J88</f>
        <v>127.74882913148031</v>
      </c>
      <c r="V88" s="71"/>
      <c r="W88" s="65" t="s">
        <v>148</v>
      </c>
      <c r="X88" s="67">
        <f>I96</f>
        <v>36889</v>
      </c>
    </row>
    <row r="89" spans="8:24" ht="15.75">
      <c r="H89" s="37" t="s">
        <v>104</v>
      </c>
      <c r="I89" s="60">
        <f>ONSV_AUX_2015!F57</f>
        <v>112107</v>
      </c>
      <c r="J89" s="10">
        <f>I89</f>
        <v>112107</v>
      </c>
      <c r="K89" s="11"/>
      <c r="L89" s="11"/>
      <c r="M89" s="11"/>
      <c r="N89" s="26" t="s">
        <v>149</v>
      </c>
      <c r="O89" s="76"/>
      <c r="P89" s="76"/>
      <c r="Q89" s="65" t="s">
        <v>150</v>
      </c>
      <c r="R89" s="60">
        <f>J91-R86</f>
        <v>207511.79192431929</v>
      </c>
      <c r="S89" s="48"/>
      <c r="T89" s="65" t="s">
        <v>151</v>
      </c>
      <c r="U89" s="72">
        <f>O94</f>
        <v>144165.6847937461</v>
      </c>
      <c r="V89" s="48"/>
      <c r="W89" s="65" t="s">
        <v>152</v>
      </c>
      <c r="X89" s="67">
        <f>I93</f>
        <v>25798</v>
      </c>
    </row>
    <row r="90" spans="8:24" ht="15.75">
      <c r="H90" s="37" t="s">
        <v>105</v>
      </c>
      <c r="I90" s="60">
        <f>ONSV_AUX_2015!F58</f>
        <v>19377</v>
      </c>
      <c r="J90" s="10">
        <f>I90</f>
        <v>19377</v>
      </c>
      <c r="K90" s="11"/>
      <c r="L90" s="11"/>
      <c r="M90" s="11"/>
      <c r="O90" s="73"/>
      <c r="P90" s="76"/>
      <c r="Q90" s="65" t="s">
        <v>136</v>
      </c>
      <c r="R90" s="60">
        <f>J92-R87</f>
        <v>66514.690090573771</v>
      </c>
      <c r="S90" s="48"/>
      <c r="T90" s="48"/>
      <c r="U90" s="62"/>
      <c r="V90" s="77"/>
      <c r="W90" s="48"/>
      <c r="X90" s="62"/>
    </row>
    <row r="91" spans="8:24" ht="15.75">
      <c r="H91" s="37" t="s">
        <v>106</v>
      </c>
      <c r="I91" s="60">
        <f>ONSV_AUX_2015!F59</f>
        <v>293803</v>
      </c>
      <c r="J91" s="61">
        <f>I91-(L84*I82)</f>
        <v>293779.13240326522</v>
      </c>
      <c r="K91" s="11"/>
      <c r="L91" s="11"/>
      <c r="M91" s="11"/>
      <c r="N91" s="28" t="s">
        <v>143</v>
      </c>
      <c r="O91" s="60">
        <f>I79</f>
        <v>97542</v>
      </c>
      <c r="P91" s="76"/>
      <c r="Q91" s="48"/>
      <c r="R91" s="48"/>
      <c r="S91" s="77"/>
      <c r="T91" s="65" t="s">
        <v>142</v>
      </c>
      <c r="U91" s="68">
        <f>R86</f>
        <v>86267.340478945916</v>
      </c>
      <c r="V91" s="48"/>
      <c r="W91" s="65" t="s">
        <v>153</v>
      </c>
      <c r="X91" s="67">
        <f>I94</f>
        <v>1123873</v>
      </c>
    </row>
    <row r="92" spans="8:24" ht="15.75">
      <c r="H92" s="37" t="s">
        <v>107</v>
      </c>
      <c r="I92" s="60">
        <f>ONSV_AUX_2015!F60</f>
        <v>94174</v>
      </c>
      <c r="J92" s="61">
        <f>I92-(L85*I82)</f>
        <v>94166.349611627855</v>
      </c>
      <c r="K92" s="11"/>
      <c r="L92" s="11"/>
      <c r="M92" s="11"/>
      <c r="N92" s="28" t="s">
        <v>146</v>
      </c>
      <c r="O92" s="60">
        <f>I83</f>
        <v>48098</v>
      </c>
      <c r="P92" s="76"/>
      <c r="Q92" s="48"/>
      <c r="R92" s="48"/>
      <c r="S92" s="48"/>
      <c r="T92" s="65" t="s">
        <v>154</v>
      </c>
      <c r="U92" s="68">
        <f>I91-J91</f>
        <v>23.867596734780818</v>
      </c>
      <c r="V92" s="48"/>
      <c r="W92" s="65" t="s">
        <v>155</v>
      </c>
      <c r="X92" s="67">
        <f>I95</f>
        <v>160721</v>
      </c>
    </row>
    <row r="93" spans="8:24" ht="15.75">
      <c r="H93" s="37" t="s">
        <v>108</v>
      </c>
      <c r="I93" s="60">
        <f>ONSV_AUX_2015!F61</f>
        <v>25798</v>
      </c>
      <c r="J93" s="10">
        <f>I93</f>
        <v>25798</v>
      </c>
      <c r="K93" s="11"/>
      <c r="L93" s="11"/>
      <c r="M93" s="11"/>
      <c r="N93" s="28" t="s">
        <v>139</v>
      </c>
      <c r="O93" s="60">
        <f>IF(OR((O82*I80&gt;J88),((O91+O92+(O82*I80))&gt;J88)),(J88-O91-O92),(O82*I80))</f>
        <v>1282616.5663771224</v>
      </c>
      <c r="P93" s="76"/>
      <c r="Q93" s="48"/>
      <c r="R93" s="78"/>
      <c r="S93" s="48"/>
      <c r="T93" s="65" t="s">
        <v>150</v>
      </c>
      <c r="U93" s="72">
        <f>R89</f>
        <v>207511.79192431929</v>
      </c>
      <c r="V93" s="48"/>
      <c r="W93" s="48"/>
      <c r="X93" s="48"/>
    </row>
    <row r="94" spans="8:24" ht="15.75">
      <c r="H94" s="37" t="s">
        <v>109</v>
      </c>
      <c r="I94" s="60">
        <f>ONSV_AUX_2015!F62</f>
        <v>1123873</v>
      </c>
      <c r="J94" s="10">
        <f>I94</f>
        <v>1123873</v>
      </c>
      <c r="K94" s="11"/>
      <c r="L94" s="11"/>
      <c r="M94" s="11"/>
      <c r="N94" s="28" t="s">
        <v>151</v>
      </c>
      <c r="O94" s="60">
        <f>IF((J88-O91-O93-O92)&lt;0,0,(J88-O91-O93-O92))</f>
        <v>144165.6847937461</v>
      </c>
      <c r="P94" s="48"/>
      <c r="Q94" s="48"/>
      <c r="R94" s="48"/>
      <c r="S94" s="48"/>
      <c r="T94" s="48"/>
      <c r="U94" s="62"/>
      <c r="V94" s="48"/>
      <c r="W94" s="48"/>
      <c r="X94" s="48"/>
    </row>
    <row r="95" spans="8:24" ht="15.75">
      <c r="H95" s="37" t="s">
        <v>110</v>
      </c>
      <c r="I95" s="60">
        <f>ONSV_AUX_2015!F63</f>
        <v>160721</v>
      </c>
      <c r="J95" s="10">
        <f>I95</f>
        <v>160721</v>
      </c>
      <c r="K95" s="11"/>
      <c r="L95" s="11"/>
      <c r="M95" s="11"/>
      <c r="O95" s="48"/>
      <c r="P95" s="76"/>
      <c r="Q95" s="48"/>
      <c r="R95" s="48"/>
      <c r="S95" s="48"/>
      <c r="T95" s="79" t="s">
        <v>156</v>
      </c>
      <c r="U95" s="80">
        <f>(SUM(U81:U93,X81:X92)/SUM(I88:I97))-1</f>
        <v>0</v>
      </c>
      <c r="V95" s="48"/>
      <c r="W95" s="79" t="s">
        <v>10</v>
      </c>
      <c r="X95" s="67">
        <f>SUM(U81:U93,X81:X92)</f>
        <v>3460627</v>
      </c>
    </row>
    <row r="96" spans="8:24" ht="15.75">
      <c r="H96" s="37" t="s">
        <v>111</v>
      </c>
      <c r="I96" s="60">
        <f>ONSV_AUX_2015!F64</f>
        <v>36889</v>
      </c>
      <c r="J96" s="10">
        <f>I96</f>
        <v>36889</v>
      </c>
      <c r="K96" s="11"/>
      <c r="L96" s="11"/>
      <c r="M96" s="11"/>
      <c r="O96" s="48"/>
      <c r="P96" s="76"/>
      <c r="Q96" s="48"/>
      <c r="R96" s="48"/>
      <c r="S96" s="48"/>
      <c r="T96" s="48"/>
      <c r="U96" s="48"/>
      <c r="V96" s="48"/>
      <c r="W96" s="48"/>
      <c r="X96" s="48"/>
    </row>
    <row r="97" spans="1:24" ht="15.75">
      <c r="H97" s="37" t="s">
        <v>112</v>
      </c>
      <c r="I97" s="60">
        <f>ONSV_AUX_2015!F65</f>
        <v>21335</v>
      </c>
      <c r="J97" s="61">
        <f>I97-(L86*I82)</f>
        <v>21333.266814238326</v>
      </c>
      <c r="K97" s="12"/>
      <c r="L97" s="12"/>
      <c r="M97" s="12"/>
      <c r="N97" s="12"/>
      <c r="O97" s="12"/>
      <c r="P97" s="12"/>
      <c r="Q97" s="4"/>
      <c r="R97" s="4"/>
    </row>
    <row r="98" spans="1:24" ht="15.75">
      <c r="I98" s="40"/>
      <c r="J98" s="21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4" ht="15.75">
      <c r="I99" s="40"/>
      <c r="J99" s="21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4" s="31" customFormat="1" ht="15.75">
      <c r="A100" s="101" t="str">
        <f>"BAHIA/"&amp;ONSV_AUX_2014!$A$1&amp;""</f>
        <v>BAHIA/2014</v>
      </c>
      <c r="B100" s="102"/>
      <c r="C100" s="102"/>
      <c r="D100" s="102"/>
      <c r="E100" s="102"/>
      <c r="F100" s="102"/>
    </row>
    <row r="101" spans="1:24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>
      <c r="H102" s="23" t="s">
        <v>118</v>
      </c>
      <c r="N102" s="26"/>
      <c r="O102" s="26"/>
      <c r="P102" s="9"/>
      <c r="Q102" s="26"/>
      <c r="R102" s="26"/>
      <c r="S102" s="26"/>
      <c r="T102" s="25"/>
      <c r="U102" s="25"/>
      <c r="V102" s="25"/>
      <c r="W102" s="25"/>
      <c r="X102" s="25"/>
    </row>
    <row r="103" spans="1:24" ht="15.75">
      <c r="J103" s="9"/>
      <c r="M103" s="25"/>
      <c r="N103" s="9"/>
      <c r="O103" s="9"/>
      <c r="P103" s="9"/>
      <c r="Q103" s="11"/>
      <c r="R103" s="11"/>
      <c r="S103" s="11"/>
    </row>
    <row r="104" spans="1:24" ht="15.75">
      <c r="H104" s="36" t="s">
        <v>81</v>
      </c>
      <c r="I104" s="60">
        <f>ONSV_AUX_2014!F27</f>
        <v>96571</v>
      </c>
      <c r="J104" s="9"/>
      <c r="K104" s="104" t="s">
        <v>119</v>
      </c>
      <c r="L104" s="104"/>
      <c r="M104" s="9"/>
      <c r="N104" s="26" t="s">
        <v>120</v>
      </c>
      <c r="O104" s="26"/>
      <c r="Q104" s="26" t="s">
        <v>121</v>
      </c>
      <c r="R104" s="26"/>
      <c r="S104" s="26"/>
      <c r="T104" s="25" t="s">
        <v>122</v>
      </c>
      <c r="U104" s="25"/>
      <c r="V104" s="25"/>
      <c r="W104" s="25"/>
      <c r="X104" s="25"/>
    </row>
    <row r="105" spans="1:24" ht="15.75">
      <c r="H105" s="36" t="s">
        <v>84</v>
      </c>
      <c r="I105" s="60">
        <f>ONSV_AUX_2014!F28</f>
        <v>1127540</v>
      </c>
      <c r="J105" s="9"/>
      <c r="K105" s="9"/>
      <c r="L105" s="9"/>
      <c r="M105" s="9"/>
      <c r="N105" s="9"/>
      <c r="O105" s="9"/>
      <c r="P105" s="20"/>
      <c r="Q105" s="11"/>
      <c r="R105" s="11"/>
      <c r="S105" s="11"/>
    </row>
    <row r="106" spans="1:24" ht="15.75">
      <c r="H106" s="36" t="s">
        <v>85</v>
      </c>
      <c r="I106" s="60">
        <f>ONSV_AUX_2014!F29</f>
        <v>292668</v>
      </c>
      <c r="J106" s="9"/>
      <c r="K106" s="2" t="s">
        <v>123</v>
      </c>
      <c r="L106" s="60">
        <f>I113+I116+I117+I122</f>
        <v>1842492</v>
      </c>
      <c r="N106" s="28" t="s">
        <v>124</v>
      </c>
      <c r="O106" s="60">
        <f>J113+J122</f>
        <v>1486081.5054903901</v>
      </c>
      <c r="P106" s="64"/>
      <c r="Q106" s="65" t="s">
        <v>125</v>
      </c>
      <c r="R106" s="60">
        <f>J116+J117</f>
        <v>356335.49450960977</v>
      </c>
      <c r="S106" s="66"/>
      <c r="T106" s="65" t="s">
        <v>126</v>
      </c>
      <c r="U106" s="67">
        <f>O110</f>
        <v>14245.402552380592</v>
      </c>
      <c r="V106" s="48"/>
      <c r="W106" s="65" t="s">
        <v>127</v>
      </c>
      <c r="X106" s="68">
        <f>R112</f>
        <v>25952.469246527293</v>
      </c>
    </row>
    <row r="107" spans="1:24" ht="15.75">
      <c r="H107" s="36" t="s">
        <v>101</v>
      </c>
      <c r="I107" s="60">
        <f>ONSV_AUX_2014!F30</f>
        <v>75</v>
      </c>
      <c r="J107" s="9"/>
      <c r="K107" s="27"/>
      <c r="L107" s="62"/>
      <c r="M107" s="20"/>
      <c r="N107" s="28" t="s">
        <v>128</v>
      </c>
      <c r="O107" s="69">
        <f>J113/O106</f>
        <v>0.98736594484241758</v>
      </c>
      <c r="P107" s="64"/>
      <c r="Q107" s="70" t="s">
        <v>129</v>
      </c>
      <c r="R107" s="63">
        <f>J116/R106</f>
        <v>0.75677844815490392</v>
      </c>
      <c r="S107" s="71"/>
      <c r="T107" s="65" t="s">
        <v>130</v>
      </c>
      <c r="U107" s="67">
        <f>I122-J122</f>
        <v>0.76429097114305478</v>
      </c>
      <c r="V107" s="48"/>
      <c r="W107" s="65" t="s">
        <v>131</v>
      </c>
      <c r="X107" s="68">
        <f>I117-J117</f>
        <v>3.5280478829808999</v>
      </c>
    </row>
    <row r="108" spans="1:24" ht="15.75">
      <c r="H108" s="36" t="s">
        <v>16</v>
      </c>
      <c r="I108" s="60">
        <f>ONSV_AUX_2014!F31</f>
        <v>47428</v>
      </c>
      <c r="J108" s="9"/>
      <c r="K108" s="2" t="s">
        <v>132</v>
      </c>
      <c r="L108" s="63">
        <f>I113/L106</f>
        <v>0.79640291518226403</v>
      </c>
      <c r="M108" s="20"/>
      <c r="N108" s="28" t="s">
        <v>133</v>
      </c>
      <c r="O108" s="69">
        <f>J122/O106</f>
        <v>1.2634055157582518E-2</v>
      </c>
      <c r="P108" s="64"/>
      <c r="Q108" s="70" t="s">
        <v>134</v>
      </c>
      <c r="R108" s="63">
        <f>J117/R106</f>
        <v>0.24322155184509614</v>
      </c>
      <c r="S108" s="71"/>
      <c r="T108" s="65" t="s">
        <v>135</v>
      </c>
      <c r="U108" s="72">
        <f>O112</f>
        <v>4529.8331566482648</v>
      </c>
      <c r="V108" s="73"/>
      <c r="W108" s="65" t="s">
        <v>136</v>
      </c>
      <c r="X108" s="72">
        <f>R115</f>
        <v>60716.002705589723</v>
      </c>
    </row>
    <row r="109" spans="1:24" ht="15.75">
      <c r="H109" s="36" t="s">
        <v>94</v>
      </c>
      <c r="I109" s="60">
        <f>ONSV_AUX_2014!F32</f>
        <v>1657861</v>
      </c>
      <c r="J109" s="10"/>
      <c r="K109" s="2" t="s">
        <v>2</v>
      </c>
      <c r="L109" s="63">
        <f>I116/L106</f>
        <v>0.14636590009617409</v>
      </c>
      <c r="M109" s="20"/>
      <c r="N109" s="20"/>
      <c r="O109" s="74"/>
      <c r="P109" s="48"/>
      <c r="Q109" s="48"/>
      <c r="R109" s="48"/>
      <c r="S109" s="48"/>
      <c r="T109" s="48"/>
      <c r="U109" s="62"/>
      <c r="V109" s="75"/>
      <c r="W109" s="48"/>
      <c r="X109" s="62"/>
    </row>
    <row r="110" spans="1:24" ht="15.75">
      <c r="K110" s="2" t="s">
        <v>3</v>
      </c>
      <c r="L110" s="63">
        <f>I117/L106</f>
        <v>4.7040638439678435E-2</v>
      </c>
      <c r="M110" s="20"/>
      <c r="N110" s="28" t="s">
        <v>137</v>
      </c>
      <c r="O110" s="60">
        <f>IF(O108*I105&gt;J122,J122,O108*I105)</f>
        <v>14245.402552380592</v>
      </c>
      <c r="P110" s="76"/>
      <c r="Q110" s="65" t="s">
        <v>138</v>
      </c>
      <c r="R110" s="60">
        <f>I106-I114-I115-I118-I121</f>
        <v>106703</v>
      </c>
      <c r="S110" s="77"/>
      <c r="T110" s="65" t="s">
        <v>139</v>
      </c>
      <c r="U110" s="67">
        <f>O118</f>
        <v>1113294.5974476195</v>
      </c>
      <c r="V110" s="76"/>
      <c r="W110" s="65" t="s">
        <v>140</v>
      </c>
      <c r="X110" s="67">
        <f>I114</f>
        <v>108266</v>
      </c>
    </row>
    <row r="111" spans="1:24" ht="15.75">
      <c r="H111" s="24" t="s">
        <v>141</v>
      </c>
      <c r="K111" s="2" t="s">
        <v>0</v>
      </c>
      <c r="L111" s="63">
        <f>I122/L106</f>
        <v>1.0190546281883449E-2</v>
      </c>
      <c r="O111" s="48"/>
      <c r="P111" s="76"/>
      <c r="Q111" s="65" t="s">
        <v>142</v>
      </c>
      <c r="R111" s="60">
        <f>R107*R110</f>
        <v>80750.530753472718</v>
      </c>
      <c r="S111" s="48"/>
      <c r="T111" s="65" t="s">
        <v>143</v>
      </c>
      <c r="U111" s="67">
        <f>O116</f>
        <v>96571</v>
      </c>
      <c r="V111" s="66"/>
      <c r="W111" s="65" t="s">
        <v>144</v>
      </c>
      <c r="X111" s="67">
        <f>I115</f>
        <v>18228</v>
      </c>
    </row>
    <row r="112" spans="1:24" ht="15.75">
      <c r="K112" s="11"/>
      <c r="L112" s="11"/>
      <c r="M112" s="11"/>
      <c r="N112" s="28" t="s">
        <v>145</v>
      </c>
      <c r="O112" s="60">
        <f>J122-O110</f>
        <v>4529.8331566482648</v>
      </c>
      <c r="P112" s="76"/>
      <c r="Q112" s="65" t="s">
        <v>127</v>
      </c>
      <c r="R112" s="60">
        <f>R108*R110</f>
        <v>25952.469246527293</v>
      </c>
      <c r="S112" s="48"/>
      <c r="T112" s="65" t="s">
        <v>146</v>
      </c>
      <c r="U112" s="67">
        <f>O117</f>
        <v>47428</v>
      </c>
      <c r="V112" s="71"/>
      <c r="W112" s="48"/>
      <c r="X112" s="62"/>
    </row>
    <row r="113" spans="8:24" ht="15.75">
      <c r="H113" s="37" t="s">
        <v>103</v>
      </c>
      <c r="I113" s="60">
        <f>ONSV_AUX_2014!F56</f>
        <v>1467366</v>
      </c>
      <c r="J113" s="61">
        <f>I113-(L108*I107)</f>
        <v>1467306.2697813613</v>
      </c>
      <c r="K113" s="11"/>
      <c r="L113" s="11"/>
      <c r="M113" s="11"/>
      <c r="O113" s="76"/>
      <c r="P113" s="76"/>
      <c r="Q113" s="48"/>
      <c r="R113" s="78"/>
      <c r="S113" s="48"/>
      <c r="T113" s="65" t="s">
        <v>147</v>
      </c>
      <c r="U113" s="68">
        <f>I113-J113</f>
        <v>59.730218638665974</v>
      </c>
      <c r="V113" s="71"/>
      <c r="W113" s="65" t="s">
        <v>148</v>
      </c>
      <c r="X113" s="67">
        <f>I121</f>
        <v>35061</v>
      </c>
    </row>
    <row r="114" spans="8:24" ht="15.75">
      <c r="H114" s="37" t="s">
        <v>104</v>
      </c>
      <c r="I114" s="60">
        <f>ONSV_AUX_2014!F57</f>
        <v>108266</v>
      </c>
      <c r="J114" s="10">
        <f>I114</f>
        <v>108266</v>
      </c>
      <c r="K114" s="11"/>
      <c r="L114" s="11"/>
      <c r="M114" s="11"/>
      <c r="N114" s="26" t="s">
        <v>149</v>
      </c>
      <c r="O114" s="76"/>
      <c r="P114" s="76"/>
      <c r="Q114" s="65" t="s">
        <v>150</v>
      </c>
      <c r="R114" s="60">
        <f>J116-R111</f>
        <v>188916.49180402007</v>
      </c>
      <c r="S114" s="48"/>
      <c r="T114" s="65" t="s">
        <v>151</v>
      </c>
      <c r="U114" s="72">
        <f>O119</f>
        <v>210012.67233374179</v>
      </c>
      <c r="V114" s="48"/>
      <c r="W114" s="65" t="s">
        <v>152</v>
      </c>
      <c r="X114" s="67">
        <f>I118</f>
        <v>24410</v>
      </c>
    </row>
    <row r="115" spans="8:24" ht="15.75">
      <c r="H115" s="37" t="s">
        <v>105</v>
      </c>
      <c r="I115" s="60">
        <f>ONSV_AUX_2014!F58</f>
        <v>18228</v>
      </c>
      <c r="J115" s="10">
        <f>I115</f>
        <v>18228</v>
      </c>
      <c r="K115" s="11"/>
      <c r="L115" s="11"/>
      <c r="M115" s="11"/>
      <c r="O115" s="73"/>
      <c r="P115" s="76"/>
      <c r="Q115" s="65" t="s">
        <v>136</v>
      </c>
      <c r="R115" s="60">
        <f>J117-R112</f>
        <v>60716.002705589723</v>
      </c>
      <c r="S115" s="48"/>
      <c r="T115" s="48"/>
      <c r="U115" s="62"/>
      <c r="V115" s="77"/>
      <c r="W115" s="48"/>
      <c r="X115" s="62"/>
    </row>
    <row r="116" spans="8:24" ht="15.75">
      <c r="H116" s="37" t="s">
        <v>106</v>
      </c>
      <c r="I116" s="60">
        <f>ONSV_AUX_2014!F59</f>
        <v>269678</v>
      </c>
      <c r="J116" s="61">
        <f>I116-(L109*I107)</f>
        <v>269667.02255749278</v>
      </c>
      <c r="K116" s="11"/>
      <c r="L116" s="11"/>
      <c r="M116" s="11"/>
      <c r="N116" s="28" t="s">
        <v>143</v>
      </c>
      <c r="O116" s="60">
        <f>I104</f>
        <v>96571</v>
      </c>
      <c r="P116" s="76"/>
      <c r="Q116" s="48"/>
      <c r="R116" s="48"/>
      <c r="S116" s="77"/>
      <c r="T116" s="65" t="s">
        <v>142</v>
      </c>
      <c r="U116" s="68">
        <f>R111</f>
        <v>80750.530753472718</v>
      </c>
      <c r="V116" s="48"/>
      <c r="W116" s="65" t="s">
        <v>153</v>
      </c>
      <c r="X116" s="67">
        <f>I119</f>
        <v>1045074</v>
      </c>
    </row>
    <row r="117" spans="8:24" ht="15.75">
      <c r="H117" s="37" t="s">
        <v>107</v>
      </c>
      <c r="I117" s="60">
        <f>ONSV_AUX_2014!F60</f>
        <v>86672</v>
      </c>
      <c r="J117" s="61">
        <f>I117-(L110*I107)</f>
        <v>86668.471952117019</v>
      </c>
      <c r="K117" s="11"/>
      <c r="L117" s="11"/>
      <c r="M117" s="11"/>
      <c r="N117" s="28" t="s">
        <v>146</v>
      </c>
      <c r="O117" s="60">
        <f>I108</f>
        <v>47428</v>
      </c>
      <c r="P117" s="76"/>
      <c r="Q117" s="48"/>
      <c r="R117" s="48"/>
      <c r="S117" s="48"/>
      <c r="T117" s="65" t="s">
        <v>154</v>
      </c>
      <c r="U117" s="68">
        <f>I116-J116</f>
        <v>10.977442507224623</v>
      </c>
      <c r="V117" s="48"/>
      <c r="W117" s="65" t="s">
        <v>155</v>
      </c>
      <c r="X117" s="67">
        <f>I120</f>
        <v>145483</v>
      </c>
    </row>
    <row r="118" spans="8:24" ht="15.75">
      <c r="H118" s="37" t="s">
        <v>108</v>
      </c>
      <c r="I118" s="60">
        <f>ONSV_AUX_2014!F61</f>
        <v>24410</v>
      </c>
      <c r="J118" s="10">
        <f>I118</f>
        <v>24410</v>
      </c>
      <c r="K118" s="11"/>
      <c r="L118" s="11"/>
      <c r="M118" s="11"/>
      <c r="N118" s="28" t="s">
        <v>139</v>
      </c>
      <c r="O118" s="60">
        <f>IF(OR((O107*I105&gt;J113),((O116+O117+(O107*I105))&gt;J113)),(J113-O116-O117),(O107*I105))</f>
        <v>1113294.5974476195</v>
      </c>
      <c r="P118" s="76"/>
      <c r="Q118" s="48"/>
      <c r="R118" s="78"/>
      <c r="S118" s="48"/>
      <c r="T118" s="65" t="s">
        <v>150</v>
      </c>
      <c r="U118" s="72">
        <f>R114</f>
        <v>188916.49180402007</v>
      </c>
      <c r="V118" s="48"/>
      <c r="W118" s="48"/>
      <c r="X118" s="48"/>
    </row>
    <row r="119" spans="8:24" ht="15.75">
      <c r="H119" s="37" t="s">
        <v>109</v>
      </c>
      <c r="I119" s="60">
        <f>ONSV_AUX_2014!F62</f>
        <v>1045074</v>
      </c>
      <c r="J119" s="10">
        <f>I119</f>
        <v>1045074</v>
      </c>
      <c r="K119" s="11"/>
      <c r="L119" s="11"/>
      <c r="M119" s="11"/>
      <c r="N119" s="28" t="s">
        <v>151</v>
      </c>
      <c r="O119" s="60">
        <f>IF((J113-O116-O118-O117)&lt;0,0,(J113-O116-O118-O117))</f>
        <v>210012.67233374179</v>
      </c>
      <c r="P119" s="48"/>
      <c r="Q119" s="48"/>
      <c r="R119" s="48"/>
      <c r="S119" s="48"/>
      <c r="T119" s="48"/>
      <c r="U119" s="62"/>
      <c r="V119" s="48"/>
      <c r="W119" s="48"/>
      <c r="X119" s="48"/>
    </row>
    <row r="120" spans="8:24" ht="15.75">
      <c r="H120" s="37" t="s">
        <v>110</v>
      </c>
      <c r="I120" s="60">
        <f>ONSV_AUX_2014!F63</f>
        <v>145483</v>
      </c>
      <c r="J120" s="10">
        <f>I120</f>
        <v>145483</v>
      </c>
      <c r="K120" s="11"/>
      <c r="L120" s="11"/>
      <c r="M120" s="11"/>
      <c r="O120" s="48"/>
      <c r="P120" s="76"/>
      <c r="Q120" s="48"/>
      <c r="R120" s="48"/>
      <c r="S120" s="48"/>
      <c r="T120" s="79" t="s">
        <v>156</v>
      </c>
      <c r="U120" s="80">
        <f>(SUM(U106:U118,X106:X117)/SUM(I113:I122))-1</f>
        <v>0</v>
      </c>
      <c r="V120" s="48"/>
      <c r="W120" s="79" t="s">
        <v>10</v>
      </c>
      <c r="X120" s="67">
        <f>SUM(U106:U118,X106:X117)</f>
        <v>3219014</v>
      </c>
    </row>
    <row r="121" spans="8:24" ht="15.75">
      <c r="H121" s="37" t="s">
        <v>111</v>
      </c>
      <c r="I121" s="60">
        <f>ONSV_AUX_2014!F64</f>
        <v>35061</v>
      </c>
      <c r="J121" s="10">
        <f>I121</f>
        <v>35061</v>
      </c>
      <c r="K121" s="11"/>
      <c r="L121" s="11"/>
      <c r="M121" s="11"/>
      <c r="O121" s="48"/>
      <c r="P121" s="76"/>
      <c r="Q121" s="48"/>
      <c r="R121" s="48"/>
      <c r="S121" s="48"/>
      <c r="T121" s="48"/>
      <c r="U121" s="48"/>
      <c r="V121" s="48"/>
      <c r="W121" s="48"/>
      <c r="X121" s="48"/>
    </row>
    <row r="122" spans="8:24" ht="15.75">
      <c r="H122" s="37" t="s">
        <v>112</v>
      </c>
      <c r="I122" s="60">
        <f>ONSV_AUX_2014!F65</f>
        <v>18776</v>
      </c>
      <c r="J122" s="61">
        <f>I122-(L111*I107)</f>
        <v>18775.235709028857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A100:F100"/>
    <mergeCell ref="K104:L104"/>
    <mergeCell ref="K54:L54"/>
    <mergeCell ref="A75:F75"/>
    <mergeCell ref="K79:L79"/>
    <mergeCell ref="K29:L29"/>
    <mergeCell ref="A25:F25"/>
    <mergeCell ref="A50:F50"/>
    <mergeCell ref="T52:X52"/>
    <mergeCell ref="A1:F1"/>
    <mergeCell ref="Q4:R4"/>
    <mergeCell ref="T4:X4"/>
    <mergeCell ref="K5:L5"/>
    <mergeCell ref="T27:X2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0.39997558519241921"/>
  </sheetPr>
  <dimension ref="A1:X122"/>
  <sheetViews>
    <sheetView showGridLines="0" zoomScale="90" zoomScaleNormal="90" workbookViewId="0">
      <selection activeCell="F102" sqref="F102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</cols>
  <sheetData>
    <row r="1" spans="1:24" s="31" customFormat="1" ht="15.75">
      <c r="A1" s="101" t="str">
        <f>"CEÁRA/"&amp;ONSV_AUX_2018!$A$1&amp;""</f>
        <v>CEÁRA/2018</v>
      </c>
      <c r="B1" s="102"/>
      <c r="C1" s="102"/>
      <c r="D1" s="102"/>
      <c r="E1" s="102"/>
      <c r="F1" s="102"/>
    </row>
    <row r="2" spans="1:24" s="4" customFormat="1" ht="15.75">
      <c r="A2" s="32"/>
      <c r="B2" s="32"/>
      <c r="C2" s="32"/>
      <c r="D2" s="32"/>
      <c r="E2" s="32"/>
      <c r="F2" s="32"/>
    </row>
    <row r="3" spans="1:24" ht="15.75">
      <c r="A3" s="12"/>
      <c r="H3" s="23" t="s">
        <v>118</v>
      </c>
    </row>
    <row r="4" spans="1:24" ht="15.75">
      <c r="B4" s="5"/>
      <c r="J4" s="9"/>
      <c r="M4" s="25"/>
      <c r="N4" s="25"/>
      <c r="O4" s="25"/>
      <c r="P4" s="25"/>
      <c r="Q4" s="103"/>
      <c r="R4" s="103"/>
      <c r="S4" s="22"/>
      <c r="T4" s="104"/>
      <c r="U4" s="104"/>
      <c r="V4" s="104"/>
      <c r="W4" s="104"/>
      <c r="X4" s="104"/>
    </row>
    <row r="5" spans="1:24" ht="15.75">
      <c r="H5" s="36" t="s">
        <v>81</v>
      </c>
      <c r="I5" s="60">
        <f>ONSV_AUX_2018!G27</f>
        <v>60886</v>
      </c>
      <c r="J5" s="9"/>
      <c r="K5" s="104" t="s">
        <v>119</v>
      </c>
      <c r="L5" s="104"/>
      <c r="M5" s="9"/>
      <c r="N5" s="26" t="s">
        <v>120</v>
      </c>
      <c r="O5" s="26"/>
      <c r="Q5" s="26" t="s">
        <v>121</v>
      </c>
      <c r="R5" s="26"/>
      <c r="S5" s="26"/>
      <c r="T5" s="25" t="s">
        <v>122</v>
      </c>
      <c r="U5" s="25"/>
      <c r="V5" s="25"/>
      <c r="W5" s="25"/>
      <c r="X5" s="25"/>
    </row>
    <row r="6" spans="1:24" ht="15.75">
      <c r="H6" s="36" t="s">
        <v>84</v>
      </c>
      <c r="I6" s="60">
        <f>ONSV_AUX_2018!G28</f>
        <v>1186158</v>
      </c>
      <c r="J6" s="9"/>
      <c r="K6" s="9"/>
      <c r="L6" s="9"/>
      <c r="M6" s="9"/>
      <c r="N6" s="9"/>
      <c r="O6" s="9"/>
      <c r="P6" s="20"/>
      <c r="Q6" s="11"/>
      <c r="R6" s="11"/>
      <c r="S6" s="11"/>
    </row>
    <row r="7" spans="1:24" ht="15.75">
      <c r="H7" s="36" t="s">
        <v>85</v>
      </c>
      <c r="I7" s="60">
        <f>ONSV_AUX_2018!G29</f>
        <v>230657</v>
      </c>
      <c r="J7" s="9"/>
      <c r="K7" s="2" t="s">
        <v>123</v>
      </c>
      <c r="L7" s="60">
        <f>I14+I17+I18+I23</f>
        <v>1402572</v>
      </c>
      <c r="N7" s="28" t="s">
        <v>124</v>
      </c>
      <c r="O7" s="60">
        <f>J14+J23</f>
        <v>1153386.6054662433</v>
      </c>
      <c r="P7" s="64"/>
      <c r="Q7" s="65" t="s">
        <v>125</v>
      </c>
      <c r="R7" s="60">
        <f>J17+J18</f>
        <v>249007.39453375657</v>
      </c>
      <c r="S7" s="66"/>
      <c r="T7" s="65" t="s">
        <v>126</v>
      </c>
      <c r="U7" s="67">
        <f>O11</f>
        <v>32180.915411116148</v>
      </c>
      <c r="V7" s="48"/>
      <c r="W7" s="65" t="s">
        <v>127</v>
      </c>
      <c r="X7" s="68">
        <f>R13</f>
        <v>28608.288790109178</v>
      </c>
    </row>
    <row r="8" spans="1:24" ht="15.75">
      <c r="H8" s="36" t="s">
        <v>101</v>
      </c>
      <c r="I8" s="60">
        <f>ONSV_AUX_2018!G30</f>
        <v>178</v>
      </c>
      <c r="J8" s="9"/>
      <c r="K8" s="27"/>
      <c r="L8" s="62"/>
      <c r="M8" s="20"/>
      <c r="N8" s="28" t="s">
        <v>128</v>
      </c>
      <c r="O8" s="69">
        <f>J14/O7</f>
        <v>0.97209876093705172</v>
      </c>
      <c r="P8" s="64"/>
      <c r="Q8" s="70" t="s">
        <v>129</v>
      </c>
      <c r="R8" s="63">
        <f>J17/R7</f>
        <v>0.75994924489738558</v>
      </c>
      <c r="S8" s="71"/>
      <c r="T8" s="65" t="s">
        <v>130</v>
      </c>
      <c r="U8" s="67">
        <f>I23-J23</f>
        <v>4.0845888838521205</v>
      </c>
      <c r="V8" s="48"/>
      <c r="W8" s="65" t="s">
        <v>131</v>
      </c>
      <c r="X8" s="68">
        <f>I18-J18</f>
        <v>7.586916037107585</v>
      </c>
    </row>
    <row r="9" spans="1:24" ht="15.75">
      <c r="H9" s="36" t="s">
        <v>16</v>
      </c>
      <c r="I9" s="60">
        <f>ONSV_AUX_2018!G31</f>
        <v>47741</v>
      </c>
      <c r="J9" s="9"/>
      <c r="K9" s="2" t="s">
        <v>132</v>
      </c>
      <c r="L9" s="63">
        <f>I14/L7</f>
        <v>0.79949407231856906</v>
      </c>
      <c r="M9" s="20"/>
      <c r="N9" s="28" t="s">
        <v>133</v>
      </c>
      <c r="O9" s="69">
        <f>J23/O7</f>
        <v>2.7901239062948353E-2</v>
      </c>
      <c r="P9" s="64"/>
      <c r="Q9" s="70" t="s">
        <v>134</v>
      </c>
      <c r="R9" s="63">
        <f>J18/R7</f>
        <v>0.24005075510261445</v>
      </c>
      <c r="S9" s="71"/>
      <c r="T9" s="65" t="s">
        <v>135</v>
      </c>
      <c r="U9" s="72">
        <f>O13</f>
        <v>0</v>
      </c>
      <c r="V9" s="73"/>
      <c r="W9" s="65" t="s">
        <v>136</v>
      </c>
      <c r="X9" s="72">
        <f>R16</f>
        <v>31166.124293853714</v>
      </c>
    </row>
    <row r="10" spans="1:24" ht="15.75">
      <c r="H10" s="36" t="s">
        <v>94</v>
      </c>
      <c r="I10" s="60">
        <f>ONSV_AUX_2018!G32</f>
        <v>1501473</v>
      </c>
      <c r="J10" s="10"/>
      <c r="K10" s="2" t="s">
        <v>2</v>
      </c>
      <c r="L10" s="63">
        <f>I17/L7</f>
        <v>0.13493567531648998</v>
      </c>
      <c r="M10" s="20"/>
      <c r="N10" s="20"/>
      <c r="O10" s="74"/>
      <c r="P10" s="48"/>
      <c r="Q10" s="48"/>
      <c r="R10" s="48"/>
      <c r="S10" s="48"/>
      <c r="T10" s="48"/>
      <c r="U10" s="62"/>
      <c r="V10" s="75"/>
      <c r="W10" s="48"/>
      <c r="X10" s="62"/>
    </row>
    <row r="11" spans="1:24" ht="15.75">
      <c r="K11" s="2" t="s">
        <v>3</v>
      </c>
      <c r="L11" s="63">
        <f>I18/L7</f>
        <v>4.2623123803982969E-2</v>
      </c>
      <c r="M11" s="20"/>
      <c r="N11" s="28" t="s">
        <v>137</v>
      </c>
      <c r="O11" s="60">
        <f>IF(O9*I6&gt;J23,J23,O9*I6)</f>
        <v>32180.915411116148</v>
      </c>
      <c r="P11" s="76"/>
      <c r="Q11" s="65" t="s">
        <v>138</v>
      </c>
      <c r="R11" s="60">
        <f>I7-I15-I16-I19-I22</f>
        <v>119176</v>
      </c>
      <c r="S11" s="77"/>
      <c r="T11" s="65" t="s">
        <v>139</v>
      </c>
      <c r="U11" s="67">
        <f>O19</f>
        <v>1012578.6900551273</v>
      </c>
      <c r="V11" s="76"/>
      <c r="W11" s="65" t="s">
        <v>140</v>
      </c>
      <c r="X11" s="67">
        <f>I15</f>
        <v>73140</v>
      </c>
    </row>
    <row r="12" spans="1:24" ht="15.75">
      <c r="H12" s="24" t="s">
        <v>141</v>
      </c>
      <c r="K12" s="2" t="s">
        <v>0</v>
      </c>
      <c r="L12" s="63">
        <f>I23/L7</f>
        <v>2.294712856095801E-2</v>
      </c>
      <c r="O12" s="48"/>
      <c r="P12" s="76"/>
      <c r="Q12" s="65" t="s">
        <v>142</v>
      </c>
      <c r="R12" s="60">
        <f>R8*R11</f>
        <v>90567.711209890826</v>
      </c>
      <c r="S12" s="48"/>
      <c r="T12" s="65" t="s">
        <v>143</v>
      </c>
      <c r="U12" s="67">
        <f>O17</f>
        <v>60886</v>
      </c>
      <c r="V12" s="66"/>
      <c r="W12" s="65" t="s">
        <v>144</v>
      </c>
      <c r="X12" s="67">
        <f>I16</f>
        <v>8509</v>
      </c>
    </row>
    <row r="13" spans="1:24" ht="15.75">
      <c r="K13" s="11"/>
      <c r="L13" s="11"/>
      <c r="M13" s="11"/>
      <c r="N13" s="28" t="s">
        <v>145</v>
      </c>
      <c r="O13" s="60">
        <f>J23-O11</f>
        <v>0</v>
      </c>
      <c r="P13" s="76"/>
      <c r="Q13" s="65" t="s">
        <v>127</v>
      </c>
      <c r="R13" s="60">
        <f>R9*R11</f>
        <v>28608.288790109178</v>
      </c>
      <c r="S13" s="48"/>
      <c r="T13" s="65" t="s">
        <v>146</v>
      </c>
      <c r="U13" s="67">
        <f>O18</f>
        <v>47741</v>
      </c>
      <c r="V13" s="71"/>
      <c r="W13" s="48"/>
      <c r="X13" s="62"/>
    </row>
    <row r="14" spans="1:24" ht="15.75">
      <c r="H14" s="37" t="s">
        <v>103</v>
      </c>
      <c r="I14" s="60">
        <f>ONSV_AUX_2018!G56</f>
        <v>1121348</v>
      </c>
      <c r="J14" s="61">
        <f>I14-(L9*I8)</f>
        <v>1121205.6900551273</v>
      </c>
      <c r="K14" s="11"/>
      <c r="L14" s="11"/>
      <c r="M14" s="11"/>
      <c r="O14" s="76"/>
      <c r="P14" s="76"/>
      <c r="Q14" s="48"/>
      <c r="R14" s="78"/>
      <c r="S14" s="48"/>
      <c r="T14" s="65" t="s">
        <v>147</v>
      </c>
      <c r="U14" s="68">
        <f>I14-J14</f>
        <v>142.30994487274438</v>
      </c>
      <c r="V14" s="71"/>
      <c r="W14" s="65" t="s">
        <v>148</v>
      </c>
      <c r="X14" s="67">
        <f>I22</f>
        <v>17680</v>
      </c>
    </row>
    <row r="15" spans="1:24" ht="15.75">
      <c r="H15" s="37" t="s">
        <v>104</v>
      </c>
      <c r="I15" s="60">
        <f>ONSV_AUX_2018!G57</f>
        <v>73140</v>
      </c>
      <c r="J15" s="10">
        <f>I15</f>
        <v>73140</v>
      </c>
      <c r="K15" s="11"/>
      <c r="L15" s="11"/>
      <c r="M15" s="11"/>
      <c r="N15" s="26" t="s">
        <v>149</v>
      </c>
      <c r="O15" s="76"/>
      <c r="P15" s="76"/>
      <c r="Q15" s="65" t="s">
        <v>150</v>
      </c>
      <c r="R15" s="60">
        <f>J17-R12</f>
        <v>98665.270239902849</v>
      </c>
      <c r="S15" s="48"/>
      <c r="T15" s="65" t="s">
        <v>151</v>
      </c>
      <c r="U15" s="72">
        <f>O20</f>
        <v>0</v>
      </c>
      <c r="V15" s="48"/>
      <c r="W15" s="65" t="s">
        <v>152</v>
      </c>
      <c r="X15" s="67">
        <f>I19</f>
        <v>12152</v>
      </c>
    </row>
    <row r="16" spans="1:24" ht="15.75">
      <c r="H16" s="37" t="s">
        <v>105</v>
      </c>
      <c r="I16" s="60">
        <f>ONSV_AUX_2018!G58</f>
        <v>8509</v>
      </c>
      <c r="J16" s="10">
        <f>I16</f>
        <v>8509</v>
      </c>
      <c r="K16" s="11"/>
      <c r="L16" s="11"/>
      <c r="M16" s="11"/>
      <c r="O16" s="73"/>
      <c r="P16" s="76"/>
      <c r="Q16" s="65" t="s">
        <v>136</v>
      </c>
      <c r="R16" s="60">
        <f>J18-R13</f>
        <v>31166.124293853714</v>
      </c>
      <c r="S16" s="48"/>
      <c r="T16" s="48"/>
      <c r="U16" s="62"/>
      <c r="V16" s="77"/>
      <c r="W16" s="48"/>
      <c r="X16" s="62"/>
    </row>
    <row r="17" spans="1:24" ht="15.75">
      <c r="H17" s="37" t="s">
        <v>106</v>
      </c>
      <c r="I17" s="60">
        <f>ONSV_AUX_2018!G59</f>
        <v>189257</v>
      </c>
      <c r="J17" s="61">
        <f>I17-(L10*I8)</f>
        <v>189232.98144979367</v>
      </c>
      <c r="K17" s="11"/>
      <c r="L17" s="11"/>
      <c r="M17" s="11"/>
      <c r="N17" s="28" t="s">
        <v>143</v>
      </c>
      <c r="O17" s="60">
        <f>I5</f>
        <v>60886</v>
      </c>
      <c r="P17" s="76"/>
      <c r="Q17" s="48"/>
      <c r="R17" s="48"/>
      <c r="S17" s="77"/>
      <c r="T17" s="65" t="s">
        <v>142</v>
      </c>
      <c r="U17" s="68">
        <f>R12</f>
        <v>90567.711209890826</v>
      </c>
      <c r="V17" s="48"/>
      <c r="W17" s="65" t="s">
        <v>153</v>
      </c>
      <c r="X17" s="67">
        <f>I20</f>
        <v>1353230</v>
      </c>
    </row>
    <row r="18" spans="1:24" ht="15.75">
      <c r="H18" s="37" t="s">
        <v>107</v>
      </c>
      <c r="I18" s="60">
        <f>ONSV_AUX_2018!G60</f>
        <v>59782</v>
      </c>
      <c r="J18" s="61">
        <f>I18-(L11*I8)</f>
        <v>59774.413083962892</v>
      </c>
      <c r="K18" s="11"/>
      <c r="L18" s="11"/>
      <c r="M18" s="11"/>
      <c r="N18" s="28" t="s">
        <v>146</v>
      </c>
      <c r="O18" s="60">
        <f>I9</f>
        <v>47741</v>
      </c>
      <c r="P18" s="76"/>
      <c r="Q18" s="48"/>
      <c r="R18" s="48"/>
      <c r="S18" s="48"/>
      <c r="T18" s="65" t="s">
        <v>154</v>
      </c>
      <c r="U18" s="68">
        <f>I17-J17</f>
        <v>24.018550206325017</v>
      </c>
      <c r="V18" s="48"/>
      <c r="W18" s="65" t="s">
        <v>155</v>
      </c>
      <c r="X18" s="67">
        <f>I21</f>
        <v>162061</v>
      </c>
    </row>
    <row r="19" spans="1:24" ht="15.75">
      <c r="H19" s="37" t="s">
        <v>108</v>
      </c>
      <c r="I19" s="60">
        <f>ONSV_AUX_2018!G61</f>
        <v>12152</v>
      </c>
      <c r="J19" s="10">
        <f>I19</f>
        <v>12152</v>
      </c>
      <c r="K19" s="11"/>
      <c r="L19" s="11"/>
      <c r="M19" s="11"/>
      <c r="N19" s="28" t="s">
        <v>139</v>
      </c>
      <c r="O19" s="60">
        <f>IF(OR((O8*I6&gt;J14),((O17+O18+(O8*I6))&gt;J14)),(J14-O17-O18),(O8*I6))</f>
        <v>1012578.6900551273</v>
      </c>
      <c r="P19" s="76"/>
      <c r="Q19" s="48"/>
      <c r="R19" s="78"/>
      <c r="S19" s="48"/>
      <c r="T19" s="65" t="s">
        <v>150</v>
      </c>
      <c r="U19" s="72">
        <f>R15</f>
        <v>98665.270239902849</v>
      </c>
      <c r="V19" s="48"/>
      <c r="W19" s="48"/>
      <c r="X19" s="48"/>
    </row>
    <row r="20" spans="1:24" ht="15.75">
      <c r="H20" s="37" t="s">
        <v>109</v>
      </c>
      <c r="I20" s="60">
        <f>ONSV_AUX_2018!G62</f>
        <v>1353230</v>
      </c>
      <c r="J20" s="10">
        <f t="shared" ref="J20:J22" si="0">I20</f>
        <v>1353230</v>
      </c>
      <c r="K20" s="11"/>
      <c r="L20" s="11"/>
      <c r="M20" s="11"/>
      <c r="N20" s="28" t="s">
        <v>151</v>
      </c>
      <c r="O20" s="60">
        <f>IF((J14-O17-O19-O18)&lt;0,0,(J14-O17-O19-O18))</f>
        <v>0</v>
      </c>
      <c r="P20" s="48"/>
      <c r="Q20" s="48"/>
      <c r="R20" s="48"/>
      <c r="S20" s="48"/>
      <c r="T20" s="48"/>
      <c r="U20" s="62"/>
      <c r="V20" s="48"/>
      <c r="W20" s="48"/>
      <c r="X20" s="48"/>
    </row>
    <row r="21" spans="1:24" ht="15.75">
      <c r="H21" s="37" t="s">
        <v>110</v>
      </c>
      <c r="I21" s="60">
        <f>ONSV_AUX_2018!G63</f>
        <v>162061</v>
      </c>
      <c r="J21" s="10">
        <f t="shared" si="0"/>
        <v>162061</v>
      </c>
      <c r="K21" s="11"/>
      <c r="L21" s="11"/>
      <c r="M21" s="11"/>
      <c r="O21" s="48"/>
      <c r="P21" s="76"/>
      <c r="Q21" s="48"/>
      <c r="R21" s="48"/>
      <c r="S21" s="48"/>
      <c r="T21" s="79" t="s">
        <v>156</v>
      </c>
      <c r="U21" s="80">
        <f>(SUM(U7:U19,X7:X18)/SUM(I14:I23))-1</f>
        <v>0</v>
      </c>
      <c r="V21" s="48"/>
      <c r="W21" s="79" t="s">
        <v>10</v>
      </c>
      <c r="X21" s="67">
        <f>SUM(U7:U19,X7:X18)</f>
        <v>3029344</v>
      </c>
    </row>
    <row r="22" spans="1:24" ht="15.75">
      <c r="H22" s="37" t="s">
        <v>111</v>
      </c>
      <c r="I22" s="60">
        <f>ONSV_AUX_2018!G64</f>
        <v>17680</v>
      </c>
      <c r="J22" s="10">
        <f t="shared" si="0"/>
        <v>17680</v>
      </c>
      <c r="K22" s="11"/>
      <c r="L22" s="11"/>
      <c r="M22" s="11"/>
      <c r="O22" s="48"/>
      <c r="P22" s="76"/>
      <c r="Q22" s="48"/>
      <c r="R22" s="48"/>
      <c r="S22" s="48"/>
      <c r="T22" s="48"/>
      <c r="U22" s="48"/>
      <c r="V22" s="48"/>
      <c r="W22" s="48"/>
      <c r="X22" s="48"/>
    </row>
    <row r="23" spans="1:24" ht="15.75">
      <c r="H23" s="37" t="s">
        <v>112</v>
      </c>
      <c r="I23" s="60">
        <f>ONSV_AUX_2018!G65</f>
        <v>32185</v>
      </c>
      <c r="J23" s="61">
        <f>I23-(L12*I8)</f>
        <v>32180.915411116148</v>
      </c>
      <c r="K23" s="12"/>
      <c r="L23" s="12"/>
      <c r="M23" s="12"/>
      <c r="N23" s="12"/>
      <c r="O23" s="12"/>
      <c r="P23" s="12"/>
      <c r="Q23" s="4"/>
      <c r="R23" s="4"/>
    </row>
    <row r="25" spans="1:24" s="34" customFormat="1" ht="15.75">
      <c r="A25" s="101" t="str">
        <f>"CEÁRA/"&amp;ONSV_AUX_2017!$A$1&amp;""</f>
        <v>CEÁRA/2017</v>
      </c>
      <c r="B25" s="102"/>
      <c r="C25" s="102"/>
      <c r="D25" s="102"/>
      <c r="E25" s="102"/>
      <c r="F25" s="102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 spans="1:24" ht="15.75">
      <c r="A26" s="3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>
      <c r="A27" s="12"/>
      <c r="H27" s="23" t="s">
        <v>118</v>
      </c>
      <c r="N27" s="26"/>
      <c r="O27" s="26"/>
      <c r="P27" s="9"/>
      <c r="Q27" s="26"/>
      <c r="R27" s="26"/>
      <c r="S27" s="26"/>
      <c r="T27" s="104"/>
      <c r="U27" s="104"/>
      <c r="V27" s="104"/>
      <c r="W27" s="104"/>
      <c r="X27" s="104"/>
    </row>
    <row r="28" spans="1:24" ht="15.75">
      <c r="B28" s="5"/>
      <c r="J28" s="9"/>
      <c r="M28" s="25"/>
    </row>
    <row r="29" spans="1:24" ht="15.75">
      <c r="H29" s="36" t="s">
        <v>81</v>
      </c>
      <c r="I29" s="60">
        <f>ONSV_AUX_2017!G27</f>
        <v>62694</v>
      </c>
      <c r="J29" s="9"/>
      <c r="K29" s="104" t="s">
        <v>119</v>
      </c>
      <c r="L29" s="104"/>
      <c r="M29" s="9"/>
      <c r="N29" s="26" t="s">
        <v>120</v>
      </c>
      <c r="O29" s="26"/>
      <c r="Q29" s="26" t="s">
        <v>121</v>
      </c>
      <c r="R29" s="26"/>
      <c r="S29" s="26"/>
      <c r="T29" s="25" t="s">
        <v>122</v>
      </c>
      <c r="U29" s="25"/>
      <c r="V29" s="25"/>
      <c r="W29" s="25"/>
      <c r="X29" s="25"/>
    </row>
    <row r="30" spans="1:24" ht="15.75">
      <c r="H30" s="36" t="s">
        <v>84</v>
      </c>
      <c r="I30" s="60">
        <f>ONSV_AUX_2017!G28</f>
        <v>1109571</v>
      </c>
      <c r="J30" s="9"/>
      <c r="K30" s="9"/>
      <c r="L30" s="9"/>
      <c r="M30" s="9"/>
      <c r="N30" s="9"/>
      <c r="O30" s="9"/>
      <c r="P30" s="20"/>
      <c r="Q30" s="11"/>
      <c r="R30" s="11"/>
      <c r="S30" s="11"/>
    </row>
    <row r="31" spans="1:24" ht="15.75">
      <c r="H31" s="36" t="s">
        <v>85</v>
      </c>
      <c r="I31" s="60">
        <f>ONSV_AUX_2017!G29</f>
        <v>220866</v>
      </c>
      <c r="J31" s="9"/>
      <c r="K31" s="2" t="s">
        <v>123</v>
      </c>
      <c r="L31" s="60">
        <f>I38+I41+I42+I47</f>
        <v>1345127</v>
      </c>
      <c r="N31" s="28" t="s">
        <v>124</v>
      </c>
      <c r="O31" s="60">
        <f>J38+J47</f>
        <v>1106200.2711349931</v>
      </c>
      <c r="P31" s="64"/>
      <c r="Q31" s="65" t="s">
        <v>125</v>
      </c>
      <c r="R31" s="60">
        <f>J41+J42</f>
        <v>238840.72886500679</v>
      </c>
      <c r="S31" s="66"/>
      <c r="T31" s="65" t="s">
        <v>126</v>
      </c>
      <c r="U31" s="67">
        <f>O35</f>
        <v>28964.148073750657</v>
      </c>
      <c r="V31" s="48"/>
      <c r="W31" s="65" t="s">
        <v>127</v>
      </c>
      <c r="X31" s="68">
        <f>R37</f>
        <v>27152.922513983318</v>
      </c>
    </row>
    <row r="32" spans="1:24" ht="15.75">
      <c r="H32" s="36" t="s">
        <v>101</v>
      </c>
      <c r="I32" s="60">
        <f>ONSV_AUX_2017!G30</f>
        <v>86</v>
      </c>
      <c r="J32" s="9"/>
      <c r="K32" s="27"/>
      <c r="L32" s="62"/>
      <c r="M32" s="20"/>
      <c r="N32" s="28" t="s">
        <v>128</v>
      </c>
      <c r="O32" s="69">
        <f>J38/O31</f>
        <v>0.9738165422396502</v>
      </c>
      <c r="P32" s="64"/>
      <c r="Q32" s="70" t="s">
        <v>129</v>
      </c>
      <c r="R32" s="63">
        <f>J41/R31</f>
        <v>0.75893425327393904</v>
      </c>
      <c r="S32" s="71"/>
      <c r="T32" s="65" t="s">
        <v>130</v>
      </c>
      <c r="U32" s="67">
        <f>I47-J47</f>
        <v>1.8519262493427959</v>
      </c>
      <c r="V32" s="48"/>
      <c r="W32" s="65" t="s">
        <v>131</v>
      </c>
      <c r="X32" s="68">
        <f>I42-J42</f>
        <v>3.6813475604940322</v>
      </c>
    </row>
    <row r="33" spans="8:24" ht="15.75">
      <c r="H33" s="36" t="s">
        <v>16</v>
      </c>
      <c r="I33" s="60">
        <f>ONSV_AUX_2017!G31</f>
        <v>40752</v>
      </c>
      <c r="J33" s="9"/>
      <c r="K33" s="2" t="s">
        <v>132</v>
      </c>
      <c r="L33" s="63">
        <f>I38/L31</f>
        <v>0.80089463671460015</v>
      </c>
      <c r="M33" s="20"/>
      <c r="N33" s="28" t="s">
        <v>133</v>
      </c>
      <c r="O33" s="69">
        <f>J47/O31</f>
        <v>2.6183457760349863E-2</v>
      </c>
      <c r="P33" s="64"/>
      <c r="Q33" s="70" t="s">
        <v>134</v>
      </c>
      <c r="R33" s="63">
        <f>J42/R31</f>
        <v>0.24106574672606088</v>
      </c>
      <c r="S33" s="71"/>
      <c r="T33" s="65" t="s">
        <v>135</v>
      </c>
      <c r="U33" s="72">
        <f>O37</f>
        <v>0</v>
      </c>
      <c r="V33" s="73"/>
      <c r="W33" s="65" t="s">
        <v>136</v>
      </c>
      <c r="X33" s="72">
        <f>R40</f>
        <v>30423.396138456188</v>
      </c>
    </row>
    <row r="34" spans="8:24" ht="15.75">
      <c r="H34" s="36" t="s">
        <v>94</v>
      </c>
      <c r="I34" s="60">
        <f>ONSV_AUX_2017!G32</f>
        <v>1476608</v>
      </c>
      <c r="J34" s="10"/>
      <c r="K34" s="2" t="s">
        <v>2</v>
      </c>
      <c r="L34" s="63">
        <f>I41/L31</f>
        <v>0.13476497014780017</v>
      </c>
      <c r="M34" s="20"/>
      <c r="N34" s="20"/>
      <c r="O34" s="74"/>
      <c r="P34" s="48"/>
      <c r="Q34" s="48"/>
      <c r="R34" s="48"/>
      <c r="S34" s="48"/>
      <c r="T34" s="48"/>
      <c r="U34" s="62"/>
      <c r="V34" s="75"/>
      <c r="W34" s="48"/>
      <c r="X34" s="62"/>
    </row>
    <row r="35" spans="8:24" ht="15.75">
      <c r="K35" s="2" t="s">
        <v>3</v>
      </c>
      <c r="L35" s="63">
        <f>I42/L31</f>
        <v>4.2806366982448496E-2</v>
      </c>
      <c r="M35" s="20"/>
      <c r="N35" s="28" t="s">
        <v>137</v>
      </c>
      <c r="O35" s="60">
        <f>IF(O33*I30&gt;J47,J47,O33*I30)</f>
        <v>28964.148073750657</v>
      </c>
      <c r="P35" s="76"/>
      <c r="Q35" s="65" t="s">
        <v>138</v>
      </c>
      <c r="R35" s="60">
        <f>I31-I39-I40-I43-I46</f>
        <v>112637</v>
      </c>
      <c r="S35" s="77"/>
      <c r="T35" s="65" t="s">
        <v>139</v>
      </c>
      <c r="U35" s="67">
        <f>O43</f>
        <v>973790.12306124251</v>
      </c>
      <c r="V35" s="76"/>
      <c r="W35" s="65" t="s">
        <v>140</v>
      </c>
      <c r="X35" s="67">
        <f>I39</f>
        <v>71409</v>
      </c>
    </row>
    <row r="36" spans="8:24" ht="15.75">
      <c r="H36" s="24" t="s">
        <v>141</v>
      </c>
      <c r="K36" s="2" t="s">
        <v>0</v>
      </c>
      <c r="L36" s="63">
        <f>I47/L31</f>
        <v>2.153402615515115E-2</v>
      </c>
      <c r="O36" s="48"/>
      <c r="P36" s="76"/>
      <c r="Q36" s="65" t="s">
        <v>142</v>
      </c>
      <c r="R36" s="60">
        <f>R32*R35</f>
        <v>85484.077486016671</v>
      </c>
      <c r="S36" s="48"/>
      <c r="T36" s="65" t="s">
        <v>143</v>
      </c>
      <c r="U36" s="67">
        <f>O41</f>
        <v>62694</v>
      </c>
      <c r="V36" s="66"/>
      <c r="W36" s="65" t="s">
        <v>144</v>
      </c>
      <c r="X36" s="67">
        <f>I40</f>
        <v>8077</v>
      </c>
    </row>
    <row r="37" spans="8:24" ht="15.75">
      <c r="K37" s="11"/>
      <c r="L37" s="11"/>
      <c r="M37" s="11"/>
      <c r="N37" s="28" t="s">
        <v>145</v>
      </c>
      <c r="O37" s="60">
        <f>J47-O35</f>
        <v>0</v>
      </c>
      <c r="P37" s="76"/>
      <c r="Q37" s="65" t="s">
        <v>127</v>
      </c>
      <c r="R37" s="60">
        <f>R33*R35</f>
        <v>27152.922513983318</v>
      </c>
      <c r="S37" s="48"/>
      <c r="T37" s="65" t="s">
        <v>146</v>
      </c>
      <c r="U37" s="67">
        <f>O42</f>
        <v>40752</v>
      </c>
      <c r="V37" s="71"/>
      <c r="W37" s="48"/>
      <c r="X37" s="62"/>
    </row>
    <row r="38" spans="8:24" ht="15.75">
      <c r="H38" s="37" t="s">
        <v>103</v>
      </c>
      <c r="I38" s="60">
        <f>ONSV_AUX_2017!G56</f>
        <v>1077305</v>
      </c>
      <c r="J38" s="61">
        <f>I38-(L33*I32)</f>
        <v>1077236.1230612425</v>
      </c>
      <c r="K38" s="11"/>
      <c r="L38" s="11"/>
      <c r="M38" s="11"/>
      <c r="O38" s="76"/>
      <c r="P38" s="76"/>
      <c r="Q38" s="48"/>
      <c r="R38" s="78"/>
      <c r="S38" s="48"/>
      <c r="T38" s="65" t="s">
        <v>147</v>
      </c>
      <c r="U38" s="68">
        <f>I38-J38</f>
        <v>68.876938757486641</v>
      </c>
      <c r="V38" s="71"/>
      <c r="W38" s="65" t="s">
        <v>148</v>
      </c>
      <c r="X38" s="67">
        <f>I46</f>
        <v>16971</v>
      </c>
    </row>
    <row r="39" spans="8:24" ht="15.75">
      <c r="H39" s="37" t="s">
        <v>104</v>
      </c>
      <c r="I39" s="60">
        <f>ONSV_AUX_2017!G57</f>
        <v>71409</v>
      </c>
      <c r="J39" s="10">
        <f>I39</f>
        <v>71409</v>
      </c>
      <c r="K39" s="11"/>
      <c r="L39" s="11"/>
      <c r="M39" s="11"/>
      <c r="N39" s="26" t="s">
        <v>149</v>
      </c>
      <c r="O39" s="76"/>
      <c r="P39" s="76"/>
      <c r="Q39" s="65" t="s">
        <v>150</v>
      </c>
      <c r="R39" s="60">
        <f>J41-R36</f>
        <v>95780.332726550609</v>
      </c>
      <c r="S39" s="48"/>
      <c r="T39" s="65" t="s">
        <v>151</v>
      </c>
      <c r="U39" s="72">
        <f>O44</f>
        <v>0</v>
      </c>
      <c r="V39" s="48"/>
      <c r="W39" s="65" t="s">
        <v>152</v>
      </c>
      <c r="X39" s="67">
        <f>I43</f>
        <v>11772</v>
      </c>
    </row>
    <row r="40" spans="8:24" ht="15.75">
      <c r="H40" s="37" t="s">
        <v>105</v>
      </c>
      <c r="I40" s="60">
        <f>ONSV_AUX_2017!G58</f>
        <v>8077</v>
      </c>
      <c r="J40" s="10">
        <f>I40</f>
        <v>8077</v>
      </c>
      <c r="K40" s="11"/>
      <c r="L40" s="11"/>
      <c r="M40" s="11"/>
      <c r="O40" s="73"/>
      <c r="P40" s="76"/>
      <c r="Q40" s="65" t="s">
        <v>136</v>
      </c>
      <c r="R40" s="60">
        <f>J42-R37</f>
        <v>30423.396138456188</v>
      </c>
      <c r="S40" s="48"/>
      <c r="T40" s="48"/>
      <c r="U40" s="62"/>
      <c r="V40" s="77"/>
      <c r="W40" s="48"/>
      <c r="X40" s="62"/>
    </row>
    <row r="41" spans="8:24" ht="15.75">
      <c r="H41" s="37" t="s">
        <v>106</v>
      </c>
      <c r="I41" s="60">
        <f>ONSV_AUX_2017!G59</f>
        <v>181276</v>
      </c>
      <c r="J41" s="61">
        <f>I41-(L34*I32)</f>
        <v>181264.41021256728</v>
      </c>
      <c r="K41" s="11"/>
      <c r="L41" s="11"/>
      <c r="M41" s="11"/>
      <c r="N41" s="28" t="s">
        <v>143</v>
      </c>
      <c r="O41" s="60">
        <f>I29</f>
        <v>62694</v>
      </c>
      <c r="P41" s="76"/>
      <c r="Q41" s="48"/>
      <c r="R41" s="48"/>
      <c r="S41" s="77"/>
      <c r="T41" s="65" t="s">
        <v>142</v>
      </c>
      <c r="U41" s="68">
        <f>R36</f>
        <v>85484.077486016671</v>
      </c>
      <c r="V41" s="48"/>
      <c r="W41" s="65" t="s">
        <v>153</v>
      </c>
      <c r="X41" s="67">
        <f>I44</f>
        <v>1306125</v>
      </c>
    </row>
    <row r="42" spans="8:24" ht="15.75">
      <c r="H42" s="37" t="s">
        <v>107</v>
      </c>
      <c r="I42" s="60">
        <f>ONSV_AUX_2017!G60</f>
        <v>57580</v>
      </c>
      <c r="J42" s="61">
        <f>I42-(L35*I32)</f>
        <v>57576.318652439506</v>
      </c>
      <c r="K42" s="11"/>
      <c r="L42" s="11"/>
      <c r="M42" s="11"/>
      <c r="N42" s="28" t="s">
        <v>146</v>
      </c>
      <c r="O42" s="60">
        <f>I33</f>
        <v>40752</v>
      </c>
      <c r="P42" s="76"/>
      <c r="Q42" s="48"/>
      <c r="R42" s="48"/>
      <c r="S42" s="48"/>
      <c r="T42" s="65" t="s">
        <v>154</v>
      </c>
      <c r="U42" s="68">
        <f>I41-J41</f>
        <v>11.589787432720186</v>
      </c>
      <c r="V42" s="48"/>
      <c r="W42" s="65" t="s">
        <v>155</v>
      </c>
      <c r="X42" s="67">
        <f>I45</f>
        <v>154473</v>
      </c>
    </row>
    <row r="43" spans="8:24" ht="15.75">
      <c r="H43" s="37" t="s">
        <v>108</v>
      </c>
      <c r="I43" s="60">
        <f>ONSV_AUX_2017!G61</f>
        <v>11772</v>
      </c>
      <c r="J43" s="10">
        <f>I43</f>
        <v>11772</v>
      </c>
      <c r="K43" s="11"/>
      <c r="L43" s="11"/>
      <c r="M43" s="11"/>
      <c r="N43" s="28" t="s">
        <v>139</v>
      </c>
      <c r="O43" s="60">
        <f>IF(OR((O32*I30&gt;J38),((O41+O42+(O32*I30))&gt;J38)),(J38-O41-O42),(O32*I30))</f>
        <v>973790.12306124251</v>
      </c>
      <c r="P43" s="76"/>
      <c r="Q43" s="48"/>
      <c r="R43" s="78"/>
      <c r="S43" s="48"/>
      <c r="T43" s="65" t="s">
        <v>150</v>
      </c>
      <c r="U43" s="72">
        <f>R39</f>
        <v>95780.332726550609</v>
      </c>
      <c r="V43" s="48"/>
      <c r="W43" s="48"/>
      <c r="X43" s="48"/>
    </row>
    <row r="44" spans="8:24" ht="15.75">
      <c r="H44" s="37" t="s">
        <v>109</v>
      </c>
      <c r="I44" s="60">
        <f>ONSV_AUX_2017!G62</f>
        <v>1306125</v>
      </c>
      <c r="J44" s="10">
        <f>I44</f>
        <v>1306125</v>
      </c>
      <c r="K44" s="11"/>
      <c r="L44" s="11"/>
      <c r="M44" s="11"/>
      <c r="N44" s="28" t="s">
        <v>151</v>
      </c>
      <c r="O44" s="60">
        <f>IF((J38-O41-O43-O42)&lt;0,0,(J38-O41-O43-O42))</f>
        <v>0</v>
      </c>
      <c r="P44" s="48"/>
      <c r="Q44" s="48"/>
      <c r="R44" s="48"/>
      <c r="S44" s="48"/>
      <c r="T44" s="48"/>
      <c r="U44" s="62"/>
      <c r="V44" s="48"/>
      <c r="W44" s="48"/>
      <c r="X44" s="48"/>
    </row>
    <row r="45" spans="8:24" ht="15.75">
      <c r="H45" s="37" t="s">
        <v>110</v>
      </c>
      <c r="I45" s="60">
        <f>ONSV_AUX_2017!G63</f>
        <v>154473</v>
      </c>
      <c r="J45" s="10">
        <f>I45</f>
        <v>154473</v>
      </c>
      <c r="K45" s="11"/>
      <c r="L45" s="11"/>
      <c r="M45" s="11"/>
      <c r="O45" s="48"/>
      <c r="P45" s="76"/>
      <c r="Q45" s="48"/>
      <c r="R45" s="48"/>
      <c r="S45" s="48"/>
      <c r="T45" s="79" t="s">
        <v>156</v>
      </c>
      <c r="U45" s="80">
        <f>(SUM(U31:U43,X31:X42)/SUM(I38:I47))-1</f>
        <v>0</v>
      </c>
      <c r="V45" s="48"/>
      <c r="W45" s="79" t="s">
        <v>10</v>
      </c>
      <c r="X45" s="67">
        <f>SUM(U31:U43,X31:X42)</f>
        <v>2913954</v>
      </c>
    </row>
    <row r="46" spans="8:24" ht="15.75">
      <c r="H46" s="37" t="s">
        <v>111</v>
      </c>
      <c r="I46" s="60">
        <f>ONSV_AUX_2017!G64</f>
        <v>16971</v>
      </c>
      <c r="J46" s="10">
        <f>I46</f>
        <v>16971</v>
      </c>
      <c r="K46" s="11"/>
      <c r="L46" s="11"/>
      <c r="M46" s="11"/>
      <c r="O46" s="48"/>
      <c r="P46" s="76"/>
      <c r="Q46" s="48"/>
      <c r="R46" s="48"/>
      <c r="S46" s="48"/>
      <c r="T46" s="48"/>
      <c r="U46" s="48"/>
      <c r="V46" s="48"/>
      <c r="W46" s="48"/>
      <c r="X46" s="48"/>
    </row>
    <row r="47" spans="8:24" ht="15.75">
      <c r="H47" s="37" t="s">
        <v>112</v>
      </c>
      <c r="I47" s="60">
        <f>ONSV_AUX_2017!G65</f>
        <v>28966</v>
      </c>
      <c r="J47" s="61">
        <f>I47-(L36*I32)</f>
        <v>28964.148073750657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39"/>
      <c r="I48" s="40"/>
      <c r="J48" s="40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4" customFormat="1" ht="15.75">
      <c r="A50" s="101" t="str">
        <f>"CEÁRA/"&amp;ONSV_AUX_2016!$A$1&amp;""</f>
        <v>CEÁRA/2016</v>
      </c>
      <c r="B50" s="102"/>
      <c r="C50" s="102"/>
      <c r="D50" s="102"/>
      <c r="E50" s="102"/>
      <c r="F50" s="102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</row>
    <row r="52" spans="1:24" ht="15.75">
      <c r="H52" s="23" t="s">
        <v>118</v>
      </c>
      <c r="N52" s="26"/>
      <c r="O52" s="26"/>
      <c r="P52" s="9"/>
      <c r="Q52" s="26"/>
      <c r="R52" s="26"/>
      <c r="S52" s="26"/>
      <c r="T52" s="104"/>
      <c r="U52" s="104"/>
      <c r="V52" s="104"/>
      <c r="W52" s="104"/>
      <c r="X52" s="104"/>
    </row>
    <row r="53" spans="1:24" ht="15.75">
      <c r="J53" s="9"/>
      <c r="M53" s="25"/>
      <c r="N53" s="9"/>
      <c r="O53" s="9"/>
      <c r="P53" s="9"/>
      <c r="Q53" s="11"/>
      <c r="R53" s="11"/>
      <c r="S53" s="11"/>
    </row>
    <row r="54" spans="1:24" ht="15.75">
      <c r="H54" s="36" t="s">
        <v>81</v>
      </c>
      <c r="I54" s="60">
        <f>ONSV_AUX_2016!G27</f>
        <v>62709</v>
      </c>
      <c r="J54" s="9"/>
      <c r="K54" s="104" t="s">
        <v>119</v>
      </c>
      <c r="L54" s="104"/>
      <c r="M54" s="9"/>
      <c r="N54" s="26" t="s">
        <v>120</v>
      </c>
      <c r="O54" s="26"/>
      <c r="Q54" s="26" t="s">
        <v>121</v>
      </c>
      <c r="R54" s="26"/>
      <c r="S54" s="26"/>
      <c r="T54" s="25" t="s">
        <v>122</v>
      </c>
      <c r="U54" s="25"/>
      <c r="V54" s="25"/>
      <c r="W54" s="25"/>
      <c r="X54" s="25"/>
    </row>
    <row r="55" spans="1:24" ht="15.75">
      <c r="H55" s="36" t="s">
        <v>84</v>
      </c>
      <c r="I55" s="60">
        <f>ONSV_AUX_2016!G28</f>
        <v>1033278</v>
      </c>
      <c r="J55" s="9"/>
      <c r="K55" s="9"/>
      <c r="L55" s="9"/>
      <c r="M55" s="9"/>
      <c r="N55" s="9"/>
      <c r="O55" s="9"/>
      <c r="P55" s="20"/>
      <c r="Q55" s="11"/>
      <c r="R55" s="11"/>
      <c r="S55" s="11"/>
    </row>
    <row r="56" spans="1:24" ht="15.75">
      <c r="H56" s="36" t="s">
        <v>85</v>
      </c>
      <c r="I56" s="60">
        <f>ONSV_AUX_2016!G29</f>
        <v>212474</v>
      </c>
      <c r="J56" s="9"/>
      <c r="K56" s="2" t="s">
        <v>123</v>
      </c>
      <c r="L56" s="60">
        <f>I63+I66+I67+I72</f>
        <v>1292245</v>
      </c>
      <c r="N56" s="28" t="s">
        <v>124</v>
      </c>
      <c r="O56" s="60">
        <f>J63+J72</f>
        <v>1062808.8109027313</v>
      </c>
      <c r="P56" s="64"/>
      <c r="Q56" s="65" t="s">
        <v>125</v>
      </c>
      <c r="R56" s="60">
        <f>J66+J67</f>
        <v>229392.18909726871</v>
      </c>
      <c r="S56" s="66"/>
      <c r="T56" s="65" t="s">
        <v>126</v>
      </c>
      <c r="U56" s="67">
        <f>O60</f>
        <v>25867.79918426487</v>
      </c>
      <c r="V56" s="48"/>
      <c r="W56" s="65" t="s">
        <v>127</v>
      </c>
      <c r="X56" s="68">
        <f>R62</f>
        <v>26022.014856146467</v>
      </c>
    </row>
    <row r="57" spans="1:24" ht="15.75">
      <c r="H57" s="36" t="s">
        <v>101</v>
      </c>
      <c r="I57" s="60">
        <f>ONSV_AUX_2016!G30</f>
        <v>44</v>
      </c>
      <c r="J57" s="9"/>
      <c r="K57" s="27"/>
      <c r="L57" s="62"/>
      <c r="M57" s="20"/>
      <c r="N57" s="28" t="s">
        <v>128</v>
      </c>
      <c r="O57" s="69">
        <f>J63/O56</f>
        <v>0.97496530538319326</v>
      </c>
      <c r="P57" s="64"/>
      <c r="Q57" s="70" t="s">
        <v>129</v>
      </c>
      <c r="R57" s="63">
        <f>J66/R56</f>
        <v>0.75825632083696604</v>
      </c>
      <c r="S57" s="71"/>
      <c r="T57" s="65" t="s">
        <v>130</v>
      </c>
      <c r="U57" s="67">
        <f>I72-J72</f>
        <v>0.90598299858174869</v>
      </c>
      <c r="V57" s="48"/>
      <c r="W57" s="65" t="s">
        <v>131</v>
      </c>
      <c r="X57" s="68">
        <f>I67-J67</f>
        <v>1.8882363638476818</v>
      </c>
    </row>
    <row r="58" spans="1:24" ht="15.75">
      <c r="H58" s="36" t="s">
        <v>16</v>
      </c>
      <c r="I58" s="60">
        <f>ONSV_AUX_2016!G31</f>
        <v>38592</v>
      </c>
      <c r="J58" s="9"/>
      <c r="K58" s="2" t="s">
        <v>132</v>
      </c>
      <c r="L58" s="63">
        <f>I63/L56</f>
        <v>0.80188896068469984</v>
      </c>
      <c r="M58" s="20"/>
      <c r="N58" s="28" t="s">
        <v>133</v>
      </c>
      <c r="O58" s="69">
        <f>J72/O56</f>
        <v>2.5034694616806775E-2</v>
      </c>
      <c r="P58" s="64"/>
      <c r="Q58" s="70" t="s">
        <v>134</v>
      </c>
      <c r="R58" s="63">
        <f>J67/R56</f>
        <v>0.24174367916303399</v>
      </c>
      <c r="S58" s="71"/>
      <c r="T58" s="65" t="s">
        <v>135</v>
      </c>
      <c r="U58" s="72">
        <f>O62</f>
        <v>739.29483273654841</v>
      </c>
      <c r="V58" s="73"/>
      <c r="W58" s="65" t="s">
        <v>136</v>
      </c>
      <c r="X58" s="72">
        <f>R65</f>
        <v>29432.096907489686</v>
      </c>
    </row>
    <row r="59" spans="1:24" ht="15.75">
      <c r="H59" s="36" t="s">
        <v>94</v>
      </c>
      <c r="I59" s="60">
        <f>ONSV_AUX_2016!G32</f>
        <v>1443271</v>
      </c>
      <c r="J59" s="10"/>
      <c r="K59" s="2" t="s">
        <v>2</v>
      </c>
      <c r="L59" s="63">
        <f>I66/L56</f>
        <v>0.13460605380558641</v>
      </c>
      <c r="M59" s="20"/>
      <c r="N59" s="20"/>
      <c r="O59" s="74"/>
      <c r="P59" s="48"/>
      <c r="Q59" s="48"/>
      <c r="R59" s="48"/>
      <c r="S59" s="48"/>
      <c r="T59" s="48"/>
      <c r="U59" s="62"/>
      <c r="V59" s="75"/>
      <c r="W59" s="48"/>
      <c r="X59" s="62"/>
    </row>
    <row r="60" spans="1:24" ht="15.75">
      <c r="K60" s="2" t="s">
        <v>3</v>
      </c>
      <c r="L60" s="63">
        <f>I67/L56</f>
        <v>4.2914462814713929E-2</v>
      </c>
      <c r="M60" s="20"/>
      <c r="N60" s="28" t="s">
        <v>137</v>
      </c>
      <c r="O60" s="60">
        <f>IF(O58*I55&gt;J72,J72,O58*I55)</f>
        <v>25867.79918426487</v>
      </c>
      <c r="P60" s="76"/>
      <c r="Q60" s="65" t="s">
        <v>138</v>
      </c>
      <c r="R60" s="60">
        <f>I56-I64-I65-I68-I71</f>
        <v>107643</v>
      </c>
      <c r="S60" s="77"/>
      <c r="T60" s="65" t="s">
        <v>139</v>
      </c>
      <c r="U60" s="67">
        <f>O68</f>
        <v>934900.71688572993</v>
      </c>
      <c r="V60" s="76"/>
      <c r="W60" s="65" t="s">
        <v>140</v>
      </c>
      <c r="X60" s="67">
        <f>I64</f>
        <v>69434</v>
      </c>
    </row>
    <row r="61" spans="1:24" ht="15.75">
      <c r="H61" s="24" t="s">
        <v>141</v>
      </c>
      <c r="K61" s="2" t="s">
        <v>0</v>
      </c>
      <c r="L61" s="63">
        <f>I72/L56</f>
        <v>2.0590522694999787E-2</v>
      </c>
      <c r="O61" s="48"/>
      <c r="P61" s="76"/>
      <c r="Q61" s="65" t="s">
        <v>142</v>
      </c>
      <c r="R61" s="60">
        <f>R57*R60</f>
        <v>81620.985143853541</v>
      </c>
      <c r="S61" s="48"/>
      <c r="T61" s="65" t="s">
        <v>143</v>
      </c>
      <c r="U61" s="67">
        <f>O66</f>
        <v>62709</v>
      </c>
      <c r="V61" s="66"/>
      <c r="W61" s="65" t="s">
        <v>144</v>
      </c>
      <c r="X61" s="67">
        <f>I65</f>
        <v>7767</v>
      </c>
    </row>
    <row r="62" spans="1:24" ht="15.75">
      <c r="K62" s="11"/>
      <c r="L62" s="11"/>
      <c r="M62" s="11"/>
      <c r="N62" s="28" t="s">
        <v>145</v>
      </c>
      <c r="O62" s="60">
        <f>J72-O60</f>
        <v>739.29483273654841</v>
      </c>
      <c r="P62" s="76"/>
      <c r="Q62" s="65" t="s">
        <v>127</v>
      </c>
      <c r="R62" s="60">
        <f>R58*R60</f>
        <v>26022.014856146467</v>
      </c>
      <c r="S62" s="48"/>
      <c r="T62" s="65" t="s">
        <v>146</v>
      </c>
      <c r="U62" s="67">
        <f>O67</f>
        <v>38592</v>
      </c>
      <c r="V62" s="71"/>
      <c r="W62" s="48"/>
      <c r="X62" s="62"/>
    </row>
    <row r="63" spans="1:24" ht="15.75">
      <c r="H63" s="37" t="s">
        <v>103</v>
      </c>
      <c r="I63" s="60">
        <f>ONSV_AUX_2016!G56</f>
        <v>1036237</v>
      </c>
      <c r="J63" s="61">
        <f>I63-(L58*I57)</f>
        <v>1036201.7168857299</v>
      </c>
      <c r="K63" s="11"/>
      <c r="L63" s="11"/>
      <c r="M63" s="11"/>
      <c r="O63" s="76"/>
      <c r="P63" s="76"/>
      <c r="Q63" s="48"/>
      <c r="R63" s="78"/>
      <c r="S63" s="48"/>
      <c r="T63" s="65" t="s">
        <v>147</v>
      </c>
      <c r="U63" s="68">
        <f>I63-J63</f>
        <v>35.283114270074293</v>
      </c>
      <c r="V63" s="71"/>
      <c r="W63" s="65" t="s">
        <v>148</v>
      </c>
      <c r="X63" s="67">
        <f>I71</f>
        <v>16326</v>
      </c>
    </row>
    <row r="64" spans="1:24" ht="15.75">
      <c r="H64" s="37" t="s">
        <v>104</v>
      </c>
      <c r="I64" s="60">
        <f>ONSV_AUX_2016!G57</f>
        <v>69434</v>
      </c>
      <c r="J64" s="10">
        <f>I64</f>
        <v>69434</v>
      </c>
      <c r="K64" s="11"/>
      <c r="L64" s="11"/>
      <c r="M64" s="11"/>
      <c r="N64" s="26" t="s">
        <v>149</v>
      </c>
      <c r="O64" s="76"/>
      <c r="P64" s="76"/>
      <c r="Q64" s="65" t="s">
        <v>150</v>
      </c>
      <c r="R64" s="60">
        <f>J66-R61</f>
        <v>92317.092189779025</v>
      </c>
      <c r="S64" s="48"/>
      <c r="T64" s="65" t="s">
        <v>151</v>
      </c>
      <c r="U64" s="72">
        <f>O69</f>
        <v>0</v>
      </c>
      <c r="V64" s="48"/>
      <c r="W64" s="65" t="s">
        <v>152</v>
      </c>
      <c r="X64" s="67">
        <f>I68</f>
        <v>11304</v>
      </c>
    </row>
    <row r="65" spans="1:24" ht="15.75">
      <c r="H65" s="37" t="s">
        <v>105</v>
      </c>
      <c r="I65" s="60">
        <f>ONSV_AUX_2016!G58</f>
        <v>7767</v>
      </c>
      <c r="J65" s="10">
        <f>I65</f>
        <v>7767</v>
      </c>
      <c r="K65" s="11"/>
      <c r="L65" s="11"/>
      <c r="M65" s="11"/>
      <c r="O65" s="73"/>
      <c r="P65" s="76"/>
      <c r="Q65" s="65" t="s">
        <v>136</v>
      </c>
      <c r="R65" s="60">
        <f>J67-R62</f>
        <v>29432.096907489686</v>
      </c>
      <c r="S65" s="48"/>
      <c r="T65" s="48"/>
      <c r="U65" s="62"/>
      <c r="V65" s="77"/>
      <c r="W65" s="48"/>
      <c r="X65" s="62"/>
    </row>
    <row r="66" spans="1:24" ht="15.75">
      <c r="H66" s="37" t="s">
        <v>106</v>
      </c>
      <c r="I66" s="60">
        <f>ONSV_AUX_2016!G59</f>
        <v>173944</v>
      </c>
      <c r="J66" s="61">
        <f>I66-(L59*I57)</f>
        <v>173938.07733363257</v>
      </c>
      <c r="K66" s="11"/>
      <c r="L66" s="11"/>
      <c r="M66" s="11"/>
      <c r="N66" s="28" t="s">
        <v>143</v>
      </c>
      <c r="O66" s="60">
        <f>I54</f>
        <v>62709</v>
      </c>
      <c r="P66" s="76"/>
      <c r="Q66" s="48"/>
      <c r="R66" s="48"/>
      <c r="S66" s="77"/>
      <c r="T66" s="65" t="s">
        <v>142</v>
      </c>
      <c r="U66" s="68">
        <f>R61</f>
        <v>81620.985143853541</v>
      </c>
      <c r="V66" s="48"/>
      <c r="W66" s="65" t="s">
        <v>153</v>
      </c>
      <c r="X66" s="67">
        <f>I69</f>
        <v>1253683</v>
      </c>
    </row>
    <row r="67" spans="1:24" ht="15.75">
      <c r="H67" s="37" t="s">
        <v>107</v>
      </c>
      <c r="I67" s="60">
        <f>ONSV_AUX_2016!G60</f>
        <v>55456</v>
      </c>
      <c r="J67" s="61">
        <f>I67-(L60*I57)</f>
        <v>55454.111763636152</v>
      </c>
      <c r="K67" s="11"/>
      <c r="L67" s="11"/>
      <c r="M67" s="11"/>
      <c r="N67" s="28" t="s">
        <v>146</v>
      </c>
      <c r="O67" s="60">
        <f>I58</f>
        <v>38592</v>
      </c>
      <c r="P67" s="76"/>
      <c r="Q67" s="48"/>
      <c r="R67" s="48"/>
      <c r="S67" s="48"/>
      <c r="T67" s="65" t="s">
        <v>154</v>
      </c>
      <c r="U67" s="68">
        <f>I66-J66</f>
        <v>5.9226663674344309</v>
      </c>
      <c r="V67" s="48"/>
      <c r="W67" s="65" t="s">
        <v>155</v>
      </c>
      <c r="X67" s="67">
        <f>I70</f>
        <v>146679</v>
      </c>
    </row>
    <row r="68" spans="1:24" ht="15.75">
      <c r="H68" s="37" t="s">
        <v>108</v>
      </c>
      <c r="I68" s="60">
        <f>ONSV_AUX_2016!G61</f>
        <v>11304</v>
      </c>
      <c r="J68" s="10">
        <f>I68</f>
        <v>11304</v>
      </c>
      <c r="K68" s="11"/>
      <c r="L68" s="11"/>
      <c r="M68" s="11"/>
      <c r="N68" s="28" t="s">
        <v>139</v>
      </c>
      <c r="O68" s="60">
        <f>IF(OR((O57*I55&gt;J63),((O66+O67+(O57*I55))&gt;J63)),(J63-O66-O67),(O57*I55))</f>
        <v>934900.71688572993</v>
      </c>
      <c r="P68" s="76"/>
      <c r="Q68" s="48"/>
      <c r="R68" s="78"/>
      <c r="S68" s="48"/>
      <c r="T68" s="65" t="s">
        <v>150</v>
      </c>
      <c r="U68" s="72">
        <f>R64</f>
        <v>92317.092189779025</v>
      </c>
      <c r="V68" s="48"/>
      <c r="W68" s="48"/>
      <c r="X68" s="48"/>
    </row>
    <row r="69" spans="1:24" ht="15.75">
      <c r="H69" s="37" t="s">
        <v>109</v>
      </c>
      <c r="I69" s="60">
        <f>ONSV_AUX_2016!G62</f>
        <v>1253683</v>
      </c>
      <c r="J69" s="10">
        <f>I69</f>
        <v>1253683</v>
      </c>
      <c r="K69" s="11"/>
      <c r="L69" s="11"/>
      <c r="M69" s="11"/>
      <c r="N69" s="28" t="s">
        <v>151</v>
      </c>
      <c r="O69" s="60">
        <f>IF((J63-O66-O68-O67)&lt;0,0,(J63-O66-O68-O67))</f>
        <v>0</v>
      </c>
      <c r="P69" s="48"/>
      <c r="Q69" s="48"/>
      <c r="R69" s="48"/>
      <c r="S69" s="48"/>
      <c r="T69" s="48"/>
      <c r="U69" s="62"/>
      <c r="V69" s="48"/>
      <c r="W69" s="48"/>
      <c r="X69" s="48"/>
    </row>
    <row r="70" spans="1:24" ht="15.75">
      <c r="H70" s="37" t="s">
        <v>110</v>
      </c>
      <c r="I70" s="60">
        <f>ONSV_AUX_2016!G63</f>
        <v>146679</v>
      </c>
      <c r="J70" s="10">
        <f>I70</f>
        <v>146679</v>
      </c>
      <c r="K70" s="11"/>
      <c r="L70" s="11"/>
      <c r="M70" s="11"/>
      <c r="O70" s="48"/>
      <c r="P70" s="76"/>
      <c r="Q70" s="48"/>
      <c r="R70" s="48"/>
      <c r="S70" s="48"/>
      <c r="T70" s="79" t="s">
        <v>156</v>
      </c>
      <c r="U70" s="80">
        <f>(SUM(U56:U68,X56:X67)/SUM(I63:I72))-1</f>
        <v>0</v>
      </c>
      <c r="V70" s="48"/>
      <c r="W70" s="79" t="s">
        <v>10</v>
      </c>
      <c r="X70" s="67">
        <f>SUM(U56:U68,X56:X67)</f>
        <v>2797438</v>
      </c>
    </row>
    <row r="71" spans="1:24" ht="15.75">
      <c r="H71" s="37" t="s">
        <v>111</v>
      </c>
      <c r="I71" s="60">
        <f>ONSV_AUX_2016!G64</f>
        <v>16326</v>
      </c>
      <c r="J71" s="10">
        <f>I71</f>
        <v>16326</v>
      </c>
      <c r="K71" s="11"/>
      <c r="L71" s="11"/>
      <c r="M71" s="11"/>
      <c r="O71" s="48"/>
      <c r="P71" s="76"/>
      <c r="Q71" s="48"/>
      <c r="R71" s="48"/>
      <c r="S71" s="48"/>
      <c r="T71" s="48"/>
      <c r="U71" s="48"/>
      <c r="V71" s="48"/>
      <c r="W71" s="48"/>
      <c r="X71" s="48"/>
    </row>
    <row r="72" spans="1:24" ht="15.75">
      <c r="H72" s="37" t="s">
        <v>112</v>
      </c>
      <c r="I72" s="60">
        <f>ONSV_AUX_2016!G65</f>
        <v>26608</v>
      </c>
      <c r="J72" s="61">
        <f>I72-(L61*I57)</f>
        <v>26607.094017001418</v>
      </c>
      <c r="K72" s="12"/>
      <c r="L72" s="12"/>
      <c r="M72" s="12"/>
      <c r="N72" s="12"/>
      <c r="O72" s="12"/>
      <c r="P72" s="12"/>
      <c r="Q72" s="4"/>
      <c r="R72" s="4"/>
    </row>
    <row r="75" spans="1:24" s="34" customFormat="1" ht="15.75">
      <c r="A75" s="101" t="str">
        <f>"CEÁRA/"&amp;ONSV_AUX_2015!$A$1&amp;""</f>
        <v>CEÁRA/2015</v>
      </c>
      <c r="B75" s="102"/>
      <c r="C75" s="102"/>
      <c r="D75" s="102"/>
      <c r="E75" s="102"/>
      <c r="F75" s="102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 spans="1:24"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>
      <c r="H77" s="23" t="s">
        <v>118</v>
      </c>
      <c r="P77" s="9"/>
    </row>
    <row r="78" spans="1:24" ht="15.75">
      <c r="J78" s="9"/>
      <c r="M78" s="25"/>
      <c r="P78" s="9"/>
    </row>
    <row r="79" spans="1:24" ht="15.75">
      <c r="H79" s="36" t="s">
        <v>81</v>
      </c>
      <c r="I79" s="60">
        <f>ONSV_AUX_2015!G27</f>
        <v>62673</v>
      </c>
      <c r="J79" s="9"/>
      <c r="K79" s="104" t="s">
        <v>119</v>
      </c>
      <c r="L79" s="104"/>
      <c r="M79" s="9"/>
      <c r="N79" s="26" t="s">
        <v>120</v>
      </c>
      <c r="O79" s="26"/>
      <c r="Q79" s="26" t="s">
        <v>121</v>
      </c>
      <c r="R79" s="26"/>
      <c r="S79" s="26"/>
      <c r="T79" s="25" t="s">
        <v>122</v>
      </c>
      <c r="U79" s="25"/>
      <c r="V79" s="25"/>
      <c r="W79" s="25"/>
      <c r="X79" s="25"/>
    </row>
    <row r="80" spans="1:24" ht="15.75">
      <c r="H80" s="36" t="s">
        <v>84</v>
      </c>
      <c r="I80" s="60">
        <f>ONSV_AUX_2015!G28</f>
        <v>920899</v>
      </c>
      <c r="J80" s="9"/>
      <c r="K80" s="9"/>
      <c r="L80" s="9"/>
      <c r="M80" s="9"/>
      <c r="N80" s="9"/>
      <c r="O80" s="9"/>
      <c r="P80" s="20"/>
      <c r="Q80" s="11"/>
      <c r="R80" s="11"/>
      <c r="S80" s="11"/>
    </row>
    <row r="81" spans="8:24" ht="15.75">
      <c r="H81" s="36" t="s">
        <v>85</v>
      </c>
      <c r="I81" s="60">
        <f>ONSV_AUX_2015!G29</f>
        <v>202620</v>
      </c>
      <c r="J81" s="9"/>
      <c r="K81" s="2" t="s">
        <v>123</v>
      </c>
      <c r="L81" s="60">
        <f>I88+I91+I92+I97</f>
        <v>1226326</v>
      </c>
      <c r="N81" s="28" t="s">
        <v>124</v>
      </c>
      <c r="O81" s="60">
        <f>J88+J97</f>
        <v>1008989.2020865578</v>
      </c>
      <c r="P81" s="64"/>
      <c r="Q81" s="65" t="s">
        <v>125</v>
      </c>
      <c r="R81" s="60">
        <f>J91+J92</f>
        <v>217301.79791344225</v>
      </c>
      <c r="S81" s="66"/>
      <c r="T81" s="65" t="s">
        <v>126</v>
      </c>
      <c r="U81" s="67">
        <f>O85</f>
        <v>21998.96284902747</v>
      </c>
      <c r="V81" s="48"/>
      <c r="W81" s="65" t="s">
        <v>127</v>
      </c>
      <c r="X81" s="68">
        <f>R87</f>
        <v>24800.865867800545</v>
      </c>
    </row>
    <row r="82" spans="8:24" ht="15.75">
      <c r="H82" s="36" t="s">
        <v>101</v>
      </c>
      <c r="I82" s="60">
        <f>ONSV_AUX_2015!G30</f>
        <v>35</v>
      </c>
      <c r="J82" s="9"/>
      <c r="K82" s="27"/>
      <c r="L82" s="62"/>
      <c r="M82" s="20"/>
      <c r="N82" s="28" t="s">
        <v>128</v>
      </c>
      <c r="O82" s="69">
        <f>J88/O81</f>
        <v>0.97611142714996169</v>
      </c>
      <c r="P82" s="64"/>
      <c r="Q82" s="70" t="s">
        <v>129</v>
      </c>
      <c r="R82" s="63">
        <f>J91/R81</f>
        <v>0.75791043127726554</v>
      </c>
      <c r="S82" s="71"/>
      <c r="T82" s="65" t="s">
        <v>130</v>
      </c>
      <c r="U82" s="67">
        <f>I97-J97</f>
        <v>0.68794105319466325</v>
      </c>
      <c r="V82" s="48"/>
      <c r="W82" s="65" t="s">
        <v>131</v>
      </c>
      <c r="X82" s="68">
        <f>I92-J92</f>
        <v>1.5014604599418817</v>
      </c>
    </row>
    <row r="83" spans="8:24" ht="15.75">
      <c r="H83" s="36" t="s">
        <v>16</v>
      </c>
      <c r="I83" s="60">
        <f>ONSV_AUX_2015!G31</f>
        <v>37212</v>
      </c>
      <c r="J83" s="9"/>
      <c r="K83" s="2" t="s">
        <v>132</v>
      </c>
      <c r="L83" s="63">
        <f>I88/L81</f>
        <v>0.80314206825917411</v>
      </c>
      <c r="M83" s="20"/>
      <c r="N83" s="28" t="s">
        <v>133</v>
      </c>
      <c r="O83" s="69">
        <f>J97/O81</f>
        <v>2.3888572850038352E-2</v>
      </c>
      <c r="P83" s="64"/>
      <c r="Q83" s="70" t="s">
        <v>134</v>
      </c>
      <c r="R83" s="63">
        <f>J92/R81</f>
        <v>0.24208956872273457</v>
      </c>
      <c r="S83" s="71"/>
      <c r="T83" s="65" t="s">
        <v>135</v>
      </c>
      <c r="U83" s="72">
        <f>O87</f>
        <v>2104.3492099193354</v>
      </c>
      <c r="V83" s="73"/>
      <c r="W83" s="65" t="s">
        <v>136</v>
      </c>
      <c r="X83" s="72">
        <f>R90</f>
        <v>27805.632671739513</v>
      </c>
    </row>
    <row r="84" spans="8:24" ht="15.75">
      <c r="H84" s="36" t="s">
        <v>94</v>
      </c>
      <c r="I84" s="60">
        <f>ONSV_AUX_2015!G32</f>
        <v>1416615</v>
      </c>
      <c r="J84" s="10"/>
      <c r="K84" s="2" t="s">
        <v>2</v>
      </c>
      <c r="L84" s="63">
        <f>I91/L81</f>
        <v>0.13430360279403683</v>
      </c>
      <c r="M84" s="20"/>
      <c r="N84" s="20"/>
      <c r="O84" s="74"/>
      <c r="P84" s="48"/>
      <c r="Q84" s="48"/>
      <c r="R84" s="48"/>
      <c r="S84" s="48"/>
      <c r="T84" s="48"/>
      <c r="U84" s="62"/>
      <c r="V84" s="75"/>
      <c r="W84" s="48"/>
      <c r="X84" s="62"/>
    </row>
    <row r="85" spans="8:24" ht="15.75">
      <c r="K85" s="2" t="s">
        <v>3</v>
      </c>
      <c r="L85" s="63">
        <f>I92/L81</f>
        <v>4.2898870284084331E-2</v>
      </c>
      <c r="M85" s="20"/>
      <c r="N85" s="28" t="s">
        <v>137</v>
      </c>
      <c r="O85" s="60">
        <f>IF(O83*I80&gt;J97,J97,O83*I80)</f>
        <v>21998.96284902747</v>
      </c>
      <c r="P85" s="76"/>
      <c r="Q85" s="65" t="s">
        <v>138</v>
      </c>
      <c r="R85" s="60">
        <f>I81-I89-I90-I93-I96</f>
        <v>102445</v>
      </c>
      <c r="S85" s="77"/>
      <c r="T85" s="65" t="s">
        <v>139</v>
      </c>
      <c r="U85" s="67">
        <f>O93</f>
        <v>885000.89002761093</v>
      </c>
      <c r="V85" s="76"/>
      <c r="W85" s="65" t="s">
        <v>140</v>
      </c>
      <c r="X85" s="67">
        <f>I89</f>
        <v>66570</v>
      </c>
    </row>
    <row r="86" spans="8:24" ht="15.75">
      <c r="H86" s="24" t="s">
        <v>141</v>
      </c>
      <c r="K86" s="2" t="s">
        <v>0</v>
      </c>
      <c r="L86" s="63">
        <f>I97/L81</f>
        <v>1.9655458662704697E-2</v>
      </c>
      <c r="O86" s="48"/>
      <c r="P86" s="76"/>
      <c r="Q86" s="65" t="s">
        <v>142</v>
      </c>
      <c r="R86" s="60">
        <f>R82*R85</f>
        <v>77644.13413219947</v>
      </c>
      <c r="S86" s="48"/>
      <c r="T86" s="65" t="s">
        <v>143</v>
      </c>
      <c r="U86" s="67">
        <f>O91</f>
        <v>62673</v>
      </c>
      <c r="V86" s="66"/>
      <c r="W86" s="65" t="s">
        <v>144</v>
      </c>
      <c r="X86" s="67">
        <f>I90</f>
        <v>7379</v>
      </c>
    </row>
    <row r="87" spans="8:24" ht="15.75">
      <c r="K87" s="11"/>
      <c r="L87" s="11"/>
      <c r="M87" s="11"/>
      <c r="N87" s="28" t="s">
        <v>145</v>
      </c>
      <c r="O87" s="60">
        <f>J97-O85</f>
        <v>2104.3492099193354</v>
      </c>
      <c r="P87" s="76"/>
      <c r="Q87" s="65" t="s">
        <v>127</v>
      </c>
      <c r="R87" s="60">
        <f>R83*R85</f>
        <v>24800.865867800545</v>
      </c>
      <c r="S87" s="48"/>
      <c r="T87" s="65" t="s">
        <v>146</v>
      </c>
      <c r="U87" s="67">
        <f>O92</f>
        <v>37212</v>
      </c>
      <c r="V87" s="71"/>
      <c r="W87" s="48"/>
      <c r="X87" s="62"/>
    </row>
    <row r="88" spans="8:24" ht="15.75">
      <c r="H88" s="37" t="s">
        <v>103</v>
      </c>
      <c r="I88" s="60">
        <f>ONSV_AUX_2015!G56</f>
        <v>984914</v>
      </c>
      <c r="J88" s="61">
        <f>I88-(L83*I82)</f>
        <v>984885.89002761093</v>
      </c>
      <c r="K88" s="11"/>
      <c r="L88" s="11"/>
      <c r="M88" s="11"/>
      <c r="O88" s="76"/>
      <c r="P88" s="76"/>
      <c r="Q88" s="48"/>
      <c r="R88" s="78"/>
      <c r="S88" s="48"/>
      <c r="T88" s="65" t="s">
        <v>147</v>
      </c>
      <c r="U88" s="68">
        <f>I88-J88</f>
        <v>28.109972389065661</v>
      </c>
      <c r="V88" s="71"/>
      <c r="W88" s="65" t="s">
        <v>148</v>
      </c>
      <c r="X88" s="67">
        <f>I96</f>
        <v>15471</v>
      </c>
    </row>
    <row r="89" spans="8:24" ht="15.75">
      <c r="H89" s="37" t="s">
        <v>104</v>
      </c>
      <c r="I89" s="60">
        <f>ONSV_AUX_2015!G57</f>
        <v>66570</v>
      </c>
      <c r="J89" s="10">
        <f>I89</f>
        <v>66570</v>
      </c>
      <c r="K89" s="11"/>
      <c r="L89" s="11"/>
      <c r="M89" s="11"/>
      <c r="N89" s="26" t="s">
        <v>149</v>
      </c>
      <c r="O89" s="76"/>
      <c r="P89" s="76"/>
      <c r="Q89" s="65" t="s">
        <v>150</v>
      </c>
      <c r="R89" s="60">
        <f>J91-R86</f>
        <v>87051.165241702736</v>
      </c>
      <c r="S89" s="48"/>
      <c r="T89" s="65" t="s">
        <v>151</v>
      </c>
      <c r="U89" s="72">
        <f>O94</f>
        <v>0</v>
      </c>
      <c r="V89" s="48"/>
      <c r="W89" s="65" t="s">
        <v>152</v>
      </c>
      <c r="X89" s="67">
        <f>I93</f>
        <v>10755</v>
      </c>
    </row>
    <row r="90" spans="8:24" ht="15.75">
      <c r="H90" s="37" t="s">
        <v>105</v>
      </c>
      <c r="I90" s="60">
        <f>ONSV_AUX_2015!G58</f>
        <v>7379</v>
      </c>
      <c r="J90" s="10">
        <f>I90</f>
        <v>7379</v>
      </c>
      <c r="K90" s="11"/>
      <c r="L90" s="11"/>
      <c r="M90" s="11"/>
      <c r="O90" s="73"/>
      <c r="P90" s="76"/>
      <c r="Q90" s="65" t="s">
        <v>136</v>
      </c>
      <c r="R90" s="60">
        <f>J92-R87</f>
        <v>27805.632671739513</v>
      </c>
      <c r="S90" s="48"/>
      <c r="T90" s="48"/>
      <c r="U90" s="62"/>
      <c r="V90" s="77"/>
      <c r="W90" s="48"/>
      <c r="X90" s="62"/>
    </row>
    <row r="91" spans="8:24" ht="15.75">
      <c r="H91" s="37" t="s">
        <v>106</v>
      </c>
      <c r="I91" s="60">
        <f>ONSV_AUX_2015!G59</f>
        <v>164700</v>
      </c>
      <c r="J91" s="61">
        <f>I91-(L84*I82)</f>
        <v>164695.29937390221</v>
      </c>
      <c r="K91" s="11"/>
      <c r="L91" s="11"/>
      <c r="M91" s="11"/>
      <c r="N91" s="28" t="s">
        <v>143</v>
      </c>
      <c r="O91" s="60">
        <f>I79</f>
        <v>62673</v>
      </c>
      <c r="P91" s="76"/>
      <c r="Q91" s="48"/>
      <c r="R91" s="48"/>
      <c r="S91" s="77"/>
      <c r="T91" s="65" t="s">
        <v>142</v>
      </c>
      <c r="U91" s="68">
        <f>R86</f>
        <v>77644.13413219947</v>
      </c>
      <c r="V91" s="48"/>
      <c r="W91" s="65" t="s">
        <v>153</v>
      </c>
      <c r="X91" s="67">
        <f>I94</f>
        <v>1179546</v>
      </c>
    </row>
    <row r="92" spans="8:24" ht="15.75">
      <c r="H92" s="37" t="s">
        <v>107</v>
      </c>
      <c r="I92" s="60">
        <f>ONSV_AUX_2015!G60</f>
        <v>52608</v>
      </c>
      <c r="J92" s="61">
        <f>I92-(L85*I82)</f>
        <v>52606.498539540058</v>
      </c>
      <c r="K92" s="11"/>
      <c r="L92" s="11"/>
      <c r="M92" s="11"/>
      <c r="N92" s="28" t="s">
        <v>146</v>
      </c>
      <c r="O92" s="60">
        <f>I83</f>
        <v>37212</v>
      </c>
      <c r="P92" s="76"/>
      <c r="Q92" s="48"/>
      <c r="R92" s="48"/>
      <c r="S92" s="48"/>
      <c r="T92" s="65" t="s">
        <v>154</v>
      </c>
      <c r="U92" s="68">
        <f>I91-J91</f>
        <v>4.7006260977941565</v>
      </c>
      <c r="V92" s="48"/>
      <c r="W92" s="65" t="s">
        <v>155</v>
      </c>
      <c r="X92" s="67">
        <f>I95</f>
        <v>137020</v>
      </c>
    </row>
    <row r="93" spans="8:24" ht="15.75">
      <c r="H93" s="37" t="s">
        <v>108</v>
      </c>
      <c r="I93" s="60">
        <f>ONSV_AUX_2015!G61</f>
        <v>10755</v>
      </c>
      <c r="J93" s="10">
        <f>I93</f>
        <v>10755</v>
      </c>
      <c r="K93" s="11"/>
      <c r="L93" s="11"/>
      <c r="M93" s="11"/>
      <c r="N93" s="28" t="s">
        <v>139</v>
      </c>
      <c r="O93" s="60">
        <f>IF(OR((O82*I80&gt;J88),((O91+O92+(O82*I80))&gt;J88)),(J88-O91-O92),(O82*I80))</f>
        <v>885000.89002761093</v>
      </c>
      <c r="P93" s="76"/>
      <c r="Q93" s="48"/>
      <c r="R93" s="78"/>
      <c r="S93" s="48"/>
      <c r="T93" s="65" t="s">
        <v>150</v>
      </c>
      <c r="U93" s="72">
        <f>R89</f>
        <v>87051.165241702736</v>
      </c>
      <c r="V93" s="48"/>
      <c r="W93" s="48"/>
      <c r="X93" s="48"/>
    </row>
    <row r="94" spans="8:24" ht="15.75">
      <c r="H94" s="37" t="s">
        <v>109</v>
      </c>
      <c r="I94" s="60">
        <f>ONSV_AUX_2015!G62</f>
        <v>1179546</v>
      </c>
      <c r="J94" s="10">
        <f>I94</f>
        <v>1179546</v>
      </c>
      <c r="K94" s="11"/>
      <c r="L94" s="11"/>
      <c r="M94" s="11"/>
      <c r="N94" s="28" t="s">
        <v>151</v>
      </c>
      <c r="O94" s="60">
        <f>IF((J88-O91-O93-O92)&lt;0,0,(J88-O91-O93-O92))</f>
        <v>0</v>
      </c>
      <c r="P94" s="48"/>
      <c r="Q94" s="48"/>
      <c r="R94" s="48"/>
      <c r="S94" s="48"/>
      <c r="T94" s="48"/>
      <c r="U94" s="62"/>
      <c r="V94" s="48"/>
      <c r="W94" s="48"/>
      <c r="X94" s="48"/>
    </row>
    <row r="95" spans="8:24" ht="15.75">
      <c r="H95" s="37" t="s">
        <v>110</v>
      </c>
      <c r="I95" s="60">
        <f>ONSV_AUX_2015!G63</f>
        <v>137020</v>
      </c>
      <c r="J95" s="10">
        <f>I95</f>
        <v>137020</v>
      </c>
      <c r="K95" s="11"/>
      <c r="L95" s="11"/>
      <c r="M95" s="11"/>
      <c r="O95" s="48"/>
      <c r="P95" s="76"/>
      <c r="Q95" s="48"/>
      <c r="R95" s="48"/>
      <c r="S95" s="48"/>
      <c r="T95" s="79" t="s">
        <v>156</v>
      </c>
      <c r="U95" s="80">
        <f>(SUM(U81:U93,X81:X92)/SUM(I88:I97))-1</f>
        <v>0</v>
      </c>
      <c r="V95" s="48"/>
      <c r="W95" s="79" t="s">
        <v>10</v>
      </c>
      <c r="X95" s="67">
        <f>SUM(U81:U93,X81:X92)</f>
        <v>2643067</v>
      </c>
    </row>
    <row r="96" spans="8:24" ht="15.75">
      <c r="H96" s="37" t="s">
        <v>111</v>
      </c>
      <c r="I96" s="60">
        <f>ONSV_AUX_2015!G64</f>
        <v>15471</v>
      </c>
      <c r="J96" s="10">
        <f>I96</f>
        <v>15471</v>
      </c>
      <c r="K96" s="11"/>
      <c r="L96" s="11"/>
      <c r="M96" s="11"/>
      <c r="O96" s="48"/>
      <c r="P96" s="76"/>
      <c r="Q96" s="48"/>
      <c r="R96" s="48"/>
      <c r="S96" s="48"/>
      <c r="T96" s="48"/>
      <c r="U96" s="48"/>
      <c r="V96" s="48"/>
      <c r="W96" s="48"/>
      <c r="X96" s="48"/>
    </row>
    <row r="97" spans="1:24" ht="15.75">
      <c r="H97" s="37" t="s">
        <v>112</v>
      </c>
      <c r="I97" s="60">
        <f>ONSV_AUX_2015!G65</f>
        <v>24104</v>
      </c>
      <c r="J97" s="61">
        <f>I97-(L86*I82)</f>
        <v>24103.312058946805</v>
      </c>
      <c r="K97" s="12"/>
      <c r="L97" s="12"/>
      <c r="M97" s="12"/>
      <c r="N97" s="12"/>
      <c r="O97" s="12"/>
      <c r="P97" s="12"/>
      <c r="Q97" s="4"/>
      <c r="R97" s="4"/>
    </row>
    <row r="98" spans="1:24" ht="15.75">
      <c r="I98" s="40"/>
      <c r="J98" s="21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4" ht="15.75">
      <c r="I99" s="40"/>
      <c r="J99" s="21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4" s="34" customFormat="1" ht="15.75">
      <c r="A100" s="101" t="str">
        <f>"CEÁRA/"&amp;ONSV_AUX_2014!$A$1&amp;""</f>
        <v>CEÁRA/2014</v>
      </c>
      <c r="B100" s="102"/>
      <c r="C100" s="102"/>
      <c r="D100" s="102"/>
      <c r="E100" s="102"/>
      <c r="F100" s="102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</row>
    <row r="101" spans="1:24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>
      <c r="H102" s="23" t="s">
        <v>118</v>
      </c>
      <c r="N102" s="26"/>
      <c r="O102" s="26"/>
      <c r="P102" s="9"/>
      <c r="Q102" s="26"/>
      <c r="R102" s="26"/>
      <c r="S102" s="26"/>
      <c r="T102" s="25"/>
      <c r="U102" s="25"/>
      <c r="V102" s="25"/>
      <c r="W102" s="25"/>
      <c r="X102" s="25"/>
    </row>
    <row r="103" spans="1:24" ht="15.75">
      <c r="J103" s="9"/>
      <c r="M103" s="25"/>
      <c r="N103" s="9"/>
      <c r="O103" s="9"/>
      <c r="P103" s="9"/>
      <c r="Q103" s="11"/>
      <c r="R103" s="11"/>
      <c r="S103" s="11"/>
    </row>
    <row r="104" spans="1:24" ht="15.75">
      <c r="H104" s="36" t="s">
        <v>81</v>
      </c>
      <c r="I104" s="60">
        <f>ONSV_AUX_2014!G27</f>
        <v>62679</v>
      </c>
      <c r="J104" s="9"/>
      <c r="K104" s="104" t="s">
        <v>119</v>
      </c>
      <c r="L104" s="104"/>
      <c r="M104" s="9"/>
      <c r="N104" s="26" t="s">
        <v>120</v>
      </c>
      <c r="O104" s="26"/>
      <c r="Q104" s="26" t="s">
        <v>121</v>
      </c>
      <c r="R104" s="26"/>
      <c r="S104" s="26"/>
      <c r="T104" s="25" t="s">
        <v>122</v>
      </c>
      <c r="U104" s="25"/>
      <c r="V104" s="25"/>
      <c r="W104" s="25"/>
      <c r="X104" s="25"/>
    </row>
    <row r="105" spans="1:24" ht="15.75">
      <c r="H105" s="36" t="s">
        <v>84</v>
      </c>
      <c r="I105" s="60">
        <f>ONSV_AUX_2014!G28</f>
        <v>769858</v>
      </c>
      <c r="J105" s="9"/>
      <c r="K105" s="9"/>
      <c r="L105" s="9"/>
      <c r="M105" s="9"/>
      <c r="N105" s="9"/>
      <c r="O105" s="9"/>
      <c r="P105" s="20"/>
      <c r="Q105" s="11"/>
      <c r="R105" s="11"/>
      <c r="S105" s="11"/>
    </row>
    <row r="106" spans="1:24" ht="15.75">
      <c r="H106" s="36" t="s">
        <v>85</v>
      </c>
      <c r="I106" s="60">
        <f>ONSV_AUX_2014!G29</f>
        <v>189335</v>
      </c>
      <c r="J106" s="9"/>
      <c r="K106" s="2" t="s">
        <v>123</v>
      </c>
      <c r="L106" s="60">
        <f>I113+I116+I117+I122</f>
        <v>1135278</v>
      </c>
      <c r="N106" s="28" t="s">
        <v>124</v>
      </c>
      <c r="O106" s="60">
        <f>J113+J122</f>
        <v>935251.87585771945</v>
      </c>
      <c r="P106" s="64"/>
      <c r="Q106" s="65" t="s">
        <v>125</v>
      </c>
      <c r="R106" s="60">
        <f>J116+J117</f>
        <v>200004.12414228058</v>
      </c>
      <c r="S106" s="66"/>
      <c r="T106" s="65" t="s">
        <v>126</v>
      </c>
      <c r="U106" s="67">
        <f>O110</f>
        <v>17709.853700001069</v>
      </c>
      <c r="V106" s="48"/>
      <c r="W106" s="65" t="s">
        <v>127</v>
      </c>
      <c r="X106" s="68">
        <f>R112</f>
        <v>23572.578236870526</v>
      </c>
    </row>
    <row r="107" spans="1:24" ht="15.75">
      <c r="H107" s="36" t="s">
        <v>101</v>
      </c>
      <c r="I107" s="60">
        <f>ONSV_AUX_2014!G30</f>
        <v>22</v>
      </c>
      <c r="J107" s="9"/>
      <c r="K107" s="27"/>
      <c r="L107" s="62"/>
      <c r="M107" s="20"/>
      <c r="N107" s="28" t="s">
        <v>128</v>
      </c>
      <c r="O107" s="69">
        <f>J113/O106</f>
        <v>0.9769959476942488</v>
      </c>
      <c r="P107" s="64"/>
      <c r="Q107" s="70" t="s">
        <v>129</v>
      </c>
      <c r="R107" s="63">
        <f>J116/R106</f>
        <v>0.75274989000439985</v>
      </c>
      <c r="S107" s="71"/>
      <c r="T107" s="65" t="s">
        <v>130</v>
      </c>
      <c r="U107" s="67">
        <f>I122-J122</f>
        <v>0.41692871701889089</v>
      </c>
      <c r="V107" s="48"/>
      <c r="W107" s="65" t="s">
        <v>131</v>
      </c>
      <c r="X107" s="68">
        <f>I117-J117</f>
        <v>0.95830624745576642</v>
      </c>
    </row>
    <row r="108" spans="1:24" ht="15.75">
      <c r="H108" s="36" t="s">
        <v>16</v>
      </c>
      <c r="I108" s="60">
        <f>ONSV_AUX_2014!G31</f>
        <v>35822</v>
      </c>
      <c r="J108" s="9"/>
      <c r="K108" s="2" t="s">
        <v>132</v>
      </c>
      <c r="L108" s="63">
        <f>I113/L106</f>
        <v>0.80487334379773057</v>
      </c>
      <c r="M108" s="20"/>
      <c r="N108" s="28" t="s">
        <v>133</v>
      </c>
      <c r="O108" s="69">
        <f>J122/O106</f>
        <v>2.3004052305751279E-2</v>
      </c>
      <c r="P108" s="64"/>
      <c r="Q108" s="70" t="s">
        <v>134</v>
      </c>
      <c r="R108" s="63">
        <f>J117/R106</f>
        <v>0.24725010999560018</v>
      </c>
      <c r="S108" s="71"/>
      <c r="T108" s="65" t="s">
        <v>135</v>
      </c>
      <c r="U108" s="72">
        <f>O112</f>
        <v>3804.7293712819119</v>
      </c>
      <c r="V108" s="73"/>
      <c r="W108" s="65" t="s">
        <v>136</v>
      </c>
      <c r="X108" s="72">
        <f>R115</f>
        <v>25878.463456882018</v>
      </c>
    </row>
    <row r="109" spans="1:24" ht="15.75">
      <c r="H109" s="36" t="s">
        <v>94</v>
      </c>
      <c r="I109" s="60">
        <f>ONSV_AUX_2014!G32</f>
        <v>1379964</v>
      </c>
      <c r="J109" s="10"/>
      <c r="K109" s="2" t="s">
        <v>2</v>
      </c>
      <c r="L109" s="63">
        <f>I116/L106</f>
        <v>0.13261597599883024</v>
      </c>
      <c r="M109" s="20"/>
      <c r="N109" s="20"/>
      <c r="O109" s="74"/>
      <c r="P109" s="48"/>
      <c r="Q109" s="48"/>
      <c r="R109" s="48"/>
      <c r="S109" s="48"/>
      <c r="T109" s="48"/>
      <c r="U109" s="62"/>
      <c r="V109" s="75"/>
      <c r="W109" s="48"/>
      <c r="X109" s="62"/>
    </row>
    <row r="110" spans="1:24" ht="15.75">
      <c r="K110" s="2" t="s">
        <v>3</v>
      </c>
      <c r="L110" s="63">
        <f>I117/L106</f>
        <v>4.3559374884389553E-2</v>
      </c>
      <c r="M110" s="20"/>
      <c r="N110" s="28" t="s">
        <v>137</v>
      </c>
      <c r="O110" s="60">
        <f>IF(O108*I105&gt;J122,J122,O108*I105)</f>
        <v>17709.853700001069</v>
      </c>
      <c r="P110" s="76"/>
      <c r="Q110" s="65" t="s">
        <v>138</v>
      </c>
      <c r="R110" s="60">
        <f>I106-I114-I115-I118-I121</f>
        <v>95339</v>
      </c>
      <c r="S110" s="77"/>
      <c r="T110" s="65" t="s">
        <v>139</v>
      </c>
      <c r="U110" s="67">
        <f>O118</f>
        <v>752148.14629999897</v>
      </c>
      <c r="V110" s="76"/>
      <c r="W110" s="65" t="s">
        <v>140</v>
      </c>
      <c r="X110" s="67">
        <f>I114</f>
        <v>62907</v>
      </c>
    </row>
    <row r="111" spans="1:24" ht="15.75">
      <c r="H111" s="24" t="s">
        <v>141</v>
      </c>
      <c r="K111" s="2" t="s">
        <v>0</v>
      </c>
      <c r="L111" s="63">
        <f>I122/L106</f>
        <v>1.8951305319049608E-2</v>
      </c>
      <c r="O111" s="48"/>
      <c r="P111" s="76"/>
      <c r="Q111" s="65" t="s">
        <v>142</v>
      </c>
      <c r="R111" s="60">
        <f>R107*R110</f>
        <v>71766.421763129474</v>
      </c>
      <c r="S111" s="48"/>
      <c r="T111" s="65" t="s">
        <v>143</v>
      </c>
      <c r="U111" s="67">
        <f>O116</f>
        <v>62679</v>
      </c>
      <c r="V111" s="66"/>
      <c r="W111" s="65" t="s">
        <v>144</v>
      </c>
      <c r="X111" s="67">
        <f>I115</f>
        <v>6844</v>
      </c>
    </row>
    <row r="112" spans="1:24" ht="15.75">
      <c r="K112" s="11"/>
      <c r="L112" s="11"/>
      <c r="M112" s="11"/>
      <c r="N112" s="28" t="s">
        <v>145</v>
      </c>
      <c r="O112" s="60">
        <f>J122-O110</f>
        <v>3804.7293712819119</v>
      </c>
      <c r="P112" s="76"/>
      <c r="Q112" s="65" t="s">
        <v>127</v>
      </c>
      <c r="R112" s="60">
        <f>R108*R110</f>
        <v>23572.578236870526</v>
      </c>
      <c r="S112" s="48"/>
      <c r="T112" s="65" t="s">
        <v>146</v>
      </c>
      <c r="U112" s="67">
        <f>O117</f>
        <v>35822</v>
      </c>
      <c r="V112" s="71"/>
      <c r="W112" s="48"/>
      <c r="X112" s="62"/>
    </row>
    <row r="113" spans="8:24" ht="15.75">
      <c r="H113" s="37" t="s">
        <v>103</v>
      </c>
      <c r="I113" s="60">
        <f>ONSV_AUX_2014!G56</f>
        <v>913755</v>
      </c>
      <c r="J113" s="61">
        <f>I113-(L108*I107)</f>
        <v>913737.2927864365</v>
      </c>
      <c r="K113" s="11"/>
      <c r="L113" s="11"/>
      <c r="M113" s="11"/>
      <c r="O113" s="76"/>
      <c r="P113" s="76"/>
      <c r="Q113" s="48"/>
      <c r="R113" s="78"/>
      <c r="S113" s="48"/>
      <c r="T113" s="65" t="s">
        <v>147</v>
      </c>
      <c r="U113" s="68">
        <f>I113-J113</f>
        <v>17.707213563495316</v>
      </c>
      <c r="V113" s="71"/>
      <c r="W113" s="65" t="s">
        <v>148</v>
      </c>
      <c r="X113" s="67">
        <f>I121</f>
        <v>14338</v>
      </c>
    </row>
    <row r="114" spans="8:24" ht="15.75">
      <c r="H114" s="37" t="s">
        <v>104</v>
      </c>
      <c r="I114" s="60">
        <f>ONSV_AUX_2014!G57</f>
        <v>62907</v>
      </c>
      <c r="J114" s="10">
        <f>I114</f>
        <v>62907</v>
      </c>
      <c r="K114" s="11"/>
      <c r="L114" s="11"/>
      <c r="M114" s="11"/>
      <c r="N114" s="26" t="s">
        <v>149</v>
      </c>
      <c r="O114" s="76"/>
      <c r="P114" s="76"/>
      <c r="Q114" s="65" t="s">
        <v>150</v>
      </c>
      <c r="R114" s="60">
        <f>J116-R111</f>
        <v>78786.660685398558</v>
      </c>
      <c r="S114" s="48"/>
      <c r="T114" s="65" t="s">
        <v>151</v>
      </c>
      <c r="U114" s="72">
        <f>O119</f>
        <v>63088.14648643753</v>
      </c>
      <c r="V114" s="48"/>
      <c r="W114" s="65" t="s">
        <v>152</v>
      </c>
      <c r="X114" s="67">
        <f>I118</f>
        <v>9907</v>
      </c>
    </row>
    <row r="115" spans="8:24" ht="15.75">
      <c r="H115" s="37" t="s">
        <v>105</v>
      </c>
      <c r="I115" s="60">
        <f>ONSV_AUX_2014!G58</f>
        <v>6844</v>
      </c>
      <c r="J115" s="10">
        <f>I115</f>
        <v>6844</v>
      </c>
      <c r="K115" s="11"/>
      <c r="L115" s="11"/>
      <c r="M115" s="11"/>
      <c r="O115" s="73"/>
      <c r="P115" s="76"/>
      <c r="Q115" s="65" t="s">
        <v>136</v>
      </c>
      <c r="R115" s="60">
        <f>J117-R112</f>
        <v>25878.463456882018</v>
      </c>
      <c r="S115" s="48"/>
      <c r="T115" s="48"/>
      <c r="U115" s="62"/>
      <c r="V115" s="77"/>
      <c r="W115" s="48"/>
      <c r="X115" s="62"/>
    </row>
    <row r="116" spans="8:24" ht="15.75">
      <c r="H116" s="37" t="s">
        <v>106</v>
      </c>
      <c r="I116" s="60">
        <f>ONSV_AUX_2014!G59</f>
        <v>150556</v>
      </c>
      <c r="J116" s="61">
        <f>I116-(L109*I107)</f>
        <v>150553.08244852803</v>
      </c>
      <c r="K116" s="11"/>
      <c r="L116" s="11"/>
      <c r="M116" s="11"/>
      <c r="N116" s="28" t="s">
        <v>143</v>
      </c>
      <c r="O116" s="60">
        <f>I104</f>
        <v>62679</v>
      </c>
      <c r="P116" s="76"/>
      <c r="Q116" s="48"/>
      <c r="R116" s="48"/>
      <c r="S116" s="77"/>
      <c r="T116" s="65" t="s">
        <v>142</v>
      </c>
      <c r="U116" s="68">
        <f>R111</f>
        <v>71766.421763129474</v>
      </c>
      <c r="V116" s="48"/>
      <c r="W116" s="65" t="s">
        <v>153</v>
      </c>
      <c r="X116" s="67">
        <f>I119</f>
        <v>1086533</v>
      </c>
    </row>
    <row r="117" spans="8:24" ht="15.75">
      <c r="H117" s="37" t="s">
        <v>107</v>
      </c>
      <c r="I117" s="60">
        <f>ONSV_AUX_2014!G60</f>
        <v>49452</v>
      </c>
      <c r="J117" s="61">
        <f>I117-(L110*I107)</f>
        <v>49451.041693752544</v>
      </c>
      <c r="K117" s="11"/>
      <c r="L117" s="11"/>
      <c r="M117" s="11"/>
      <c r="N117" s="28" t="s">
        <v>146</v>
      </c>
      <c r="O117" s="60">
        <f>I108</f>
        <v>35822</v>
      </c>
      <c r="P117" s="76"/>
      <c r="Q117" s="48"/>
      <c r="R117" s="48"/>
      <c r="S117" s="48"/>
      <c r="T117" s="65" t="s">
        <v>154</v>
      </c>
      <c r="U117" s="68">
        <f>I116-J116</f>
        <v>2.9175514719681814</v>
      </c>
      <c r="V117" s="48"/>
      <c r="W117" s="65" t="s">
        <v>155</v>
      </c>
      <c r="X117" s="67">
        <f>I120</f>
        <v>124408</v>
      </c>
    </row>
    <row r="118" spans="8:24" ht="15.75">
      <c r="H118" s="37" t="s">
        <v>108</v>
      </c>
      <c r="I118" s="60">
        <f>ONSV_AUX_2014!G61</f>
        <v>9907</v>
      </c>
      <c r="J118" s="10">
        <f>I118</f>
        <v>9907</v>
      </c>
      <c r="K118" s="11"/>
      <c r="L118" s="11"/>
      <c r="M118" s="11"/>
      <c r="N118" s="28" t="s">
        <v>139</v>
      </c>
      <c r="O118" s="60">
        <f>IF(OR((O107*I105&gt;J113),((O116+O117+(O107*I105))&gt;J113)),(J113-O116-O117),(O107*I105))</f>
        <v>752148.14629999897</v>
      </c>
      <c r="P118" s="76"/>
      <c r="Q118" s="48"/>
      <c r="R118" s="78"/>
      <c r="S118" s="48"/>
      <c r="T118" s="65" t="s">
        <v>150</v>
      </c>
      <c r="U118" s="72">
        <f>R114</f>
        <v>78786.660685398558</v>
      </c>
      <c r="V118" s="48"/>
      <c r="W118" s="48"/>
      <c r="X118" s="48"/>
    </row>
    <row r="119" spans="8:24" ht="15.75">
      <c r="H119" s="37" t="s">
        <v>109</v>
      </c>
      <c r="I119" s="60">
        <f>ONSV_AUX_2014!G62</f>
        <v>1086533</v>
      </c>
      <c r="J119" s="10">
        <f>I119</f>
        <v>1086533</v>
      </c>
      <c r="K119" s="11"/>
      <c r="L119" s="11"/>
      <c r="M119" s="11"/>
      <c r="N119" s="28" t="s">
        <v>151</v>
      </c>
      <c r="O119" s="60">
        <f>IF((J113-O116-O118-O117)&lt;0,0,(J113-O116-O118-O117))</f>
        <v>63088.14648643753</v>
      </c>
      <c r="P119" s="48"/>
      <c r="Q119" s="48"/>
      <c r="R119" s="48"/>
      <c r="S119" s="48"/>
      <c r="T119" s="48"/>
      <c r="U119" s="62"/>
      <c r="V119" s="48"/>
      <c r="W119" s="48"/>
      <c r="X119" s="48"/>
    </row>
    <row r="120" spans="8:24" ht="15.75">
      <c r="H120" s="37" t="s">
        <v>110</v>
      </c>
      <c r="I120" s="60">
        <f>ONSV_AUX_2014!G63</f>
        <v>124408</v>
      </c>
      <c r="J120" s="10">
        <f>I120</f>
        <v>124408</v>
      </c>
      <c r="K120" s="11"/>
      <c r="L120" s="11"/>
      <c r="M120" s="11"/>
      <c r="O120" s="48"/>
      <c r="P120" s="76"/>
      <c r="Q120" s="48"/>
      <c r="R120" s="48"/>
      <c r="S120" s="48"/>
      <c r="T120" s="79" t="s">
        <v>156</v>
      </c>
      <c r="U120" s="80">
        <f>(SUM(U106:U118,X106:X117)/SUM(I113:I122))-1</f>
        <v>0</v>
      </c>
      <c r="V120" s="48"/>
      <c r="W120" s="79" t="s">
        <v>10</v>
      </c>
      <c r="X120" s="67">
        <f>SUM(U106:U118,X106:X117)</f>
        <v>2440215</v>
      </c>
    </row>
    <row r="121" spans="8:24" ht="15.75">
      <c r="H121" s="37" t="s">
        <v>111</v>
      </c>
      <c r="I121" s="60">
        <f>ONSV_AUX_2014!G64</f>
        <v>14338</v>
      </c>
      <c r="J121" s="10">
        <f>I121</f>
        <v>14338</v>
      </c>
      <c r="K121" s="11"/>
      <c r="L121" s="11"/>
      <c r="M121" s="11"/>
      <c r="O121" s="48"/>
      <c r="P121" s="76"/>
      <c r="Q121" s="48"/>
      <c r="R121" s="48"/>
      <c r="S121" s="48"/>
      <c r="T121" s="48"/>
      <c r="U121" s="48"/>
      <c r="V121" s="48"/>
      <c r="W121" s="48"/>
      <c r="X121" s="48"/>
    </row>
    <row r="122" spans="8:24" ht="15.75">
      <c r="H122" s="37" t="s">
        <v>112</v>
      </c>
      <c r="I122" s="60">
        <f>ONSV_AUX_2014!G65</f>
        <v>21515</v>
      </c>
      <c r="J122" s="61">
        <f>I122-(L111*I107)</f>
        <v>21514.583071282981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A100:F100"/>
    <mergeCell ref="K104:L104"/>
    <mergeCell ref="A75:F75"/>
    <mergeCell ref="K54:L54"/>
    <mergeCell ref="K79:L79"/>
    <mergeCell ref="T52:X52"/>
    <mergeCell ref="A1:F1"/>
    <mergeCell ref="Q4:R4"/>
    <mergeCell ref="T4:X4"/>
    <mergeCell ref="K5:L5"/>
    <mergeCell ref="T27:X27"/>
    <mergeCell ref="K29:L29"/>
    <mergeCell ref="A25:F25"/>
    <mergeCell ref="A50:F5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39997558519241921"/>
  </sheetPr>
  <dimension ref="A1:X122"/>
  <sheetViews>
    <sheetView showGridLines="0" zoomScale="90" zoomScaleNormal="90" workbookViewId="0">
      <selection activeCell="A101" sqref="A101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</cols>
  <sheetData>
    <row r="1" spans="1:24" s="31" customFormat="1" ht="15.75">
      <c r="A1" s="101" t="str">
        <f>"DISTRITO FEDERAL/"&amp;ONSV_AUX_2018!$A$1&amp;""</f>
        <v>DISTRITO FEDERAL/2018</v>
      </c>
      <c r="B1" s="102"/>
      <c r="C1" s="102"/>
      <c r="D1" s="102"/>
      <c r="E1" s="102"/>
      <c r="F1" s="102"/>
    </row>
    <row r="2" spans="1:24" s="4" customFormat="1" ht="15.75">
      <c r="A2" s="32"/>
      <c r="B2" s="32"/>
      <c r="C2" s="32"/>
      <c r="D2" s="32"/>
      <c r="E2" s="32"/>
      <c r="F2" s="32"/>
    </row>
    <row r="3" spans="1:24" ht="15.75">
      <c r="A3" s="12"/>
      <c r="H3" s="23" t="s">
        <v>118</v>
      </c>
    </row>
    <row r="4" spans="1:24" ht="15.75">
      <c r="B4" s="5"/>
      <c r="J4" s="9"/>
      <c r="M4" s="25"/>
      <c r="N4" s="25"/>
      <c r="O4" s="25"/>
      <c r="P4" s="25"/>
      <c r="Q4" s="103"/>
      <c r="R4" s="103"/>
      <c r="S4" s="22"/>
      <c r="T4" s="104"/>
      <c r="U4" s="104"/>
      <c r="V4" s="104"/>
      <c r="W4" s="104"/>
      <c r="X4" s="104"/>
    </row>
    <row r="5" spans="1:24" ht="15.75">
      <c r="H5" s="36" t="s">
        <v>81</v>
      </c>
      <c r="I5" s="60">
        <f>ONSV_AUX_2018!H27</f>
        <v>57905</v>
      </c>
      <c r="J5" s="9"/>
      <c r="K5" s="104" t="s">
        <v>119</v>
      </c>
      <c r="L5" s="104"/>
      <c r="M5" s="9"/>
      <c r="N5" s="26" t="s">
        <v>120</v>
      </c>
      <c r="O5" s="26"/>
      <c r="Q5" s="26" t="s">
        <v>121</v>
      </c>
      <c r="R5" s="26"/>
      <c r="S5" s="26"/>
      <c r="T5" s="25" t="s">
        <v>122</v>
      </c>
      <c r="U5" s="25"/>
      <c r="V5" s="25"/>
      <c r="W5" s="25"/>
      <c r="X5" s="25"/>
    </row>
    <row r="6" spans="1:24" ht="15.75">
      <c r="H6" s="36" t="s">
        <v>84</v>
      </c>
      <c r="I6" s="60">
        <f>ONSV_AUX_2018!H28</f>
        <v>921152</v>
      </c>
      <c r="J6" s="9"/>
      <c r="K6" s="9"/>
      <c r="L6" s="9"/>
      <c r="M6" s="9"/>
      <c r="N6" s="9"/>
      <c r="O6" s="9"/>
      <c r="P6" s="20"/>
      <c r="Q6" s="11"/>
      <c r="R6" s="11"/>
      <c r="S6" s="11"/>
    </row>
    <row r="7" spans="1:24" ht="15.75">
      <c r="H7" s="36" t="s">
        <v>85</v>
      </c>
      <c r="I7" s="60">
        <f>ONSV_AUX_2018!H29</f>
        <v>106591</v>
      </c>
      <c r="J7" s="9"/>
      <c r="K7" s="2" t="s">
        <v>123</v>
      </c>
      <c r="L7" s="60">
        <f>I14+I17+I18+I23</f>
        <v>1503734</v>
      </c>
      <c r="N7" s="28" t="s">
        <v>124</v>
      </c>
      <c r="O7" s="60">
        <f>J14+J23</f>
        <v>1294686.2124710886</v>
      </c>
      <c r="P7" s="64"/>
      <c r="Q7" s="65" t="s">
        <v>125</v>
      </c>
      <c r="R7" s="60">
        <f>J17+J18</f>
        <v>208577.78752891137</v>
      </c>
      <c r="S7" s="66"/>
      <c r="T7" s="65" t="s">
        <v>126</v>
      </c>
      <c r="U7" s="67">
        <f>O11</f>
        <v>19137.988654079134</v>
      </c>
      <c r="V7" s="48"/>
      <c r="W7" s="65" t="s">
        <v>127</v>
      </c>
      <c r="X7" s="68">
        <f>R13</f>
        <v>24935.303297977884</v>
      </c>
    </row>
    <row r="8" spans="1:24" ht="15.75">
      <c r="H8" s="36" t="s">
        <v>101</v>
      </c>
      <c r="I8" s="60">
        <f>ONSV_AUX_2018!H30</f>
        <v>470</v>
      </c>
      <c r="J8" s="9"/>
      <c r="K8" s="27"/>
      <c r="L8" s="62"/>
      <c r="M8" s="20"/>
      <c r="N8" s="28" t="s">
        <v>128</v>
      </c>
      <c r="O8" s="69">
        <f>J14/O7</f>
        <v>0.97922385376780474</v>
      </c>
      <c r="P8" s="64"/>
      <c r="Q8" s="70" t="s">
        <v>129</v>
      </c>
      <c r="R8" s="63">
        <f>J17/R7</f>
        <v>0.5929793954266378</v>
      </c>
      <c r="S8" s="71"/>
      <c r="T8" s="65" t="s">
        <v>130</v>
      </c>
      <c r="U8" s="67">
        <f>I23-J23</f>
        <v>8.4099248936327058</v>
      </c>
      <c r="V8" s="48"/>
      <c r="W8" s="65" t="s">
        <v>131</v>
      </c>
      <c r="X8" s="68">
        <f>I18-J18</f>
        <v>26.542819408219657</v>
      </c>
    </row>
    <row r="9" spans="1:24" ht="15.75">
      <c r="H9" s="36" t="s">
        <v>16</v>
      </c>
      <c r="I9" s="60">
        <f>ONSV_AUX_2018!H31</f>
        <v>1569</v>
      </c>
      <c r="J9" s="9"/>
      <c r="K9" s="2" t="s">
        <v>132</v>
      </c>
      <c r="L9" s="63">
        <f>I14/L7</f>
        <v>0.84335660429304649</v>
      </c>
      <c r="M9" s="20"/>
      <c r="N9" s="28" t="s">
        <v>133</v>
      </c>
      <c r="O9" s="69">
        <f>J23/O7</f>
        <v>2.0776146232195265E-2</v>
      </c>
      <c r="P9" s="64"/>
      <c r="Q9" s="70" t="s">
        <v>134</v>
      </c>
      <c r="R9" s="63">
        <f>J18/R7</f>
        <v>0.40702060457336214</v>
      </c>
      <c r="S9" s="71"/>
      <c r="T9" s="65" t="s">
        <v>135</v>
      </c>
      <c r="U9" s="72">
        <f>O13</f>
        <v>7760.6014210272333</v>
      </c>
      <c r="V9" s="73"/>
      <c r="W9" s="65" t="s">
        <v>136</v>
      </c>
      <c r="X9" s="72">
        <f>R16</f>
        <v>59960.1538826139</v>
      </c>
    </row>
    <row r="10" spans="1:24" ht="15.75">
      <c r="H10" s="36" t="s">
        <v>94</v>
      </c>
      <c r="I10" s="60">
        <f>ONSV_AUX_2018!H32</f>
        <v>658098</v>
      </c>
      <c r="J10" s="10"/>
      <c r="K10" s="2" t="s">
        <v>2</v>
      </c>
      <c r="L10" s="63">
        <f>I17/L7</f>
        <v>8.2275854639184853E-2</v>
      </c>
      <c r="M10" s="20"/>
      <c r="N10" s="20"/>
      <c r="O10" s="74"/>
      <c r="P10" s="48"/>
      <c r="Q10" s="48"/>
      <c r="R10" s="48"/>
      <c r="S10" s="48"/>
      <c r="T10" s="48"/>
      <c r="U10" s="62"/>
      <c r="V10" s="75"/>
      <c r="W10" s="48"/>
      <c r="X10" s="62"/>
    </row>
    <row r="11" spans="1:24" ht="15.75">
      <c r="K11" s="2" t="s">
        <v>3</v>
      </c>
      <c r="L11" s="63">
        <f>I18/L7</f>
        <v>5.6474083847276181E-2</v>
      </c>
      <c r="M11" s="20"/>
      <c r="N11" s="28" t="s">
        <v>137</v>
      </c>
      <c r="O11" s="60">
        <f>IF(O9*I6&gt;J23,J23,O9*I6)</f>
        <v>19137.988654079134</v>
      </c>
      <c r="P11" s="76"/>
      <c r="Q11" s="65" t="s">
        <v>138</v>
      </c>
      <c r="R11" s="60">
        <f>I7-I15-I16-I19-I22</f>
        <v>61263</v>
      </c>
      <c r="S11" s="77"/>
      <c r="T11" s="65" t="s">
        <v>139</v>
      </c>
      <c r="U11" s="67">
        <f>O19</f>
        <v>902014.01134592085</v>
      </c>
      <c r="V11" s="76"/>
      <c r="W11" s="65" t="s">
        <v>140</v>
      </c>
      <c r="X11" s="67">
        <f>I15</f>
        <v>23827</v>
      </c>
    </row>
    <row r="12" spans="1:24" ht="15.75">
      <c r="H12" s="24" t="s">
        <v>141</v>
      </c>
      <c r="K12" s="2" t="s">
        <v>0</v>
      </c>
      <c r="L12" s="63">
        <f>I23/L7</f>
        <v>1.7893457220492456E-2</v>
      </c>
      <c r="O12" s="48"/>
      <c r="P12" s="76"/>
      <c r="Q12" s="65" t="s">
        <v>142</v>
      </c>
      <c r="R12" s="60">
        <f>R8*R11</f>
        <v>36327.696702022113</v>
      </c>
      <c r="S12" s="48"/>
      <c r="T12" s="65" t="s">
        <v>143</v>
      </c>
      <c r="U12" s="67">
        <f>O17</f>
        <v>57905</v>
      </c>
      <c r="V12" s="66"/>
      <c r="W12" s="65" t="s">
        <v>144</v>
      </c>
      <c r="X12" s="67">
        <f>I16</f>
        <v>3262</v>
      </c>
    </row>
    <row r="13" spans="1:24" ht="15.75">
      <c r="K13" s="11"/>
      <c r="L13" s="11"/>
      <c r="M13" s="11"/>
      <c r="N13" s="28" t="s">
        <v>145</v>
      </c>
      <c r="O13" s="60">
        <f>J23-O11</f>
        <v>7760.6014210272333</v>
      </c>
      <c r="P13" s="76"/>
      <c r="Q13" s="65" t="s">
        <v>127</v>
      </c>
      <c r="R13" s="60">
        <f>R9*R11</f>
        <v>24935.303297977884</v>
      </c>
      <c r="S13" s="48"/>
      <c r="T13" s="65" t="s">
        <v>146</v>
      </c>
      <c r="U13" s="67">
        <f>O18</f>
        <v>1569</v>
      </c>
      <c r="V13" s="71"/>
      <c r="W13" s="48"/>
      <c r="X13" s="62"/>
    </row>
    <row r="14" spans="1:24" ht="15.75">
      <c r="H14" s="37" t="s">
        <v>103</v>
      </c>
      <c r="I14" s="60">
        <f>ONSV_AUX_2018!H56</f>
        <v>1268184</v>
      </c>
      <c r="J14" s="61">
        <f>I14-(L9*I8)</f>
        <v>1267787.6223959823</v>
      </c>
      <c r="K14" s="11"/>
      <c r="L14" s="11"/>
      <c r="M14" s="11"/>
      <c r="O14" s="76"/>
      <c r="P14" s="76"/>
      <c r="Q14" s="48"/>
      <c r="R14" s="78"/>
      <c r="S14" s="48"/>
      <c r="T14" s="65" t="s">
        <v>147</v>
      </c>
      <c r="U14" s="68">
        <f>I14-J14</f>
        <v>396.37760401773266</v>
      </c>
      <c r="V14" s="71"/>
      <c r="W14" s="65" t="s">
        <v>148</v>
      </c>
      <c r="X14" s="67">
        <f>I22</f>
        <v>12467</v>
      </c>
    </row>
    <row r="15" spans="1:24" ht="15.75">
      <c r="H15" s="37" t="s">
        <v>104</v>
      </c>
      <c r="I15" s="60">
        <f>ONSV_AUX_2018!H57</f>
        <v>23827</v>
      </c>
      <c r="J15" s="10">
        <f>I15</f>
        <v>23827</v>
      </c>
      <c r="K15" s="11"/>
      <c r="L15" s="11"/>
      <c r="M15" s="11"/>
      <c r="N15" s="26" t="s">
        <v>149</v>
      </c>
      <c r="O15" s="76"/>
      <c r="P15" s="76"/>
      <c r="Q15" s="65" t="s">
        <v>150</v>
      </c>
      <c r="R15" s="60">
        <f>J17-R12</f>
        <v>87354.633646297472</v>
      </c>
      <c r="S15" s="48"/>
      <c r="T15" s="65" t="s">
        <v>151</v>
      </c>
      <c r="U15" s="72">
        <f>O20</f>
        <v>306299.61105006142</v>
      </c>
      <c r="V15" s="48"/>
      <c r="W15" s="65" t="s">
        <v>152</v>
      </c>
      <c r="X15" s="67">
        <f>I19</f>
        <v>5772</v>
      </c>
    </row>
    <row r="16" spans="1:24" ht="15.75">
      <c r="H16" s="37" t="s">
        <v>105</v>
      </c>
      <c r="I16" s="60">
        <f>ONSV_AUX_2018!H58</f>
        <v>3262</v>
      </c>
      <c r="J16" s="10">
        <f>I16</f>
        <v>3262</v>
      </c>
      <c r="K16" s="11"/>
      <c r="L16" s="11"/>
      <c r="M16" s="11"/>
      <c r="O16" s="73"/>
      <c r="P16" s="76"/>
      <c r="Q16" s="65" t="s">
        <v>136</v>
      </c>
      <c r="R16" s="60">
        <f>J18-R13</f>
        <v>59960.1538826139</v>
      </c>
      <c r="S16" s="48"/>
      <c r="T16" s="48"/>
      <c r="U16" s="62"/>
      <c r="V16" s="77"/>
      <c r="W16" s="48"/>
      <c r="X16" s="62"/>
    </row>
    <row r="17" spans="1:24" ht="15.75">
      <c r="H17" s="37" t="s">
        <v>106</v>
      </c>
      <c r="I17" s="60">
        <f>ONSV_AUX_2018!H59</f>
        <v>123721</v>
      </c>
      <c r="J17" s="61">
        <f>I17-(L10*I8)</f>
        <v>123682.33034831958</v>
      </c>
      <c r="K17" s="11"/>
      <c r="L17" s="11"/>
      <c r="M17" s="11"/>
      <c r="N17" s="28" t="s">
        <v>143</v>
      </c>
      <c r="O17" s="60">
        <f>I5</f>
        <v>57905</v>
      </c>
      <c r="P17" s="76"/>
      <c r="Q17" s="48"/>
      <c r="R17" s="48"/>
      <c r="S17" s="77"/>
      <c r="T17" s="65" t="s">
        <v>142</v>
      </c>
      <c r="U17" s="68">
        <f>R12</f>
        <v>36327.696702022113</v>
      </c>
      <c r="V17" s="48"/>
      <c r="W17" s="65" t="s">
        <v>153</v>
      </c>
      <c r="X17" s="67">
        <f>I20</f>
        <v>186365</v>
      </c>
    </row>
    <row r="18" spans="1:24" ht="15.75">
      <c r="H18" s="37" t="s">
        <v>107</v>
      </c>
      <c r="I18" s="60">
        <f>ONSV_AUX_2018!H60</f>
        <v>84922</v>
      </c>
      <c r="J18" s="61">
        <f>I18-(L11*I8)</f>
        <v>84895.45718059178</v>
      </c>
      <c r="K18" s="11"/>
      <c r="L18" s="11"/>
      <c r="M18" s="11"/>
      <c r="N18" s="28" t="s">
        <v>146</v>
      </c>
      <c r="O18" s="60">
        <f>I9</f>
        <v>1569</v>
      </c>
      <c r="P18" s="76"/>
      <c r="Q18" s="48"/>
      <c r="R18" s="48"/>
      <c r="S18" s="48"/>
      <c r="T18" s="65" t="s">
        <v>154</v>
      </c>
      <c r="U18" s="68">
        <f>I17-J17</f>
        <v>38.669651680422248</v>
      </c>
      <c r="V18" s="48"/>
      <c r="W18" s="65" t="s">
        <v>155</v>
      </c>
      <c r="X18" s="67">
        <f>I21</f>
        <v>19162</v>
      </c>
    </row>
    <row r="19" spans="1:24" ht="15.75">
      <c r="H19" s="37" t="s">
        <v>108</v>
      </c>
      <c r="I19" s="60">
        <f>ONSV_AUX_2018!H61</f>
        <v>5772</v>
      </c>
      <c r="J19" s="10">
        <f>I19</f>
        <v>5772</v>
      </c>
      <c r="K19" s="11"/>
      <c r="L19" s="11"/>
      <c r="M19" s="11"/>
      <c r="N19" s="28" t="s">
        <v>139</v>
      </c>
      <c r="O19" s="60">
        <f>IF(OR((O8*I6&gt;J14),((O17+O18+(O8*I6))&gt;J14)),(J14-O17-O18),(O8*I6))</f>
        <v>902014.01134592085</v>
      </c>
      <c r="P19" s="76"/>
      <c r="Q19" s="48"/>
      <c r="R19" s="78"/>
      <c r="S19" s="48"/>
      <c r="T19" s="65" t="s">
        <v>150</v>
      </c>
      <c r="U19" s="72">
        <f>R15</f>
        <v>87354.633646297472</v>
      </c>
      <c r="V19" s="48"/>
      <c r="W19" s="48"/>
      <c r="X19" s="48"/>
    </row>
    <row r="20" spans="1:24" ht="15.75">
      <c r="H20" s="37" t="s">
        <v>109</v>
      </c>
      <c r="I20" s="60">
        <f>ONSV_AUX_2018!H62</f>
        <v>186365</v>
      </c>
      <c r="J20" s="10">
        <f t="shared" ref="J20:J22" si="0">I20</f>
        <v>186365</v>
      </c>
      <c r="K20" s="11"/>
      <c r="L20" s="11"/>
      <c r="M20" s="11"/>
      <c r="N20" s="28" t="s">
        <v>151</v>
      </c>
      <c r="O20" s="60">
        <f>IF((J14-O17-O19-O18)&lt;0,0,(J14-O17-O19-O18))</f>
        <v>306299.61105006142</v>
      </c>
      <c r="P20" s="48"/>
      <c r="Q20" s="48"/>
      <c r="R20" s="48"/>
      <c r="S20" s="48"/>
      <c r="T20" s="48"/>
      <c r="U20" s="62"/>
      <c r="V20" s="48"/>
      <c r="W20" s="48"/>
      <c r="X20" s="48"/>
    </row>
    <row r="21" spans="1:24" ht="15.75">
      <c r="H21" s="37" t="s">
        <v>110</v>
      </c>
      <c r="I21" s="60">
        <f>ONSV_AUX_2018!H63</f>
        <v>19162</v>
      </c>
      <c r="J21" s="10">
        <f t="shared" si="0"/>
        <v>19162</v>
      </c>
      <c r="K21" s="11"/>
      <c r="L21" s="11"/>
      <c r="M21" s="11"/>
      <c r="O21" s="48"/>
      <c r="P21" s="76"/>
      <c r="Q21" s="48"/>
      <c r="R21" s="48"/>
      <c r="S21" s="48"/>
      <c r="T21" s="79" t="s">
        <v>156</v>
      </c>
      <c r="U21" s="80">
        <f>(SUM(U7:U19,X7:X18)/SUM(I14:I23))-1</f>
        <v>0</v>
      </c>
      <c r="V21" s="48"/>
      <c r="W21" s="79" t="s">
        <v>10</v>
      </c>
      <c r="X21" s="67">
        <f>SUM(U7:U19,X7:X18)</f>
        <v>1754589</v>
      </c>
    </row>
    <row r="22" spans="1:24" ht="15.75">
      <c r="H22" s="37" t="s">
        <v>111</v>
      </c>
      <c r="I22" s="60">
        <f>ONSV_AUX_2018!H64</f>
        <v>12467</v>
      </c>
      <c r="J22" s="10">
        <f t="shared" si="0"/>
        <v>12467</v>
      </c>
      <c r="K22" s="11"/>
      <c r="L22" s="11"/>
      <c r="M22" s="11"/>
      <c r="O22" s="48"/>
      <c r="P22" s="76"/>
      <c r="Q22" s="48"/>
      <c r="R22" s="48"/>
      <c r="S22" s="48"/>
      <c r="T22" s="48"/>
      <c r="U22" s="48"/>
      <c r="V22" s="48"/>
      <c r="W22" s="48"/>
      <c r="X22" s="48"/>
    </row>
    <row r="23" spans="1:24" ht="15.75">
      <c r="H23" s="37" t="s">
        <v>112</v>
      </c>
      <c r="I23" s="60">
        <f>ONSV_AUX_2018!H65</f>
        <v>26907</v>
      </c>
      <c r="J23" s="61">
        <f>I23-(L12*I8)</f>
        <v>26898.590075106367</v>
      </c>
      <c r="K23" s="12"/>
      <c r="L23" s="12"/>
      <c r="M23" s="12"/>
      <c r="N23" s="12"/>
      <c r="O23" s="12"/>
      <c r="P23" s="12"/>
      <c r="Q23" s="4"/>
      <c r="R23" s="4"/>
    </row>
    <row r="25" spans="1:24" s="34" customFormat="1" ht="15.75">
      <c r="A25" s="101" t="str">
        <f>"DISTRITO FEDERAL/"&amp;ONSV_AUX_2017!$A$1&amp;""</f>
        <v>DISTRITO FEDERAL/2017</v>
      </c>
      <c r="B25" s="102"/>
      <c r="C25" s="102"/>
      <c r="D25" s="102"/>
      <c r="E25" s="102"/>
      <c r="F25" s="102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 spans="1:24" ht="15.75">
      <c r="A26" s="3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>
      <c r="A27" s="12"/>
      <c r="H27" s="23" t="s">
        <v>118</v>
      </c>
      <c r="N27" s="26"/>
      <c r="O27" s="26"/>
      <c r="P27" s="9"/>
      <c r="Q27" s="26"/>
      <c r="R27" s="26"/>
      <c r="S27" s="26"/>
      <c r="T27" s="104"/>
      <c r="U27" s="104"/>
      <c r="V27" s="104"/>
      <c r="W27" s="104"/>
      <c r="X27" s="104"/>
    </row>
    <row r="28" spans="1:24" ht="15.75">
      <c r="B28" s="5"/>
      <c r="J28" s="9"/>
      <c r="M28" s="25"/>
    </row>
    <row r="29" spans="1:24" ht="15.75">
      <c r="H29" s="36" t="s">
        <v>81</v>
      </c>
      <c r="I29" s="60">
        <f>ONSV_AUX_2017!H27</f>
        <v>57962</v>
      </c>
      <c r="J29" s="9"/>
      <c r="K29" s="104" t="s">
        <v>119</v>
      </c>
      <c r="L29" s="104"/>
      <c r="M29" s="9"/>
      <c r="N29" s="26" t="s">
        <v>120</v>
      </c>
      <c r="O29" s="26"/>
      <c r="Q29" s="26" t="s">
        <v>121</v>
      </c>
      <c r="R29" s="26"/>
      <c r="S29" s="26"/>
      <c r="T29" s="25" t="s">
        <v>122</v>
      </c>
      <c r="U29" s="25"/>
      <c r="V29" s="25"/>
      <c r="W29" s="25"/>
      <c r="X29" s="25"/>
    </row>
    <row r="30" spans="1:24" ht="15.75">
      <c r="H30" s="36" t="s">
        <v>84</v>
      </c>
      <c r="I30" s="60">
        <f>ONSV_AUX_2017!H28</f>
        <v>871422</v>
      </c>
      <c r="J30" s="9"/>
      <c r="K30" s="9"/>
      <c r="L30" s="9"/>
      <c r="M30" s="9"/>
      <c r="N30" s="9"/>
      <c r="O30" s="9"/>
      <c r="P30" s="20"/>
      <c r="Q30" s="11"/>
      <c r="R30" s="11"/>
      <c r="S30" s="11"/>
    </row>
    <row r="31" spans="1:24" ht="15.75">
      <c r="H31" s="36" t="s">
        <v>85</v>
      </c>
      <c r="I31" s="60">
        <f>ONSV_AUX_2017!H29</f>
        <v>102001</v>
      </c>
      <c r="J31" s="9"/>
      <c r="K31" s="2" t="s">
        <v>123</v>
      </c>
      <c r="L31" s="60">
        <f>I38+I41+I42+I47</f>
        <v>1455581</v>
      </c>
      <c r="N31" s="28" t="s">
        <v>124</v>
      </c>
      <c r="O31" s="60">
        <f>J38+J47</f>
        <v>1256619.2718508968</v>
      </c>
      <c r="P31" s="64"/>
      <c r="Q31" s="65" t="s">
        <v>125</v>
      </c>
      <c r="R31" s="60">
        <f>J41+J42</f>
        <v>198688.72814910335</v>
      </c>
      <c r="S31" s="66"/>
      <c r="T31" s="65" t="s">
        <v>126</v>
      </c>
      <c r="U31" s="67">
        <f>O35</f>
        <v>17005.436103607812</v>
      </c>
      <c r="V31" s="48"/>
      <c r="W31" s="65" t="s">
        <v>127</v>
      </c>
      <c r="X31" s="68">
        <f>R37</f>
        <v>23046.311564666928</v>
      </c>
    </row>
    <row r="32" spans="1:24" ht="15.75">
      <c r="H32" s="36" t="s">
        <v>101</v>
      </c>
      <c r="I32" s="60">
        <f>ONSV_AUX_2017!H30</f>
        <v>273</v>
      </c>
      <c r="J32" s="9"/>
      <c r="K32" s="27"/>
      <c r="L32" s="62"/>
      <c r="M32" s="20"/>
      <c r="N32" s="28" t="s">
        <v>128</v>
      </c>
      <c r="O32" s="69">
        <f>J38/O31</f>
        <v>0.98048541796786415</v>
      </c>
      <c r="P32" s="64"/>
      <c r="Q32" s="70" t="s">
        <v>129</v>
      </c>
      <c r="R32" s="63">
        <f>J41/R31</f>
        <v>0.5981602809899057</v>
      </c>
      <c r="S32" s="71"/>
      <c r="T32" s="65" t="s">
        <v>130</v>
      </c>
      <c r="U32" s="67">
        <f>I47-J47</f>
        <v>4.600136302960891</v>
      </c>
      <c r="V32" s="48"/>
      <c r="W32" s="65" t="s">
        <v>131</v>
      </c>
      <c r="X32" s="68">
        <f>I42-J42</f>
        <v>14.977310091300751</v>
      </c>
    </row>
    <row r="33" spans="8:24" ht="15.75">
      <c r="H33" s="36" t="s">
        <v>16</v>
      </c>
      <c r="I33" s="60">
        <f>ONSV_AUX_2017!H31</f>
        <v>1616</v>
      </c>
      <c r="J33" s="9"/>
      <c r="K33" s="2" t="s">
        <v>132</v>
      </c>
      <c r="L33" s="63">
        <f>I38/L31</f>
        <v>0.84662275751057481</v>
      </c>
      <c r="M33" s="20"/>
      <c r="N33" s="28" t="s">
        <v>133</v>
      </c>
      <c r="O33" s="69">
        <f>J47/O31</f>
        <v>1.9514582032135765E-2</v>
      </c>
      <c r="P33" s="64"/>
      <c r="Q33" s="70" t="s">
        <v>134</v>
      </c>
      <c r="R33" s="63">
        <f>J42/R31</f>
        <v>0.4018397190100943</v>
      </c>
      <c r="S33" s="71"/>
      <c r="T33" s="65" t="s">
        <v>135</v>
      </c>
      <c r="U33" s="72">
        <f>O37</f>
        <v>7516.9637600892274</v>
      </c>
      <c r="V33" s="73"/>
      <c r="W33" s="65" t="s">
        <v>136</v>
      </c>
      <c r="X33" s="72">
        <f>R40</f>
        <v>56794.711125241767</v>
      </c>
    </row>
    <row r="34" spans="8:24" ht="15.75">
      <c r="H34" s="36" t="s">
        <v>94</v>
      </c>
      <c r="I34" s="60">
        <f>ONSV_AUX_2017!H32</f>
        <v>656616</v>
      </c>
      <c r="J34" s="10"/>
      <c r="K34" s="2" t="s">
        <v>2</v>
      </c>
      <c r="L34" s="63">
        <f>I41/L31</f>
        <v>8.1664984635001422E-2</v>
      </c>
      <c r="M34" s="20"/>
      <c r="N34" s="20"/>
      <c r="O34" s="74"/>
      <c r="P34" s="48"/>
      <c r="Q34" s="48"/>
      <c r="R34" s="48"/>
      <c r="S34" s="48"/>
      <c r="T34" s="48"/>
      <c r="U34" s="62"/>
      <c r="V34" s="75"/>
      <c r="W34" s="48"/>
      <c r="X34" s="62"/>
    </row>
    <row r="35" spans="8:24" ht="15.75">
      <c r="K35" s="2" t="s">
        <v>3</v>
      </c>
      <c r="L35" s="63">
        <f>I42/L31</f>
        <v>5.486194172636219E-2</v>
      </c>
      <c r="M35" s="20"/>
      <c r="N35" s="28" t="s">
        <v>137</v>
      </c>
      <c r="O35" s="60">
        <f>IF(O33*I30&gt;J47,J47,O33*I30)</f>
        <v>17005.436103607812</v>
      </c>
      <c r="P35" s="76"/>
      <c r="Q35" s="65" t="s">
        <v>138</v>
      </c>
      <c r="R35" s="60">
        <f>I31-I39-I40-I43-I46</f>
        <v>57352</v>
      </c>
      <c r="S35" s="77"/>
      <c r="T35" s="65" t="s">
        <v>139</v>
      </c>
      <c r="U35" s="67">
        <f>O43</f>
        <v>854416.56389639212</v>
      </c>
      <c r="V35" s="76"/>
      <c r="W35" s="65" t="s">
        <v>140</v>
      </c>
      <c r="X35" s="67">
        <f>I39</f>
        <v>23615</v>
      </c>
    </row>
    <row r="36" spans="8:24" ht="15.75">
      <c r="H36" s="24" t="s">
        <v>141</v>
      </c>
      <c r="K36" s="2" t="s">
        <v>0</v>
      </c>
      <c r="L36" s="63">
        <f>I47/L31</f>
        <v>1.6850316128061579E-2</v>
      </c>
      <c r="O36" s="48"/>
      <c r="P36" s="76"/>
      <c r="Q36" s="65" t="s">
        <v>142</v>
      </c>
      <c r="R36" s="60">
        <f>R32*R35</f>
        <v>34305.688435333075</v>
      </c>
      <c r="S36" s="48"/>
      <c r="T36" s="65" t="s">
        <v>143</v>
      </c>
      <c r="U36" s="67">
        <f>O41</f>
        <v>57962</v>
      </c>
      <c r="V36" s="66"/>
      <c r="W36" s="65" t="s">
        <v>144</v>
      </c>
      <c r="X36" s="67">
        <f>I40</f>
        <v>3192</v>
      </c>
    </row>
    <row r="37" spans="8:24" ht="15.75">
      <c r="K37" s="11"/>
      <c r="L37" s="11"/>
      <c r="M37" s="11"/>
      <c r="N37" s="28" t="s">
        <v>145</v>
      </c>
      <c r="O37" s="60">
        <f>J47-O35</f>
        <v>7516.9637600892274</v>
      </c>
      <c r="P37" s="76"/>
      <c r="Q37" s="65" t="s">
        <v>127</v>
      </c>
      <c r="R37" s="60">
        <f>R33*R35</f>
        <v>23046.311564666928</v>
      </c>
      <c r="S37" s="48"/>
      <c r="T37" s="65" t="s">
        <v>146</v>
      </c>
      <c r="U37" s="67">
        <f>O42</f>
        <v>1616</v>
      </c>
      <c r="V37" s="71"/>
      <c r="W37" s="48"/>
      <c r="X37" s="62"/>
    </row>
    <row r="38" spans="8:24" ht="15.75">
      <c r="H38" s="37" t="s">
        <v>103</v>
      </c>
      <c r="I38" s="60">
        <f>ONSV_AUX_2017!H56</f>
        <v>1232328</v>
      </c>
      <c r="J38" s="61">
        <f>I38-(L33*I32)</f>
        <v>1232096.8719871996</v>
      </c>
      <c r="K38" s="11"/>
      <c r="L38" s="11"/>
      <c r="M38" s="11"/>
      <c r="O38" s="76"/>
      <c r="P38" s="76"/>
      <c r="Q38" s="48"/>
      <c r="R38" s="78"/>
      <c r="S38" s="48"/>
      <c r="T38" s="65" t="s">
        <v>147</v>
      </c>
      <c r="U38" s="68">
        <f>I38-J38</f>
        <v>231.12801280035637</v>
      </c>
      <c r="V38" s="71"/>
      <c r="W38" s="65" t="s">
        <v>148</v>
      </c>
      <c r="X38" s="67">
        <f>I46</f>
        <v>12239</v>
      </c>
    </row>
    <row r="39" spans="8:24" ht="15.75">
      <c r="H39" s="37" t="s">
        <v>104</v>
      </c>
      <c r="I39" s="60">
        <f>ONSV_AUX_2017!H57</f>
        <v>23615</v>
      </c>
      <c r="J39" s="10">
        <f>I39</f>
        <v>23615</v>
      </c>
      <c r="K39" s="11"/>
      <c r="L39" s="11"/>
      <c r="M39" s="11"/>
      <c r="N39" s="26" t="s">
        <v>149</v>
      </c>
      <c r="O39" s="76"/>
      <c r="P39" s="76"/>
      <c r="Q39" s="65" t="s">
        <v>150</v>
      </c>
      <c r="R39" s="60">
        <f>J41-R36</f>
        <v>84542.017023861583</v>
      </c>
      <c r="S39" s="48"/>
      <c r="T39" s="65" t="s">
        <v>151</v>
      </c>
      <c r="U39" s="72">
        <f>O44</f>
        <v>318102.30809080752</v>
      </c>
      <c r="V39" s="48"/>
      <c r="W39" s="65" t="s">
        <v>152</v>
      </c>
      <c r="X39" s="67">
        <f>I43</f>
        <v>5603</v>
      </c>
    </row>
    <row r="40" spans="8:24" ht="15.75">
      <c r="H40" s="37" t="s">
        <v>105</v>
      </c>
      <c r="I40" s="60">
        <f>ONSV_AUX_2017!H58</f>
        <v>3192</v>
      </c>
      <c r="J40" s="10">
        <f>I40</f>
        <v>3192</v>
      </c>
      <c r="K40" s="11"/>
      <c r="L40" s="11"/>
      <c r="M40" s="11"/>
      <c r="O40" s="73"/>
      <c r="P40" s="76"/>
      <c r="Q40" s="65" t="s">
        <v>136</v>
      </c>
      <c r="R40" s="60">
        <f>J42-R37</f>
        <v>56794.711125241767</v>
      </c>
      <c r="S40" s="48"/>
      <c r="T40" s="48"/>
      <c r="U40" s="62"/>
      <c r="V40" s="77"/>
      <c r="W40" s="48"/>
      <c r="X40" s="62"/>
    </row>
    <row r="41" spans="8:24" ht="15.75">
      <c r="H41" s="37" t="s">
        <v>106</v>
      </c>
      <c r="I41" s="60">
        <f>ONSV_AUX_2017!H59</f>
        <v>118870</v>
      </c>
      <c r="J41" s="61">
        <f>I41-(L34*I32)</f>
        <v>118847.70545919465</v>
      </c>
      <c r="K41" s="11"/>
      <c r="L41" s="11"/>
      <c r="M41" s="11"/>
      <c r="N41" s="28" t="s">
        <v>143</v>
      </c>
      <c r="O41" s="60">
        <f>I29</f>
        <v>57962</v>
      </c>
      <c r="P41" s="76"/>
      <c r="Q41" s="48"/>
      <c r="R41" s="48"/>
      <c r="S41" s="77"/>
      <c r="T41" s="65" t="s">
        <v>142</v>
      </c>
      <c r="U41" s="68">
        <f>R36</f>
        <v>34305.688435333075</v>
      </c>
      <c r="V41" s="48"/>
      <c r="W41" s="65" t="s">
        <v>153</v>
      </c>
      <c r="X41" s="67">
        <f>I44</f>
        <v>179868</v>
      </c>
    </row>
    <row r="42" spans="8:24" ht="15.75">
      <c r="H42" s="37" t="s">
        <v>107</v>
      </c>
      <c r="I42" s="60">
        <f>ONSV_AUX_2017!H60</f>
        <v>79856</v>
      </c>
      <c r="J42" s="61">
        <f>I42-(L35*I32)</f>
        <v>79841.022689908699</v>
      </c>
      <c r="K42" s="11"/>
      <c r="L42" s="11"/>
      <c r="M42" s="11"/>
      <c r="N42" s="28" t="s">
        <v>146</v>
      </c>
      <c r="O42" s="60">
        <f>I33</f>
        <v>1616</v>
      </c>
      <c r="P42" s="76"/>
      <c r="Q42" s="48"/>
      <c r="R42" s="48"/>
      <c r="S42" s="48"/>
      <c r="T42" s="65" t="s">
        <v>154</v>
      </c>
      <c r="U42" s="68">
        <f>I41-J41</f>
        <v>22.294540805349243</v>
      </c>
      <c r="V42" s="48"/>
      <c r="W42" s="65" t="s">
        <v>155</v>
      </c>
      <c r="X42" s="67">
        <f>I45</f>
        <v>18176</v>
      </c>
    </row>
    <row r="43" spans="8:24" ht="15.75">
      <c r="H43" s="37" t="s">
        <v>108</v>
      </c>
      <c r="I43" s="60">
        <f>ONSV_AUX_2017!H61</f>
        <v>5603</v>
      </c>
      <c r="J43" s="10">
        <f>I43</f>
        <v>5603</v>
      </c>
      <c r="K43" s="11"/>
      <c r="L43" s="11"/>
      <c r="M43" s="11"/>
      <c r="N43" s="28" t="s">
        <v>139</v>
      </c>
      <c r="O43" s="60">
        <f>IF(OR((O32*I30&gt;J38),((O41+O42+(O32*I30))&gt;J38)),(J38-O41-O42),(O32*I30))</f>
        <v>854416.56389639212</v>
      </c>
      <c r="P43" s="76"/>
      <c r="Q43" s="48"/>
      <c r="R43" s="78"/>
      <c r="S43" s="48"/>
      <c r="T43" s="65" t="s">
        <v>150</v>
      </c>
      <c r="U43" s="72">
        <f>R39</f>
        <v>84542.017023861583</v>
      </c>
      <c r="V43" s="48"/>
      <c r="W43" s="48"/>
      <c r="X43" s="48"/>
    </row>
    <row r="44" spans="8:24" ht="15.75">
      <c r="H44" s="37" t="s">
        <v>109</v>
      </c>
      <c r="I44" s="60">
        <f>ONSV_AUX_2017!H62</f>
        <v>179868</v>
      </c>
      <c r="J44" s="10">
        <f>I44</f>
        <v>179868</v>
      </c>
      <c r="K44" s="11"/>
      <c r="L44" s="11"/>
      <c r="M44" s="11"/>
      <c r="N44" s="28" t="s">
        <v>151</v>
      </c>
      <c r="O44" s="60">
        <f>IF((J38-O41-O43-O42)&lt;0,0,(J38-O41-O43-O42))</f>
        <v>318102.30809080752</v>
      </c>
      <c r="P44" s="48"/>
      <c r="Q44" s="48"/>
      <c r="R44" s="48"/>
      <c r="S44" s="48"/>
      <c r="T44" s="48"/>
      <c r="U44" s="62"/>
      <c r="V44" s="48"/>
      <c r="W44" s="48"/>
      <c r="X44" s="48"/>
    </row>
    <row r="45" spans="8:24" ht="15.75">
      <c r="H45" s="37" t="s">
        <v>110</v>
      </c>
      <c r="I45" s="60">
        <f>ONSV_AUX_2017!H63</f>
        <v>18176</v>
      </c>
      <c r="J45" s="10">
        <f>I45</f>
        <v>18176</v>
      </c>
      <c r="K45" s="11"/>
      <c r="L45" s="11"/>
      <c r="M45" s="11"/>
      <c r="O45" s="48"/>
      <c r="P45" s="76"/>
      <c r="Q45" s="48"/>
      <c r="R45" s="48"/>
      <c r="S45" s="48"/>
      <c r="T45" s="79" t="s">
        <v>156</v>
      </c>
      <c r="U45" s="80">
        <f>(SUM(U31:U43,X31:X42)/SUM(I38:I47))-1</f>
        <v>0</v>
      </c>
      <c r="V45" s="48"/>
      <c r="W45" s="79" t="s">
        <v>10</v>
      </c>
      <c r="X45" s="67">
        <f>SUM(U31:U43,X31:X42)</f>
        <v>1698274</v>
      </c>
    </row>
    <row r="46" spans="8:24" ht="15.75">
      <c r="H46" s="37" t="s">
        <v>111</v>
      </c>
      <c r="I46" s="60">
        <f>ONSV_AUX_2017!H64</f>
        <v>12239</v>
      </c>
      <c r="J46" s="10">
        <f>I46</f>
        <v>12239</v>
      </c>
      <c r="K46" s="11"/>
      <c r="L46" s="11"/>
      <c r="M46" s="11"/>
      <c r="O46" s="48"/>
      <c r="P46" s="76"/>
      <c r="Q46" s="48"/>
      <c r="R46" s="48"/>
      <c r="S46" s="48"/>
      <c r="T46" s="48"/>
      <c r="U46" s="48"/>
      <c r="V46" s="48"/>
      <c r="W46" s="48"/>
      <c r="X46" s="48"/>
    </row>
    <row r="47" spans="8:24" ht="15.75">
      <c r="H47" s="37" t="s">
        <v>112</v>
      </c>
      <c r="I47" s="60">
        <f>ONSV_AUX_2017!H65</f>
        <v>24527</v>
      </c>
      <c r="J47" s="61">
        <f>I47-(L36*I32)</f>
        <v>24522.399863697039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39"/>
      <c r="I48" s="40"/>
      <c r="J48" s="40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4" customFormat="1" ht="15.75">
      <c r="A50" s="101" t="str">
        <f>"DISTRITO FEDERAL/"&amp;ONSV_AUX_2016!$A$1&amp;""</f>
        <v>DISTRITO FEDERAL/2016</v>
      </c>
      <c r="B50" s="102"/>
      <c r="C50" s="102"/>
      <c r="D50" s="102"/>
      <c r="E50" s="102"/>
      <c r="F50" s="102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</row>
    <row r="52" spans="1:24" ht="15.75">
      <c r="H52" s="23" t="s">
        <v>118</v>
      </c>
      <c r="N52" s="26"/>
      <c r="O52" s="26"/>
      <c r="P52" s="9"/>
      <c r="Q52" s="26"/>
      <c r="R52" s="26"/>
      <c r="S52" s="26"/>
      <c r="T52" s="104"/>
      <c r="U52" s="104"/>
      <c r="V52" s="104"/>
      <c r="W52" s="104"/>
      <c r="X52" s="104"/>
    </row>
    <row r="53" spans="1:24" ht="15.75">
      <c r="J53" s="9"/>
      <c r="M53" s="25"/>
      <c r="N53" s="9"/>
      <c r="O53" s="9"/>
      <c r="P53" s="9"/>
      <c r="Q53" s="11"/>
      <c r="R53" s="11"/>
      <c r="S53" s="11"/>
    </row>
    <row r="54" spans="1:24" ht="15.75">
      <c r="H54" s="36" t="s">
        <v>81</v>
      </c>
      <c r="I54" s="60">
        <f>ONSV_AUX_2016!H27</f>
        <v>58035</v>
      </c>
      <c r="J54" s="9"/>
      <c r="K54" s="104" t="s">
        <v>119</v>
      </c>
      <c r="L54" s="104"/>
      <c r="M54" s="9"/>
      <c r="N54" s="26" t="s">
        <v>120</v>
      </c>
      <c r="O54" s="26"/>
      <c r="Q54" s="26" t="s">
        <v>121</v>
      </c>
      <c r="R54" s="26"/>
      <c r="S54" s="26"/>
      <c r="T54" s="25" t="s">
        <v>122</v>
      </c>
      <c r="U54" s="25"/>
      <c r="V54" s="25"/>
      <c r="W54" s="25"/>
      <c r="X54" s="25"/>
    </row>
    <row r="55" spans="1:24" ht="15.75">
      <c r="H55" s="36" t="s">
        <v>84</v>
      </c>
      <c r="I55" s="60">
        <f>ONSV_AUX_2016!H28</f>
        <v>827957</v>
      </c>
      <c r="J55" s="9"/>
      <c r="K55" s="9"/>
      <c r="L55" s="9"/>
      <c r="M55" s="9"/>
      <c r="N55" s="9"/>
      <c r="O55" s="9"/>
      <c r="P55" s="20"/>
      <c r="Q55" s="11"/>
      <c r="R55" s="11"/>
      <c r="S55" s="11"/>
    </row>
    <row r="56" spans="1:24" ht="15.75">
      <c r="H56" s="36" t="s">
        <v>85</v>
      </c>
      <c r="I56" s="60">
        <f>ONSV_AUX_2016!H29</f>
        <v>98154</v>
      </c>
      <c r="J56" s="9"/>
      <c r="K56" s="2" t="s">
        <v>123</v>
      </c>
      <c r="L56" s="60">
        <f>I63+I66+I67+I72</f>
        <v>1413072</v>
      </c>
      <c r="N56" s="28" t="s">
        <v>124</v>
      </c>
      <c r="O56" s="60">
        <f>J63+J72</f>
        <v>1223092.1801691633</v>
      </c>
      <c r="P56" s="64"/>
      <c r="Q56" s="65" t="s">
        <v>125</v>
      </c>
      <c r="R56" s="60">
        <f>J66+J67</f>
        <v>189799.81983083667</v>
      </c>
      <c r="S56" s="66"/>
      <c r="T56" s="65" t="s">
        <v>126</v>
      </c>
      <c r="U56" s="67">
        <f>O60</f>
        <v>15086.338643513009</v>
      </c>
      <c r="V56" s="48"/>
      <c r="W56" s="65" t="s">
        <v>127</v>
      </c>
      <c r="X56" s="68">
        <f>R62</f>
        <v>21493.137611682399</v>
      </c>
    </row>
    <row r="57" spans="1:24" ht="15.75">
      <c r="H57" s="36" t="s">
        <v>101</v>
      </c>
      <c r="I57" s="60">
        <f>ONSV_AUX_2016!H30</f>
        <v>180</v>
      </c>
      <c r="J57" s="9"/>
      <c r="K57" s="27"/>
      <c r="L57" s="62"/>
      <c r="M57" s="20"/>
      <c r="N57" s="28" t="s">
        <v>128</v>
      </c>
      <c r="O57" s="69">
        <f>J63/O56</f>
        <v>0.9817788379788891</v>
      </c>
      <c r="P57" s="64"/>
      <c r="Q57" s="70" t="s">
        <v>129</v>
      </c>
      <c r="R57" s="63">
        <f>J66/R56</f>
        <v>0.60258976736345238</v>
      </c>
      <c r="S57" s="71"/>
      <c r="T57" s="65" t="s">
        <v>130</v>
      </c>
      <c r="U57" s="67">
        <f>I72-J72</f>
        <v>2.8392183837750053</v>
      </c>
      <c r="V57" s="48"/>
      <c r="W57" s="65" t="s">
        <v>131</v>
      </c>
      <c r="X57" s="68">
        <f>I67-J67</f>
        <v>9.6094466523936717</v>
      </c>
    </row>
    <row r="58" spans="1:24" ht="15.75">
      <c r="H58" s="36" t="s">
        <v>16</v>
      </c>
      <c r="I58" s="60">
        <f>ONSV_AUX_2016!H31</f>
        <v>1676</v>
      </c>
      <c r="J58" s="9"/>
      <c r="K58" s="2" t="s">
        <v>132</v>
      </c>
      <c r="L58" s="63">
        <f>I63/L56</f>
        <v>0.84989229140482581</v>
      </c>
      <c r="M58" s="20"/>
      <c r="N58" s="28" t="s">
        <v>133</v>
      </c>
      <c r="O58" s="69">
        <f>J72/O56</f>
        <v>1.8221162021111011E-2</v>
      </c>
      <c r="P58" s="64"/>
      <c r="Q58" s="70" t="s">
        <v>134</v>
      </c>
      <c r="R58" s="63">
        <f>J67/R56</f>
        <v>0.39741023263654751</v>
      </c>
      <c r="S58" s="71"/>
      <c r="T58" s="65" t="s">
        <v>135</v>
      </c>
      <c r="U58" s="72">
        <f>O62</f>
        <v>7199.8221381032163</v>
      </c>
      <c r="V58" s="73"/>
      <c r="W58" s="65" t="s">
        <v>136</v>
      </c>
      <c r="X58" s="72">
        <f>R65</f>
        <v>53935.252941665211</v>
      </c>
    </row>
    <row r="59" spans="1:24" ht="15.75">
      <c r="H59" s="36" t="s">
        <v>94</v>
      </c>
      <c r="I59" s="60">
        <f>ONSV_AUX_2016!H32</f>
        <v>655819</v>
      </c>
      <c r="J59" s="10"/>
      <c r="K59" s="2" t="s">
        <v>2</v>
      </c>
      <c r="L59" s="63">
        <f>I66/L56</f>
        <v>8.0948458394193637E-2</v>
      </c>
      <c r="M59" s="20"/>
      <c r="N59" s="20"/>
      <c r="O59" s="74"/>
      <c r="P59" s="48"/>
      <c r="Q59" s="48"/>
      <c r="R59" s="48"/>
      <c r="S59" s="48"/>
      <c r="T59" s="48"/>
      <c r="U59" s="62"/>
      <c r="V59" s="75"/>
      <c r="W59" s="48"/>
      <c r="X59" s="62"/>
    </row>
    <row r="60" spans="1:24" ht="15.75">
      <c r="K60" s="2" t="s">
        <v>3</v>
      </c>
      <c r="L60" s="63">
        <f>I67/L56</f>
        <v>5.3385814735554878E-2</v>
      </c>
      <c r="M60" s="20"/>
      <c r="N60" s="28" t="s">
        <v>137</v>
      </c>
      <c r="O60" s="60">
        <f>IF(O58*I55&gt;J72,J72,O58*I55)</f>
        <v>15086.338643513009</v>
      </c>
      <c r="P60" s="76"/>
      <c r="Q60" s="65" t="s">
        <v>138</v>
      </c>
      <c r="R60" s="60">
        <f>I56-I64-I65-I68-I71</f>
        <v>54083</v>
      </c>
      <c r="S60" s="77"/>
      <c r="T60" s="65" t="s">
        <v>139</v>
      </c>
      <c r="U60" s="67">
        <f>O68</f>
        <v>812870.66135648708</v>
      </c>
      <c r="V60" s="76"/>
      <c r="W60" s="65" t="s">
        <v>140</v>
      </c>
      <c r="X60" s="67">
        <f>I64</f>
        <v>23412</v>
      </c>
    </row>
    <row r="61" spans="1:24" ht="15.75">
      <c r="H61" s="24" t="s">
        <v>141</v>
      </c>
      <c r="K61" s="2" t="s">
        <v>0</v>
      </c>
      <c r="L61" s="63">
        <f>I72/L56</f>
        <v>1.5773435465425683E-2</v>
      </c>
      <c r="O61" s="48"/>
      <c r="P61" s="76"/>
      <c r="Q61" s="65" t="s">
        <v>142</v>
      </c>
      <c r="R61" s="60">
        <f>R57*R60</f>
        <v>32589.862388317593</v>
      </c>
      <c r="S61" s="48"/>
      <c r="T61" s="65" t="s">
        <v>143</v>
      </c>
      <c r="U61" s="67">
        <f>O66</f>
        <v>58035</v>
      </c>
      <c r="V61" s="66"/>
      <c r="W61" s="65" t="s">
        <v>144</v>
      </c>
      <c r="X61" s="67">
        <f>I65</f>
        <v>3154</v>
      </c>
    </row>
    <row r="62" spans="1:24" ht="15.75">
      <c r="K62" s="11"/>
      <c r="L62" s="11"/>
      <c r="M62" s="11"/>
      <c r="N62" s="28" t="s">
        <v>145</v>
      </c>
      <c r="O62" s="60">
        <f>J72-O60</f>
        <v>7199.8221381032163</v>
      </c>
      <c r="P62" s="76"/>
      <c r="Q62" s="65" t="s">
        <v>127</v>
      </c>
      <c r="R62" s="60">
        <f>R58*R60</f>
        <v>21493.137611682399</v>
      </c>
      <c r="S62" s="48"/>
      <c r="T62" s="65" t="s">
        <v>146</v>
      </c>
      <c r="U62" s="67">
        <f>O67</f>
        <v>1676</v>
      </c>
      <c r="V62" s="71"/>
      <c r="W62" s="48"/>
      <c r="X62" s="62"/>
    </row>
    <row r="63" spans="1:24" ht="15.75">
      <c r="H63" s="37" t="s">
        <v>103</v>
      </c>
      <c r="I63" s="60">
        <f>ONSV_AUX_2016!H56</f>
        <v>1200959</v>
      </c>
      <c r="J63" s="61">
        <f>I63-(L58*I57)</f>
        <v>1200806.0193875472</v>
      </c>
      <c r="K63" s="11"/>
      <c r="L63" s="11"/>
      <c r="M63" s="11"/>
      <c r="O63" s="76"/>
      <c r="P63" s="76"/>
      <c r="Q63" s="48"/>
      <c r="R63" s="78"/>
      <c r="S63" s="48"/>
      <c r="T63" s="65" t="s">
        <v>147</v>
      </c>
      <c r="U63" s="68">
        <f>I63-J63</f>
        <v>152.98061245284043</v>
      </c>
      <c r="V63" s="71"/>
      <c r="W63" s="65" t="s">
        <v>148</v>
      </c>
      <c r="X63" s="67">
        <f>I71</f>
        <v>12096</v>
      </c>
    </row>
    <row r="64" spans="1:24" ht="15.75">
      <c r="H64" s="37" t="s">
        <v>104</v>
      </c>
      <c r="I64" s="60">
        <f>ONSV_AUX_2016!H57</f>
        <v>23412</v>
      </c>
      <c r="J64" s="10">
        <f>I64</f>
        <v>23412</v>
      </c>
      <c r="K64" s="11"/>
      <c r="L64" s="11"/>
      <c r="M64" s="11"/>
      <c r="N64" s="26" t="s">
        <v>149</v>
      </c>
      <c r="O64" s="76"/>
      <c r="P64" s="76"/>
      <c r="Q64" s="65" t="s">
        <v>150</v>
      </c>
      <c r="R64" s="60">
        <f>J66-R61</f>
        <v>81781.566889171459</v>
      </c>
      <c r="S64" s="48"/>
      <c r="T64" s="65" t="s">
        <v>151</v>
      </c>
      <c r="U64" s="72">
        <f>O69</f>
        <v>328224.35803106008</v>
      </c>
      <c r="V64" s="48"/>
      <c r="W64" s="65" t="s">
        <v>152</v>
      </c>
      <c r="X64" s="67">
        <f>I68</f>
        <v>5409</v>
      </c>
    </row>
    <row r="65" spans="1:24" ht="15.75">
      <c r="H65" s="37" t="s">
        <v>105</v>
      </c>
      <c r="I65" s="60">
        <f>ONSV_AUX_2016!H58</f>
        <v>3154</v>
      </c>
      <c r="J65" s="10">
        <f>I65</f>
        <v>3154</v>
      </c>
      <c r="K65" s="11"/>
      <c r="L65" s="11"/>
      <c r="M65" s="11"/>
      <c r="O65" s="73"/>
      <c r="P65" s="76"/>
      <c r="Q65" s="65" t="s">
        <v>136</v>
      </c>
      <c r="R65" s="60">
        <f>J67-R62</f>
        <v>53935.252941665211</v>
      </c>
      <c r="S65" s="48"/>
      <c r="T65" s="48"/>
      <c r="U65" s="62"/>
      <c r="V65" s="77"/>
      <c r="W65" s="48"/>
      <c r="X65" s="62"/>
    </row>
    <row r="66" spans="1:24" ht="15.75">
      <c r="H66" s="37" t="s">
        <v>106</v>
      </c>
      <c r="I66" s="60">
        <f>ONSV_AUX_2016!H59</f>
        <v>114386</v>
      </c>
      <c r="J66" s="61">
        <f>I66-(L59*I57)</f>
        <v>114371.42927748905</v>
      </c>
      <c r="K66" s="11"/>
      <c r="L66" s="11"/>
      <c r="M66" s="11"/>
      <c r="N66" s="28" t="s">
        <v>143</v>
      </c>
      <c r="O66" s="60">
        <f>I54</f>
        <v>58035</v>
      </c>
      <c r="P66" s="76"/>
      <c r="Q66" s="48"/>
      <c r="R66" s="48"/>
      <c r="S66" s="77"/>
      <c r="T66" s="65" t="s">
        <v>142</v>
      </c>
      <c r="U66" s="68">
        <f>R61</f>
        <v>32589.862388317593</v>
      </c>
      <c r="V66" s="48"/>
      <c r="W66" s="65" t="s">
        <v>153</v>
      </c>
      <c r="X66" s="67">
        <f>I69</f>
        <v>174696</v>
      </c>
    </row>
    <row r="67" spans="1:24" ht="15.75">
      <c r="H67" s="37" t="s">
        <v>107</v>
      </c>
      <c r="I67" s="60">
        <f>ONSV_AUX_2016!H60</f>
        <v>75438</v>
      </c>
      <c r="J67" s="61">
        <f>I67-(L60*I57)</f>
        <v>75428.390553347606</v>
      </c>
      <c r="K67" s="11"/>
      <c r="L67" s="11"/>
      <c r="M67" s="11"/>
      <c r="N67" s="28" t="s">
        <v>146</v>
      </c>
      <c r="O67" s="60">
        <f>I58</f>
        <v>1676</v>
      </c>
      <c r="P67" s="76"/>
      <c r="Q67" s="48"/>
      <c r="R67" s="48"/>
      <c r="S67" s="48"/>
      <c r="T67" s="65" t="s">
        <v>154</v>
      </c>
      <c r="U67" s="68">
        <f>I66-J66</f>
        <v>14.570722510950873</v>
      </c>
      <c r="V67" s="48"/>
      <c r="W67" s="65" t="s">
        <v>155</v>
      </c>
      <c r="X67" s="67">
        <f>I70</f>
        <v>17588</v>
      </c>
    </row>
    <row r="68" spans="1:24" ht="15.75">
      <c r="H68" s="37" t="s">
        <v>108</v>
      </c>
      <c r="I68" s="60">
        <f>ONSV_AUX_2016!H61</f>
        <v>5409</v>
      </c>
      <c r="J68" s="10">
        <f>I68</f>
        <v>5409</v>
      </c>
      <c r="K68" s="11"/>
      <c r="L68" s="11"/>
      <c r="M68" s="11"/>
      <c r="N68" s="28" t="s">
        <v>139</v>
      </c>
      <c r="O68" s="60">
        <f>IF(OR((O57*I55&gt;J63),((O66+O67+(O57*I55))&gt;J63)),(J63-O66-O67),(O57*I55))</f>
        <v>812870.66135648708</v>
      </c>
      <c r="P68" s="76"/>
      <c r="Q68" s="48"/>
      <c r="R68" s="78"/>
      <c r="S68" s="48"/>
      <c r="T68" s="65" t="s">
        <v>150</v>
      </c>
      <c r="U68" s="72">
        <f>R64</f>
        <v>81781.566889171459</v>
      </c>
      <c r="V68" s="48"/>
      <c r="W68" s="48"/>
      <c r="X68" s="48"/>
    </row>
    <row r="69" spans="1:24" ht="15.75">
      <c r="H69" s="37" t="s">
        <v>109</v>
      </c>
      <c r="I69" s="60">
        <f>ONSV_AUX_2016!H62</f>
        <v>174696</v>
      </c>
      <c r="J69" s="10">
        <f>I69</f>
        <v>174696</v>
      </c>
      <c r="K69" s="11"/>
      <c r="L69" s="11"/>
      <c r="M69" s="11"/>
      <c r="N69" s="28" t="s">
        <v>151</v>
      </c>
      <c r="O69" s="60">
        <f>IF((J63-O66-O68-O67)&lt;0,0,(J63-O66-O68-O67))</f>
        <v>328224.35803106008</v>
      </c>
      <c r="P69" s="48"/>
      <c r="Q69" s="48"/>
      <c r="R69" s="48"/>
      <c r="S69" s="48"/>
      <c r="T69" s="48"/>
      <c r="U69" s="62"/>
      <c r="V69" s="48"/>
      <c r="W69" s="48"/>
      <c r="X69" s="48"/>
    </row>
    <row r="70" spans="1:24" ht="15.75">
      <c r="H70" s="37" t="s">
        <v>110</v>
      </c>
      <c r="I70" s="60">
        <f>ONSV_AUX_2016!H63</f>
        <v>17588</v>
      </c>
      <c r="J70" s="10">
        <f>I70</f>
        <v>17588</v>
      </c>
      <c r="K70" s="11"/>
      <c r="L70" s="11"/>
      <c r="M70" s="11"/>
      <c r="O70" s="48"/>
      <c r="P70" s="76"/>
      <c r="Q70" s="48"/>
      <c r="R70" s="48"/>
      <c r="S70" s="48"/>
      <c r="T70" s="79" t="s">
        <v>156</v>
      </c>
      <c r="U70" s="80">
        <f>(SUM(U56:U68,X56:X67)/SUM(I63:I72))-1</f>
        <v>0</v>
      </c>
      <c r="V70" s="48"/>
      <c r="W70" s="79" t="s">
        <v>10</v>
      </c>
      <c r="X70" s="67">
        <f>SUM(U56:U68,X56:X67)</f>
        <v>1649427.0000000002</v>
      </c>
    </row>
    <row r="71" spans="1:24" ht="15.75">
      <c r="H71" s="37" t="s">
        <v>111</v>
      </c>
      <c r="I71" s="60">
        <f>ONSV_AUX_2016!H64</f>
        <v>12096</v>
      </c>
      <c r="J71" s="10">
        <f>I71</f>
        <v>12096</v>
      </c>
      <c r="K71" s="11"/>
      <c r="L71" s="11"/>
      <c r="M71" s="11"/>
      <c r="O71" s="48"/>
      <c r="P71" s="76"/>
      <c r="Q71" s="48"/>
      <c r="R71" s="48"/>
      <c r="S71" s="48"/>
      <c r="T71" s="48"/>
      <c r="U71" s="48"/>
      <c r="V71" s="48"/>
      <c r="W71" s="48"/>
      <c r="X71" s="48"/>
    </row>
    <row r="72" spans="1:24" ht="15.75">
      <c r="H72" s="37" t="s">
        <v>112</v>
      </c>
      <c r="I72" s="60">
        <f>ONSV_AUX_2016!H65</f>
        <v>22289</v>
      </c>
      <c r="J72" s="61">
        <f>I72-(L61*I57)</f>
        <v>22286.160781616225</v>
      </c>
      <c r="K72" s="12"/>
      <c r="L72" s="12"/>
      <c r="M72" s="12"/>
      <c r="N72" s="12"/>
      <c r="O72" s="12"/>
      <c r="P72" s="12"/>
      <c r="Q72" s="4"/>
      <c r="R72" s="4"/>
    </row>
    <row r="75" spans="1:24" s="34" customFormat="1" ht="15.75">
      <c r="A75" s="101" t="str">
        <f>"DISTRITO FEDERAL/"&amp;ONSV_AUX_2015!$A$1&amp;""</f>
        <v>DISTRITO FEDERAL/2015</v>
      </c>
      <c r="B75" s="102"/>
      <c r="C75" s="102"/>
      <c r="D75" s="102"/>
      <c r="E75" s="102"/>
      <c r="F75" s="102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 spans="1:24"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>
      <c r="H77" s="23" t="s">
        <v>118</v>
      </c>
      <c r="P77" s="9"/>
    </row>
    <row r="78" spans="1:24" ht="15.75">
      <c r="J78" s="9"/>
      <c r="M78" s="25"/>
      <c r="P78" s="9"/>
    </row>
    <row r="79" spans="1:24" ht="15.75">
      <c r="H79" s="36" t="s">
        <v>81</v>
      </c>
      <c r="I79" s="60">
        <f>ONSV_AUX_2015!H27</f>
        <v>58254</v>
      </c>
      <c r="J79" s="9"/>
      <c r="K79" s="104" t="s">
        <v>119</v>
      </c>
      <c r="L79" s="104"/>
      <c r="M79" s="9"/>
      <c r="N79" s="26" t="s">
        <v>120</v>
      </c>
      <c r="O79" s="26"/>
      <c r="Q79" s="26" t="s">
        <v>121</v>
      </c>
      <c r="R79" s="26"/>
      <c r="S79" s="26"/>
      <c r="T79" s="25" t="s">
        <v>122</v>
      </c>
      <c r="U79" s="25"/>
      <c r="V79" s="25"/>
      <c r="W79" s="25"/>
      <c r="X79" s="25"/>
    </row>
    <row r="80" spans="1:24" ht="15.75">
      <c r="H80" s="36" t="s">
        <v>84</v>
      </c>
      <c r="I80" s="60">
        <f>ONSV_AUX_2015!H28</f>
        <v>778980</v>
      </c>
      <c r="J80" s="9"/>
      <c r="K80" s="9"/>
      <c r="L80" s="9"/>
      <c r="M80" s="9"/>
      <c r="N80" s="9"/>
      <c r="O80" s="9"/>
      <c r="P80" s="20"/>
      <c r="Q80" s="11"/>
      <c r="R80" s="11"/>
      <c r="S80" s="11"/>
    </row>
    <row r="81" spans="8:24" ht="15.75">
      <c r="H81" s="36" t="s">
        <v>85</v>
      </c>
      <c r="I81" s="60">
        <f>ONSV_AUX_2015!H29</f>
        <v>94079</v>
      </c>
      <c r="J81" s="9"/>
      <c r="K81" s="2" t="s">
        <v>123</v>
      </c>
      <c r="L81" s="60">
        <f>I88+I91+I92+I97</f>
        <v>1367522</v>
      </c>
      <c r="N81" s="28" t="s">
        <v>124</v>
      </c>
      <c r="O81" s="60">
        <f>J88+J97</f>
        <v>1187323.5929425634</v>
      </c>
      <c r="P81" s="64"/>
      <c r="Q81" s="65" t="s">
        <v>125</v>
      </c>
      <c r="R81" s="60">
        <f>J91+J92</f>
        <v>180072.40705743674</v>
      </c>
      <c r="S81" s="66"/>
      <c r="T81" s="65" t="s">
        <v>126</v>
      </c>
      <c r="U81" s="67">
        <f>O85</f>
        <v>13057.425488427558</v>
      </c>
      <c r="V81" s="48"/>
      <c r="W81" s="65" t="s">
        <v>127</v>
      </c>
      <c r="X81" s="68">
        <f>R87</f>
        <v>19673.749368367862</v>
      </c>
    </row>
    <row r="82" spans="8:24" ht="15.75">
      <c r="H82" s="36" t="s">
        <v>101</v>
      </c>
      <c r="I82" s="60">
        <f>ONSV_AUX_2015!H30</f>
        <v>126</v>
      </c>
      <c r="J82" s="9"/>
      <c r="K82" s="27"/>
      <c r="L82" s="62"/>
      <c r="M82" s="20"/>
      <c r="N82" s="28" t="s">
        <v>128</v>
      </c>
      <c r="O82" s="69">
        <f>J88/O81</f>
        <v>0.98323779110063469</v>
      </c>
      <c r="P82" s="64"/>
      <c r="Q82" s="70" t="s">
        <v>129</v>
      </c>
      <c r="R82" s="63">
        <f>J91/R81</f>
        <v>0.61324678353480777</v>
      </c>
      <c r="S82" s="71"/>
      <c r="T82" s="65" t="s">
        <v>130</v>
      </c>
      <c r="U82" s="67">
        <f>I97-J97</f>
        <v>1.8339039518177742</v>
      </c>
      <c r="V82" s="48"/>
      <c r="W82" s="65" t="s">
        <v>131</v>
      </c>
      <c r="X82" s="68">
        <f>I92-J92</f>
        <v>6.4173739069665316</v>
      </c>
    </row>
    <row r="83" spans="8:24" ht="15.75">
      <c r="H83" s="36" t="s">
        <v>16</v>
      </c>
      <c r="I83" s="60">
        <f>ONSV_AUX_2015!H31</f>
        <v>1687</v>
      </c>
      <c r="J83" s="9"/>
      <c r="K83" s="2" t="s">
        <v>132</v>
      </c>
      <c r="L83" s="63">
        <f>I88/L81</f>
        <v>0.85375518638822634</v>
      </c>
      <c r="M83" s="20"/>
      <c r="N83" s="28" t="s">
        <v>133</v>
      </c>
      <c r="O83" s="69">
        <f>J97/O81</f>
        <v>1.676220889936527E-2</v>
      </c>
      <c r="P83" s="64"/>
      <c r="Q83" s="70" t="s">
        <v>134</v>
      </c>
      <c r="R83" s="63">
        <f>J92/R81</f>
        <v>0.38675321646519217</v>
      </c>
      <c r="S83" s="71"/>
      <c r="T83" s="65" t="s">
        <v>135</v>
      </c>
      <c r="U83" s="72">
        <f>O87</f>
        <v>6844.7406076206244</v>
      </c>
      <c r="V83" s="73"/>
      <c r="W83" s="65" t="s">
        <v>136</v>
      </c>
      <c r="X83" s="72">
        <f>R90</f>
        <v>49969.833257725171</v>
      </c>
    </row>
    <row r="84" spans="8:24" ht="15.75">
      <c r="H84" s="36" t="s">
        <v>94</v>
      </c>
      <c r="I84" s="60">
        <f>ONSV_AUX_2015!H32</f>
        <v>656474</v>
      </c>
      <c r="J84" s="10"/>
      <c r="K84" s="2" t="s">
        <v>2</v>
      </c>
      <c r="L84" s="63">
        <f>I91/L81</f>
        <v>8.0758481399202359E-2</v>
      </c>
      <c r="M84" s="20"/>
      <c r="N84" s="20"/>
      <c r="O84" s="74"/>
      <c r="P84" s="48"/>
      <c r="Q84" s="48"/>
      <c r="R84" s="48"/>
      <c r="S84" s="48"/>
      <c r="T84" s="48"/>
      <c r="U84" s="62"/>
      <c r="V84" s="75"/>
      <c r="W84" s="48"/>
      <c r="X84" s="62"/>
    </row>
    <row r="85" spans="8:24" ht="15.75">
      <c r="K85" s="2" t="s">
        <v>3</v>
      </c>
      <c r="L85" s="63">
        <f>I92/L81</f>
        <v>5.0931538944163239E-2</v>
      </c>
      <c r="M85" s="20"/>
      <c r="N85" s="28" t="s">
        <v>137</v>
      </c>
      <c r="O85" s="60">
        <f>IF(O83*I80&gt;J97,J97,O83*I80)</f>
        <v>13057.425488427558</v>
      </c>
      <c r="P85" s="76"/>
      <c r="Q85" s="65" t="s">
        <v>138</v>
      </c>
      <c r="R85" s="60">
        <f>I81-I89-I90-I93-I96</f>
        <v>50869</v>
      </c>
      <c r="S85" s="77"/>
      <c r="T85" s="65" t="s">
        <v>139</v>
      </c>
      <c r="U85" s="67">
        <f>O93</f>
        <v>765922.57451157237</v>
      </c>
      <c r="V85" s="76"/>
      <c r="W85" s="65" t="s">
        <v>140</v>
      </c>
      <c r="X85" s="67">
        <f>I89</f>
        <v>22912</v>
      </c>
    </row>
    <row r="86" spans="8:24" ht="15.75">
      <c r="H86" s="24" t="s">
        <v>141</v>
      </c>
      <c r="K86" s="2" t="s">
        <v>0</v>
      </c>
      <c r="L86" s="63">
        <f>I97/L81</f>
        <v>1.4554793268408113E-2</v>
      </c>
      <c r="O86" s="48"/>
      <c r="P86" s="76"/>
      <c r="Q86" s="65" t="s">
        <v>142</v>
      </c>
      <c r="R86" s="60">
        <f>R82*R85</f>
        <v>31195.250631632138</v>
      </c>
      <c r="S86" s="48"/>
      <c r="T86" s="65" t="s">
        <v>143</v>
      </c>
      <c r="U86" s="67">
        <f>O91</f>
        <v>58254</v>
      </c>
      <c r="V86" s="66"/>
      <c r="W86" s="65" t="s">
        <v>144</v>
      </c>
      <c r="X86" s="67">
        <f>I90</f>
        <v>3171</v>
      </c>
    </row>
    <row r="87" spans="8:24" ht="15.75">
      <c r="K87" s="11"/>
      <c r="L87" s="11"/>
      <c r="M87" s="11"/>
      <c r="N87" s="28" t="s">
        <v>145</v>
      </c>
      <c r="O87" s="60">
        <f>J97-O85</f>
        <v>6844.7406076206244</v>
      </c>
      <c r="P87" s="76"/>
      <c r="Q87" s="65" t="s">
        <v>127</v>
      </c>
      <c r="R87" s="60">
        <f>R83*R85</f>
        <v>19673.749368367862</v>
      </c>
      <c r="S87" s="48"/>
      <c r="T87" s="65" t="s">
        <v>146</v>
      </c>
      <c r="U87" s="67">
        <f>O92</f>
        <v>1687</v>
      </c>
      <c r="V87" s="71"/>
      <c r="W87" s="48"/>
      <c r="X87" s="62"/>
    </row>
    <row r="88" spans="8:24" ht="15.75">
      <c r="H88" s="37" t="s">
        <v>103</v>
      </c>
      <c r="I88" s="60">
        <f>ONSV_AUX_2015!H56</f>
        <v>1167529</v>
      </c>
      <c r="J88" s="61">
        <f>I88-(L83*I82)</f>
        <v>1167421.4268465152</v>
      </c>
      <c r="K88" s="11"/>
      <c r="L88" s="11"/>
      <c r="M88" s="11"/>
      <c r="O88" s="76"/>
      <c r="P88" s="76"/>
      <c r="Q88" s="48"/>
      <c r="R88" s="78"/>
      <c r="S88" s="48"/>
      <c r="T88" s="65" t="s">
        <v>147</v>
      </c>
      <c r="U88" s="68">
        <f>I88-J88</f>
        <v>107.57315348484553</v>
      </c>
      <c r="V88" s="71"/>
      <c r="W88" s="65" t="s">
        <v>148</v>
      </c>
      <c r="X88" s="67">
        <f>I96</f>
        <v>11861</v>
      </c>
    </row>
    <row r="89" spans="8:24" ht="15.75">
      <c r="H89" s="37" t="s">
        <v>104</v>
      </c>
      <c r="I89" s="60">
        <f>ONSV_AUX_2015!H57</f>
        <v>22912</v>
      </c>
      <c r="J89" s="10">
        <f>I89</f>
        <v>22912</v>
      </c>
      <c r="K89" s="11"/>
      <c r="L89" s="11"/>
      <c r="M89" s="11"/>
      <c r="N89" s="26" t="s">
        <v>149</v>
      </c>
      <c r="O89" s="76"/>
      <c r="P89" s="76"/>
      <c r="Q89" s="65" t="s">
        <v>150</v>
      </c>
      <c r="R89" s="60">
        <f>J91-R86</f>
        <v>79233.573799711565</v>
      </c>
      <c r="S89" s="48"/>
      <c r="T89" s="65" t="s">
        <v>151</v>
      </c>
      <c r="U89" s="72">
        <f>O94</f>
        <v>341557.85233494279</v>
      </c>
      <c r="V89" s="48"/>
      <c r="W89" s="65" t="s">
        <v>152</v>
      </c>
      <c r="X89" s="67">
        <f>I93</f>
        <v>5266</v>
      </c>
    </row>
    <row r="90" spans="8:24" ht="15.75">
      <c r="H90" s="37" t="s">
        <v>105</v>
      </c>
      <c r="I90" s="60">
        <f>ONSV_AUX_2015!H58</f>
        <v>3171</v>
      </c>
      <c r="J90" s="10">
        <f>I90</f>
        <v>3171</v>
      </c>
      <c r="K90" s="11"/>
      <c r="L90" s="11"/>
      <c r="M90" s="11"/>
      <c r="O90" s="73"/>
      <c r="P90" s="76"/>
      <c r="Q90" s="65" t="s">
        <v>136</v>
      </c>
      <c r="R90" s="60">
        <f>J92-R87</f>
        <v>49969.833257725171</v>
      </c>
      <c r="S90" s="48"/>
      <c r="T90" s="48"/>
      <c r="U90" s="62"/>
      <c r="V90" s="77"/>
      <c r="W90" s="48"/>
      <c r="X90" s="62"/>
    </row>
    <row r="91" spans="8:24" ht="15.75">
      <c r="H91" s="37" t="s">
        <v>106</v>
      </c>
      <c r="I91" s="60">
        <f>ONSV_AUX_2015!H59</f>
        <v>110439</v>
      </c>
      <c r="J91" s="61">
        <f>I91-(L84*I82)</f>
        <v>110428.8244313437</v>
      </c>
      <c r="K91" s="11"/>
      <c r="L91" s="11"/>
      <c r="M91" s="11"/>
      <c r="N91" s="28" t="s">
        <v>143</v>
      </c>
      <c r="O91" s="60">
        <f>I79</f>
        <v>58254</v>
      </c>
      <c r="P91" s="76"/>
      <c r="Q91" s="48"/>
      <c r="R91" s="48"/>
      <c r="S91" s="77"/>
      <c r="T91" s="65" t="s">
        <v>142</v>
      </c>
      <c r="U91" s="68">
        <f>R86</f>
        <v>31195.250631632138</v>
      </c>
      <c r="V91" s="48"/>
      <c r="W91" s="65" t="s">
        <v>153</v>
      </c>
      <c r="X91" s="67">
        <f>I94</f>
        <v>167301</v>
      </c>
    </row>
    <row r="92" spans="8:24" ht="15.75">
      <c r="H92" s="37" t="s">
        <v>107</v>
      </c>
      <c r="I92" s="60">
        <f>ONSV_AUX_2015!H60</f>
        <v>69650</v>
      </c>
      <c r="J92" s="61">
        <f>I92-(L85*I82)</f>
        <v>69643.582626093033</v>
      </c>
      <c r="K92" s="11"/>
      <c r="L92" s="11"/>
      <c r="M92" s="11"/>
      <c r="N92" s="28" t="s">
        <v>146</v>
      </c>
      <c r="O92" s="60">
        <f>I83</f>
        <v>1687</v>
      </c>
      <c r="P92" s="76"/>
      <c r="Q92" s="48"/>
      <c r="R92" s="48"/>
      <c r="S92" s="48"/>
      <c r="T92" s="65" t="s">
        <v>154</v>
      </c>
      <c r="U92" s="68">
        <f>I91-J91</f>
        <v>10.175568656297401</v>
      </c>
      <c r="V92" s="48"/>
      <c r="W92" s="65" t="s">
        <v>155</v>
      </c>
      <c r="X92" s="67">
        <f>I95</f>
        <v>16686</v>
      </c>
    </row>
    <row r="93" spans="8:24" ht="15.75">
      <c r="H93" s="37" t="s">
        <v>108</v>
      </c>
      <c r="I93" s="60">
        <f>ONSV_AUX_2015!H61</f>
        <v>5266</v>
      </c>
      <c r="J93" s="10">
        <f>I93</f>
        <v>5266</v>
      </c>
      <c r="K93" s="11"/>
      <c r="L93" s="11"/>
      <c r="M93" s="11"/>
      <c r="N93" s="28" t="s">
        <v>139</v>
      </c>
      <c r="O93" s="60">
        <f>IF(OR((O82*I80&gt;J88),((O91+O92+(O82*I80))&gt;J88)),(J88-O91-O92),(O82*I80))</f>
        <v>765922.57451157237</v>
      </c>
      <c r="P93" s="76"/>
      <c r="Q93" s="48"/>
      <c r="R93" s="78"/>
      <c r="S93" s="48"/>
      <c r="T93" s="65" t="s">
        <v>150</v>
      </c>
      <c r="U93" s="72">
        <f>R89</f>
        <v>79233.573799711565</v>
      </c>
      <c r="V93" s="48"/>
      <c r="W93" s="48"/>
      <c r="X93" s="48"/>
    </row>
    <row r="94" spans="8:24" ht="15.75">
      <c r="H94" s="37" t="s">
        <v>109</v>
      </c>
      <c r="I94" s="60">
        <f>ONSV_AUX_2015!H62</f>
        <v>167301</v>
      </c>
      <c r="J94" s="10">
        <f>I94</f>
        <v>167301</v>
      </c>
      <c r="K94" s="11"/>
      <c r="L94" s="11"/>
      <c r="M94" s="11"/>
      <c r="N94" s="28" t="s">
        <v>151</v>
      </c>
      <c r="O94" s="60">
        <f>IF((J88-O91-O93-O92)&lt;0,0,(J88-O91-O93-O92))</f>
        <v>341557.85233494279</v>
      </c>
      <c r="P94" s="48"/>
      <c r="Q94" s="48"/>
      <c r="R94" s="48"/>
      <c r="S94" s="48"/>
      <c r="T94" s="48"/>
      <c r="U94" s="62"/>
      <c r="V94" s="48"/>
      <c r="W94" s="48"/>
      <c r="X94" s="48"/>
    </row>
    <row r="95" spans="8:24" ht="15.75">
      <c r="H95" s="37" t="s">
        <v>110</v>
      </c>
      <c r="I95" s="60">
        <f>ONSV_AUX_2015!H63</f>
        <v>16686</v>
      </c>
      <c r="J95" s="10">
        <f>I95</f>
        <v>16686</v>
      </c>
      <c r="K95" s="11"/>
      <c r="L95" s="11"/>
      <c r="M95" s="11"/>
      <c r="O95" s="48"/>
      <c r="P95" s="76"/>
      <c r="Q95" s="48"/>
      <c r="R95" s="48"/>
      <c r="S95" s="48"/>
      <c r="T95" s="79" t="s">
        <v>156</v>
      </c>
      <c r="U95" s="80">
        <f>(SUM(U81:U93,X81:X92)/SUM(I88:I97))-1</f>
        <v>0</v>
      </c>
      <c r="V95" s="48"/>
      <c r="W95" s="79" t="s">
        <v>10</v>
      </c>
      <c r="X95" s="67">
        <f>SUM(U81:U93,X81:X92)</f>
        <v>1594719.0000000002</v>
      </c>
    </row>
    <row r="96" spans="8:24" ht="15.75">
      <c r="H96" s="37" t="s">
        <v>111</v>
      </c>
      <c r="I96" s="60">
        <f>ONSV_AUX_2015!H64</f>
        <v>11861</v>
      </c>
      <c r="J96" s="10">
        <f>I96</f>
        <v>11861</v>
      </c>
      <c r="K96" s="11"/>
      <c r="L96" s="11"/>
      <c r="M96" s="11"/>
      <c r="O96" s="48"/>
      <c r="P96" s="76"/>
      <c r="Q96" s="48"/>
      <c r="R96" s="48"/>
      <c r="S96" s="48"/>
      <c r="T96" s="48"/>
      <c r="U96" s="48"/>
      <c r="V96" s="48"/>
      <c r="W96" s="48"/>
      <c r="X96" s="48"/>
    </row>
    <row r="97" spans="1:24" ht="15.75">
      <c r="H97" s="37" t="s">
        <v>112</v>
      </c>
      <c r="I97" s="60">
        <f>ONSV_AUX_2015!H65</f>
        <v>19904</v>
      </c>
      <c r="J97" s="61">
        <f>I97-(L86*I82)</f>
        <v>19902.166096048182</v>
      </c>
      <c r="K97" s="12"/>
      <c r="L97" s="12"/>
      <c r="M97" s="12"/>
      <c r="N97" s="12"/>
      <c r="O97" s="12"/>
      <c r="P97" s="12"/>
      <c r="Q97" s="4"/>
      <c r="R97" s="4"/>
    </row>
    <row r="98" spans="1:24" ht="15.75">
      <c r="I98" s="40"/>
      <c r="J98" s="21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4" ht="15.75">
      <c r="I99" s="40"/>
      <c r="J99" s="21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4" s="34" customFormat="1" ht="15.75">
      <c r="A100" s="101" t="str">
        <f>"DISTRITO FEDERAL/"&amp;ONSV_AUX_2014!$A$1&amp;""</f>
        <v>DISTRITO FEDERAL/2014</v>
      </c>
      <c r="B100" s="102"/>
      <c r="C100" s="102"/>
      <c r="D100" s="102"/>
      <c r="E100" s="102"/>
      <c r="F100" s="102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</row>
    <row r="101" spans="1:24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>
      <c r="H102" s="23" t="s">
        <v>118</v>
      </c>
      <c r="N102" s="26"/>
      <c r="O102" s="26"/>
      <c r="P102" s="9"/>
      <c r="Q102" s="26"/>
      <c r="R102" s="26"/>
      <c r="S102" s="26"/>
      <c r="T102" s="25"/>
      <c r="U102" s="25"/>
      <c r="V102" s="25"/>
      <c r="W102" s="25"/>
      <c r="X102" s="25"/>
    </row>
    <row r="103" spans="1:24" ht="15.75">
      <c r="J103" s="9"/>
      <c r="M103" s="25"/>
      <c r="N103" s="9"/>
      <c r="O103" s="9"/>
      <c r="P103" s="9"/>
      <c r="Q103" s="11"/>
      <c r="R103" s="11"/>
      <c r="S103" s="11"/>
    </row>
    <row r="104" spans="1:24" ht="15.75">
      <c r="H104" s="36" t="s">
        <v>81</v>
      </c>
      <c r="I104" s="60">
        <f>ONSV_AUX_2014!H27</f>
        <v>58744</v>
      </c>
      <c r="J104" s="9"/>
      <c r="K104" s="104" t="s">
        <v>119</v>
      </c>
      <c r="L104" s="104"/>
      <c r="M104" s="9"/>
      <c r="N104" s="26" t="s">
        <v>120</v>
      </c>
      <c r="O104" s="26"/>
      <c r="Q104" s="26" t="s">
        <v>121</v>
      </c>
      <c r="R104" s="26"/>
      <c r="S104" s="26"/>
      <c r="T104" s="25" t="s">
        <v>122</v>
      </c>
      <c r="U104" s="25"/>
      <c r="V104" s="25"/>
      <c r="W104" s="25"/>
      <c r="X104" s="25"/>
    </row>
    <row r="105" spans="1:24" ht="15.75">
      <c r="H105" s="36" t="s">
        <v>84</v>
      </c>
      <c r="I105" s="60">
        <f>ONSV_AUX_2014!H28</f>
        <v>711048</v>
      </c>
      <c r="J105" s="9"/>
      <c r="K105" s="9"/>
      <c r="L105" s="9"/>
      <c r="M105" s="9"/>
      <c r="N105" s="9"/>
      <c r="O105" s="9"/>
      <c r="P105" s="20"/>
      <c r="Q105" s="11"/>
      <c r="R105" s="11"/>
      <c r="S105" s="11"/>
    </row>
    <row r="106" spans="1:24" ht="15.75">
      <c r="H106" s="36" t="s">
        <v>85</v>
      </c>
      <c r="I106" s="60">
        <f>ONSV_AUX_2014!H29</f>
        <v>89650</v>
      </c>
      <c r="J106" s="9"/>
      <c r="K106" s="2" t="s">
        <v>123</v>
      </c>
      <c r="L106" s="60">
        <f>I113+I116+I117+I122</f>
        <v>1309297</v>
      </c>
      <c r="N106" s="28" t="s">
        <v>124</v>
      </c>
      <c r="O106" s="60">
        <f>J113+J122</f>
        <v>1141151.654617707</v>
      </c>
      <c r="P106" s="64"/>
      <c r="Q106" s="65" t="s">
        <v>125</v>
      </c>
      <c r="R106" s="60">
        <f>J116+J117</f>
        <v>168062.34538229293</v>
      </c>
      <c r="S106" s="66"/>
      <c r="T106" s="65" t="s">
        <v>126</v>
      </c>
      <c r="U106" s="67">
        <f>O110</f>
        <v>10967.678513595929</v>
      </c>
      <c r="V106" s="48"/>
      <c r="W106" s="65" t="s">
        <v>127</v>
      </c>
      <c r="X106" s="68">
        <f>R112</f>
        <v>18143.153510676912</v>
      </c>
    </row>
    <row r="107" spans="1:24" ht="15.75">
      <c r="H107" s="36" t="s">
        <v>101</v>
      </c>
      <c r="I107" s="60">
        <f>ONSV_AUX_2014!H30</f>
        <v>83</v>
      </c>
      <c r="J107" s="9"/>
      <c r="K107" s="27"/>
      <c r="L107" s="62"/>
      <c r="M107" s="20"/>
      <c r="N107" s="28" t="s">
        <v>128</v>
      </c>
      <c r="O107" s="69">
        <f>J113/O106</f>
        <v>0.98457533315107282</v>
      </c>
      <c r="P107" s="64"/>
      <c r="Q107" s="70" t="s">
        <v>129</v>
      </c>
      <c r="R107" s="63">
        <f>J116/R106</f>
        <v>0.61987945714064718</v>
      </c>
      <c r="S107" s="71"/>
      <c r="T107" s="65" t="s">
        <v>130</v>
      </c>
      <c r="U107" s="67">
        <f>I122-J122</f>
        <v>1.115903419926326</v>
      </c>
      <c r="V107" s="48"/>
      <c r="W107" s="65" t="s">
        <v>131</v>
      </c>
      <c r="X107" s="68">
        <f>I117-J117</f>
        <v>4.0500390667657484</v>
      </c>
    </row>
    <row r="108" spans="1:24" ht="15.75">
      <c r="H108" s="36" t="s">
        <v>16</v>
      </c>
      <c r="I108" s="60">
        <f>ONSV_AUX_2014!H31</f>
        <v>1787</v>
      </c>
      <c r="J108" s="9"/>
      <c r="K108" s="2" t="s">
        <v>132</v>
      </c>
      <c r="L108" s="63">
        <f>I113/L106</f>
        <v>0.85818649244594614</v>
      </c>
      <c r="M108" s="20"/>
      <c r="N108" s="28" t="s">
        <v>133</v>
      </c>
      <c r="O108" s="69">
        <f>J122/O106</f>
        <v>1.5424666848927118E-2</v>
      </c>
      <c r="P108" s="64"/>
      <c r="Q108" s="70" t="s">
        <v>134</v>
      </c>
      <c r="R108" s="63">
        <f>J117/R106</f>
        <v>0.38012054285935282</v>
      </c>
      <c r="S108" s="71"/>
      <c r="T108" s="65" t="s">
        <v>135</v>
      </c>
      <c r="U108" s="72">
        <f>O112</f>
        <v>6634.2055829841447</v>
      </c>
      <c r="V108" s="73"/>
      <c r="W108" s="65" t="s">
        <v>136</v>
      </c>
      <c r="X108" s="72">
        <f>R115</f>
        <v>45740.796450256326</v>
      </c>
    </row>
    <row r="109" spans="1:24" ht="15.75">
      <c r="H109" s="36" t="s">
        <v>94</v>
      </c>
      <c r="I109" s="60">
        <f>ONSV_AUX_2014!H32</f>
        <v>658974</v>
      </c>
      <c r="J109" s="10"/>
      <c r="K109" s="2" t="s">
        <v>2</v>
      </c>
      <c r="L109" s="63">
        <f>I116/L106</f>
        <v>7.9573236630038874E-2</v>
      </c>
      <c r="M109" s="20"/>
      <c r="N109" s="20"/>
      <c r="O109" s="74"/>
      <c r="P109" s="48"/>
      <c r="Q109" s="48"/>
      <c r="R109" s="48"/>
      <c r="S109" s="48"/>
      <c r="T109" s="48"/>
      <c r="U109" s="62"/>
      <c r="V109" s="75"/>
      <c r="W109" s="48"/>
      <c r="X109" s="62"/>
    </row>
    <row r="110" spans="1:24" ht="15.75">
      <c r="K110" s="2" t="s">
        <v>3</v>
      </c>
      <c r="L110" s="63">
        <f>I117/L106</f>
        <v>4.879565140682366E-2</v>
      </c>
      <c r="M110" s="20"/>
      <c r="N110" s="28" t="s">
        <v>137</v>
      </c>
      <c r="O110" s="60">
        <f>IF(O108*I105&gt;J122,J122,O108*I105)</f>
        <v>10967.678513595929</v>
      </c>
      <c r="P110" s="76"/>
      <c r="Q110" s="65" t="s">
        <v>138</v>
      </c>
      <c r="R110" s="60">
        <f>I106-I114-I115-I118-I121</f>
        <v>47730</v>
      </c>
      <c r="S110" s="77"/>
      <c r="T110" s="65" t="s">
        <v>139</v>
      </c>
      <c r="U110" s="67">
        <f>O118</f>
        <v>700080.32148640405</v>
      </c>
      <c r="V110" s="76"/>
      <c r="W110" s="65" t="s">
        <v>140</v>
      </c>
      <c r="X110" s="67">
        <f>I114</f>
        <v>22103</v>
      </c>
    </row>
    <row r="111" spans="1:24" ht="15.75">
      <c r="H111" s="24" t="s">
        <v>141</v>
      </c>
      <c r="K111" s="2" t="s">
        <v>0</v>
      </c>
      <c r="L111" s="63">
        <f>I122/L106</f>
        <v>1.3444619517191286E-2</v>
      </c>
      <c r="O111" s="48"/>
      <c r="P111" s="76"/>
      <c r="Q111" s="65" t="s">
        <v>142</v>
      </c>
      <c r="R111" s="60">
        <f>R107*R110</f>
        <v>29586.846489323088</v>
      </c>
      <c r="S111" s="48"/>
      <c r="T111" s="65" t="s">
        <v>143</v>
      </c>
      <c r="U111" s="67">
        <f>O116</f>
        <v>58744</v>
      </c>
      <c r="V111" s="66"/>
      <c r="W111" s="65" t="s">
        <v>144</v>
      </c>
      <c r="X111" s="67">
        <f>I115</f>
        <v>3037</v>
      </c>
    </row>
    <row r="112" spans="1:24" ht="15.75">
      <c r="K112" s="11"/>
      <c r="L112" s="11"/>
      <c r="M112" s="11"/>
      <c r="N112" s="28" t="s">
        <v>145</v>
      </c>
      <c r="O112" s="60">
        <f>J122-O110</f>
        <v>6634.2055829841447</v>
      </c>
      <c r="P112" s="76"/>
      <c r="Q112" s="65" t="s">
        <v>127</v>
      </c>
      <c r="R112" s="60">
        <f>R108*R110</f>
        <v>18143.153510676912</v>
      </c>
      <c r="S112" s="48"/>
      <c r="T112" s="65" t="s">
        <v>146</v>
      </c>
      <c r="U112" s="67">
        <f>O117</f>
        <v>1787</v>
      </c>
      <c r="V112" s="71"/>
      <c r="W112" s="48"/>
      <c r="X112" s="62"/>
    </row>
    <row r="113" spans="8:24" ht="15.75">
      <c r="H113" s="37" t="s">
        <v>103</v>
      </c>
      <c r="I113" s="60">
        <f>ONSV_AUX_2014!H56</f>
        <v>1123621</v>
      </c>
      <c r="J113" s="61">
        <f>I113-(L108*I107)</f>
        <v>1123549.7705211269</v>
      </c>
      <c r="K113" s="11"/>
      <c r="L113" s="11"/>
      <c r="M113" s="11"/>
      <c r="O113" s="76"/>
      <c r="P113" s="76"/>
      <c r="Q113" s="48"/>
      <c r="R113" s="78"/>
      <c r="S113" s="48"/>
      <c r="T113" s="65" t="s">
        <v>147</v>
      </c>
      <c r="U113" s="68">
        <f>I113-J113</f>
        <v>71.229478873079643</v>
      </c>
      <c r="V113" s="71"/>
      <c r="W113" s="65" t="s">
        <v>148</v>
      </c>
      <c r="X113" s="67">
        <f>I121</f>
        <v>11726</v>
      </c>
    </row>
    <row r="114" spans="8:24" ht="15.75">
      <c r="H114" s="37" t="s">
        <v>104</v>
      </c>
      <c r="I114" s="60">
        <f>ONSV_AUX_2014!H57</f>
        <v>22103</v>
      </c>
      <c r="J114" s="10">
        <f>I114</f>
        <v>22103</v>
      </c>
      <c r="K114" s="11"/>
      <c r="L114" s="11"/>
      <c r="M114" s="11"/>
      <c r="N114" s="26" t="s">
        <v>149</v>
      </c>
      <c r="O114" s="76"/>
      <c r="P114" s="76"/>
      <c r="Q114" s="65" t="s">
        <v>150</v>
      </c>
      <c r="R114" s="60">
        <f>J116-R111</f>
        <v>74591.548932036618</v>
      </c>
      <c r="S114" s="48"/>
      <c r="T114" s="65" t="s">
        <v>151</v>
      </c>
      <c r="U114" s="72">
        <f>O119</f>
        <v>362938.44903472287</v>
      </c>
      <c r="V114" s="48"/>
      <c r="W114" s="65" t="s">
        <v>152</v>
      </c>
      <c r="X114" s="67">
        <f>I118</f>
        <v>5054</v>
      </c>
    </row>
    <row r="115" spans="8:24" ht="15.75">
      <c r="H115" s="37" t="s">
        <v>105</v>
      </c>
      <c r="I115" s="60">
        <f>ONSV_AUX_2014!H58</f>
        <v>3037</v>
      </c>
      <c r="J115" s="10">
        <f>I115</f>
        <v>3037</v>
      </c>
      <c r="K115" s="11"/>
      <c r="L115" s="11"/>
      <c r="M115" s="11"/>
      <c r="O115" s="73"/>
      <c r="P115" s="76"/>
      <c r="Q115" s="65" t="s">
        <v>136</v>
      </c>
      <c r="R115" s="60">
        <f>J117-R112</f>
        <v>45740.796450256326</v>
      </c>
      <c r="S115" s="48"/>
      <c r="T115" s="48"/>
      <c r="U115" s="62"/>
      <c r="V115" s="77"/>
      <c r="W115" s="48"/>
      <c r="X115" s="62"/>
    </row>
    <row r="116" spans="8:24" ht="15.75">
      <c r="H116" s="37" t="s">
        <v>106</v>
      </c>
      <c r="I116" s="60">
        <f>ONSV_AUX_2014!H59</f>
        <v>104185</v>
      </c>
      <c r="J116" s="61">
        <f>I116-(L109*I107)</f>
        <v>104178.3954213597</v>
      </c>
      <c r="K116" s="11"/>
      <c r="L116" s="11"/>
      <c r="M116" s="11"/>
      <c r="N116" s="28" t="s">
        <v>143</v>
      </c>
      <c r="O116" s="60">
        <f>I104</f>
        <v>58744</v>
      </c>
      <c r="P116" s="76"/>
      <c r="Q116" s="48"/>
      <c r="R116" s="48"/>
      <c r="S116" s="77"/>
      <c r="T116" s="65" t="s">
        <v>142</v>
      </c>
      <c r="U116" s="68">
        <f>R111</f>
        <v>29586.846489323088</v>
      </c>
      <c r="V116" s="48"/>
      <c r="W116" s="65" t="s">
        <v>153</v>
      </c>
      <c r="X116" s="67">
        <f>I119</f>
        <v>158603</v>
      </c>
    </row>
    <row r="117" spans="8:24" ht="15.75">
      <c r="H117" s="37" t="s">
        <v>107</v>
      </c>
      <c r="I117" s="60">
        <f>ONSV_AUX_2014!H60</f>
        <v>63888</v>
      </c>
      <c r="J117" s="61">
        <f>I117-(L110*I107)</f>
        <v>63883.949960933234</v>
      </c>
      <c r="K117" s="11"/>
      <c r="L117" s="11"/>
      <c r="M117" s="11"/>
      <c r="N117" s="28" t="s">
        <v>146</v>
      </c>
      <c r="O117" s="60">
        <f>I108</f>
        <v>1787</v>
      </c>
      <c r="P117" s="76"/>
      <c r="Q117" s="48"/>
      <c r="R117" s="48"/>
      <c r="S117" s="48"/>
      <c r="T117" s="65" t="s">
        <v>154</v>
      </c>
      <c r="U117" s="68">
        <f>I116-J116</f>
        <v>6.6045786402974045</v>
      </c>
      <c r="V117" s="48"/>
      <c r="W117" s="65" t="s">
        <v>155</v>
      </c>
      <c r="X117" s="67">
        <f>I120</f>
        <v>15272</v>
      </c>
    </row>
    <row r="118" spans="8:24" ht="15.75">
      <c r="H118" s="37" t="s">
        <v>108</v>
      </c>
      <c r="I118" s="60">
        <f>ONSV_AUX_2014!H61</f>
        <v>5054</v>
      </c>
      <c r="J118" s="10">
        <f>I118</f>
        <v>5054</v>
      </c>
      <c r="K118" s="11"/>
      <c r="L118" s="11"/>
      <c r="M118" s="11"/>
      <c r="N118" s="28" t="s">
        <v>139</v>
      </c>
      <c r="O118" s="60">
        <f>IF(OR((O107*I105&gt;J113),((O116+O117+(O107*I105))&gt;J113)),(J113-O116-O117),(O107*I105))</f>
        <v>700080.32148640405</v>
      </c>
      <c r="P118" s="76"/>
      <c r="Q118" s="48"/>
      <c r="R118" s="78"/>
      <c r="S118" s="48"/>
      <c r="T118" s="65" t="s">
        <v>150</v>
      </c>
      <c r="U118" s="72">
        <f>R114</f>
        <v>74591.548932036618</v>
      </c>
      <c r="V118" s="48"/>
      <c r="W118" s="48"/>
      <c r="X118" s="48"/>
    </row>
    <row r="119" spans="8:24" ht="15.75">
      <c r="H119" s="37" t="s">
        <v>109</v>
      </c>
      <c r="I119" s="60">
        <f>ONSV_AUX_2014!H62</f>
        <v>158603</v>
      </c>
      <c r="J119" s="10">
        <f>I119</f>
        <v>158603</v>
      </c>
      <c r="K119" s="11"/>
      <c r="L119" s="11"/>
      <c r="M119" s="11"/>
      <c r="N119" s="28" t="s">
        <v>151</v>
      </c>
      <c r="O119" s="60">
        <f>IF((J113-O116-O118-O117)&lt;0,0,(J113-O116-O118-O117))</f>
        <v>362938.44903472287</v>
      </c>
      <c r="P119" s="48"/>
      <c r="Q119" s="48"/>
      <c r="R119" s="48"/>
      <c r="S119" s="48"/>
      <c r="T119" s="48"/>
      <c r="U119" s="62"/>
      <c r="V119" s="48"/>
      <c r="W119" s="48"/>
      <c r="X119" s="48"/>
    </row>
    <row r="120" spans="8:24" ht="15.75">
      <c r="H120" s="37" t="s">
        <v>110</v>
      </c>
      <c r="I120" s="60">
        <f>ONSV_AUX_2014!H63</f>
        <v>15272</v>
      </c>
      <c r="J120" s="10">
        <f>I120</f>
        <v>15272</v>
      </c>
      <c r="K120" s="11"/>
      <c r="L120" s="11"/>
      <c r="M120" s="11"/>
      <c r="O120" s="48"/>
      <c r="P120" s="76"/>
      <c r="Q120" s="48"/>
      <c r="R120" s="48"/>
      <c r="S120" s="48"/>
      <c r="T120" s="79" t="s">
        <v>156</v>
      </c>
      <c r="U120" s="80">
        <f>(SUM(U106:U118,X106:X117)/SUM(I113:I122))-1</f>
        <v>0</v>
      </c>
      <c r="V120" s="48"/>
      <c r="W120" s="79" t="s">
        <v>10</v>
      </c>
      <c r="X120" s="67">
        <f>SUM(U106:U118,X106:X117)</f>
        <v>1525092</v>
      </c>
    </row>
    <row r="121" spans="8:24" ht="15.75">
      <c r="H121" s="37" t="s">
        <v>111</v>
      </c>
      <c r="I121" s="60">
        <f>ONSV_AUX_2014!H64</f>
        <v>11726</v>
      </c>
      <c r="J121" s="10">
        <f>I121</f>
        <v>11726</v>
      </c>
      <c r="K121" s="11"/>
      <c r="L121" s="11"/>
      <c r="M121" s="11"/>
      <c r="O121" s="48"/>
      <c r="P121" s="76"/>
      <c r="Q121" s="48"/>
      <c r="R121" s="48"/>
      <c r="S121" s="48"/>
      <c r="T121" s="48"/>
      <c r="U121" s="48"/>
      <c r="V121" s="48"/>
      <c r="W121" s="48"/>
      <c r="X121" s="48"/>
    </row>
    <row r="122" spans="8:24" ht="15.75">
      <c r="H122" s="37" t="s">
        <v>112</v>
      </c>
      <c r="I122" s="60">
        <f>ONSV_AUX_2014!H65</f>
        <v>17603</v>
      </c>
      <c r="J122" s="61">
        <f>I122-(L111*I107)</f>
        <v>17601.884096580074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K104:L104"/>
    <mergeCell ref="K54:L54"/>
    <mergeCell ref="A75:F75"/>
    <mergeCell ref="K79:L79"/>
    <mergeCell ref="A100:F100"/>
    <mergeCell ref="T52:X52"/>
    <mergeCell ref="A1:F1"/>
    <mergeCell ref="Q4:R4"/>
    <mergeCell ref="T4:X4"/>
    <mergeCell ref="K5:L5"/>
    <mergeCell ref="T27:X27"/>
    <mergeCell ref="K29:L29"/>
    <mergeCell ref="A25:F25"/>
    <mergeCell ref="A50:F5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0.39997558519241921"/>
  </sheetPr>
  <dimension ref="A1:X122"/>
  <sheetViews>
    <sheetView showGridLines="0" zoomScale="90" zoomScaleNormal="90" workbookViewId="0">
      <selection activeCell="G52" sqref="G52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</cols>
  <sheetData>
    <row r="1" spans="1:24" s="31" customFormat="1" ht="15.75">
      <c r="A1" s="101" t="str">
        <f>"ESPÍRITO SANTO/"&amp;ONSV_AUX_2018!$A$1&amp;""</f>
        <v>ESPÍRITO SANTO/2018</v>
      </c>
      <c r="B1" s="102"/>
      <c r="C1" s="102"/>
      <c r="D1" s="102"/>
      <c r="E1" s="102"/>
      <c r="F1" s="102"/>
    </row>
    <row r="2" spans="1:24" s="4" customFormat="1" ht="15.75">
      <c r="A2" s="32"/>
      <c r="B2" s="32"/>
      <c r="C2" s="32"/>
      <c r="D2" s="32"/>
      <c r="E2" s="32"/>
      <c r="F2" s="32"/>
    </row>
    <row r="3" spans="1:24" ht="15.75">
      <c r="A3" s="12"/>
      <c r="H3" s="23" t="s">
        <v>118</v>
      </c>
    </row>
    <row r="4" spans="1:24" ht="15.75">
      <c r="B4" s="5"/>
      <c r="J4" s="9"/>
      <c r="M4" s="25"/>
      <c r="N4" s="25"/>
      <c r="O4" s="25"/>
      <c r="P4" s="25"/>
      <c r="Q4" s="103"/>
      <c r="R4" s="103"/>
      <c r="S4" s="22"/>
      <c r="T4" s="104"/>
      <c r="U4" s="104"/>
      <c r="V4" s="104"/>
      <c r="W4" s="104"/>
      <c r="X4" s="104"/>
    </row>
    <row r="5" spans="1:24" ht="15.75">
      <c r="H5" s="36" t="s">
        <v>81</v>
      </c>
      <c r="I5" s="60">
        <f>ONSV_AUX_2018!I27</f>
        <v>53214</v>
      </c>
      <c r="J5" s="9"/>
      <c r="K5" s="104" t="s">
        <v>119</v>
      </c>
      <c r="L5" s="104"/>
      <c r="M5" s="9"/>
      <c r="N5" s="26" t="s">
        <v>120</v>
      </c>
      <c r="O5" s="26"/>
      <c r="Q5" s="26" t="s">
        <v>121</v>
      </c>
      <c r="R5" s="26"/>
      <c r="S5" s="26"/>
      <c r="T5" s="25" t="s">
        <v>122</v>
      </c>
      <c r="U5" s="25"/>
      <c r="V5" s="25"/>
      <c r="W5" s="25"/>
      <c r="X5" s="25"/>
    </row>
    <row r="6" spans="1:24" ht="15.75">
      <c r="H6" s="36" t="s">
        <v>84</v>
      </c>
      <c r="I6" s="60">
        <f>ONSV_AUX_2018!I28</f>
        <v>736640</v>
      </c>
      <c r="J6" s="9"/>
      <c r="K6" s="9"/>
      <c r="L6" s="9"/>
      <c r="M6" s="9"/>
      <c r="N6" s="9"/>
      <c r="O6" s="9"/>
      <c r="P6" s="20"/>
      <c r="Q6" s="11"/>
      <c r="R6" s="11"/>
      <c r="S6" s="11"/>
    </row>
    <row r="7" spans="1:24" ht="15.75">
      <c r="H7" s="36" t="s">
        <v>85</v>
      </c>
      <c r="I7" s="60">
        <f>ONSV_AUX_2018!I29</f>
        <v>186148</v>
      </c>
      <c r="J7" s="9"/>
      <c r="K7" s="2" t="s">
        <v>123</v>
      </c>
      <c r="L7" s="60">
        <f>I14+I17+I18+I23</f>
        <v>1183874</v>
      </c>
      <c r="N7" s="28" t="s">
        <v>124</v>
      </c>
      <c r="O7" s="60">
        <f>J14+J23</f>
        <v>961790.03324678133</v>
      </c>
      <c r="P7" s="64"/>
      <c r="Q7" s="65" t="s">
        <v>125</v>
      </c>
      <c r="R7" s="60">
        <f>J17+J18</f>
        <v>221800.96675321867</v>
      </c>
      <c r="S7" s="66"/>
      <c r="T7" s="65" t="s">
        <v>126</v>
      </c>
      <c r="U7" s="67">
        <f>O11</f>
        <v>14262.340325564955</v>
      </c>
      <c r="V7" s="48"/>
      <c r="W7" s="65" t="s">
        <v>127</v>
      </c>
      <c r="X7" s="68">
        <f>R13</f>
        <v>18862.494712739011</v>
      </c>
    </row>
    <row r="8" spans="1:24" ht="15.75">
      <c r="H8" s="36" t="s">
        <v>101</v>
      </c>
      <c r="I8" s="60">
        <f>ONSV_AUX_2018!I30</f>
        <v>283</v>
      </c>
      <c r="J8" s="9"/>
      <c r="K8" s="27"/>
      <c r="L8" s="62"/>
      <c r="M8" s="20"/>
      <c r="N8" s="28" t="s">
        <v>128</v>
      </c>
      <c r="O8" s="69">
        <f>J14/O7</f>
        <v>0.98063865616099466</v>
      </c>
      <c r="P8" s="64"/>
      <c r="Q8" s="70" t="s">
        <v>129</v>
      </c>
      <c r="R8" s="63">
        <f>J17/R7</f>
        <v>0.74147863009005921</v>
      </c>
      <c r="S8" s="71"/>
      <c r="T8" s="65" t="s">
        <v>130</v>
      </c>
      <c r="U8" s="67">
        <f>I23-J23</f>
        <v>4.4524653806074639</v>
      </c>
      <c r="V8" s="48"/>
      <c r="W8" s="65" t="s">
        <v>131</v>
      </c>
      <c r="X8" s="68">
        <f>I18-J18</f>
        <v>13.710227608680725</v>
      </c>
    </row>
    <row r="9" spans="1:24" ht="15.75">
      <c r="H9" s="36" t="s">
        <v>16</v>
      </c>
      <c r="I9" s="60">
        <f>ONSV_AUX_2018!I31</f>
        <v>34329</v>
      </c>
      <c r="J9" s="9"/>
      <c r="K9" s="2" t="s">
        <v>132</v>
      </c>
      <c r="L9" s="63">
        <f>I14/L7</f>
        <v>0.79687027504616204</v>
      </c>
      <c r="M9" s="20"/>
      <c r="N9" s="28" t="s">
        <v>133</v>
      </c>
      <c r="O9" s="69">
        <f>J23/O7</f>
        <v>1.9361343839005424E-2</v>
      </c>
      <c r="P9" s="64"/>
      <c r="Q9" s="70" t="s">
        <v>134</v>
      </c>
      <c r="R9" s="63">
        <f>J18/R7</f>
        <v>0.25852136990994079</v>
      </c>
      <c r="S9" s="71"/>
      <c r="T9" s="65" t="s">
        <v>135</v>
      </c>
      <c r="U9" s="72">
        <f>O13</f>
        <v>4359.207209054437</v>
      </c>
      <c r="V9" s="73"/>
      <c r="W9" s="65" t="s">
        <v>136</v>
      </c>
      <c r="X9" s="72">
        <f>R16</f>
        <v>38477.795059652308</v>
      </c>
    </row>
    <row r="10" spans="1:24" ht="15.75">
      <c r="H10" s="36" t="s">
        <v>94</v>
      </c>
      <c r="I10" s="60">
        <f>ONSV_AUX_2018!I32</f>
        <v>830143</v>
      </c>
      <c r="J10" s="10"/>
      <c r="K10" s="2" t="s">
        <v>2</v>
      </c>
      <c r="L10" s="63">
        <f>I17/L7</f>
        <v>0.13895059778321003</v>
      </c>
      <c r="M10" s="20"/>
      <c r="N10" s="20"/>
      <c r="O10" s="74"/>
      <c r="P10" s="48"/>
      <c r="Q10" s="48"/>
      <c r="R10" s="48"/>
      <c r="S10" s="48"/>
      <c r="T10" s="48"/>
      <c r="U10" s="62"/>
      <c r="V10" s="75"/>
      <c r="W10" s="48"/>
      <c r="X10" s="62"/>
    </row>
    <row r="11" spans="1:24" ht="15.75">
      <c r="K11" s="2" t="s">
        <v>3</v>
      </c>
      <c r="L11" s="63">
        <f>I18/L7</f>
        <v>4.8446033952937562E-2</v>
      </c>
      <c r="M11" s="20"/>
      <c r="N11" s="28" t="s">
        <v>137</v>
      </c>
      <c r="O11" s="60">
        <f>IF(O9*I6&gt;J23,J23,O9*I6)</f>
        <v>14262.340325564955</v>
      </c>
      <c r="P11" s="76"/>
      <c r="Q11" s="65" t="s">
        <v>138</v>
      </c>
      <c r="R11" s="60">
        <f>I7-I15-I16-I19-I22</f>
        <v>72963</v>
      </c>
      <c r="S11" s="77"/>
      <c r="T11" s="65" t="s">
        <v>139</v>
      </c>
      <c r="U11" s="67">
        <f>O19</f>
        <v>722377.65967443516</v>
      </c>
      <c r="V11" s="76"/>
      <c r="W11" s="65" t="s">
        <v>140</v>
      </c>
      <c r="X11" s="67">
        <f>I15</f>
        <v>72811</v>
      </c>
    </row>
    <row r="12" spans="1:24" ht="15.75">
      <c r="H12" s="24" t="s">
        <v>141</v>
      </c>
      <c r="K12" s="2" t="s">
        <v>0</v>
      </c>
      <c r="L12" s="63">
        <f>I23/L7</f>
        <v>1.5733093217690397E-2</v>
      </c>
      <c r="O12" s="48"/>
      <c r="P12" s="76"/>
      <c r="Q12" s="65" t="s">
        <v>142</v>
      </c>
      <c r="R12" s="60">
        <f>R8*R11</f>
        <v>54100.505287260989</v>
      </c>
      <c r="S12" s="48"/>
      <c r="T12" s="65" t="s">
        <v>143</v>
      </c>
      <c r="U12" s="67">
        <f>O17</f>
        <v>53214</v>
      </c>
      <c r="V12" s="66"/>
      <c r="W12" s="65" t="s">
        <v>144</v>
      </c>
      <c r="X12" s="67">
        <f>I16</f>
        <v>17590</v>
      </c>
    </row>
    <row r="13" spans="1:24" ht="15.75">
      <c r="K13" s="11"/>
      <c r="L13" s="11"/>
      <c r="M13" s="11"/>
      <c r="N13" s="28" t="s">
        <v>145</v>
      </c>
      <c r="O13" s="60">
        <f>J23-O11</f>
        <v>4359.207209054437</v>
      </c>
      <c r="P13" s="76"/>
      <c r="Q13" s="65" t="s">
        <v>127</v>
      </c>
      <c r="R13" s="60">
        <f>R9*R11</f>
        <v>18862.494712739011</v>
      </c>
      <c r="S13" s="48"/>
      <c r="T13" s="65" t="s">
        <v>146</v>
      </c>
      <c r="U13" s="67">
        <f>O18</f>
        <v>34329</v>
      </c>
      <c r="V13" s="71"/>
      <c r="W13" s="48"/>
      <c r="X13" s="62"/>
    </row>
    <row r="14" spans="1:24" ht="15.75">
      <c r="H14" s="37" t="s">
        <v>103</v>
      </c>
      <c r="I14" s="60">
        <f>ONSV_AUX_2018!I56</f>
        <v>943394</v>
      </c>
      <c r="J14" s="61">
        <f>I14-(L9*I8)</f>
        <v>943168.48571216199</v>
      </c>
      <c r="K14" s="11"/>
      <c r="L14" s="11"/>
      <c r="M14" s="11"/>
      <c r="O14" s="76"/>
      <c r="P14" s="76"/>
      <c r="Q14" s="48"/>
      <c r="R14" s="78"/>
      <c r="S14" s="48"/>
      <c r="T14" s="65" t="s">
        <v>147</v>
      </c>
      <c r="U14" s="68">
        <f>I14-J14</f>
        <v>225.51428783801384</v>
      </c>
      <c r="V14" s="71"/>
      <c r="W14" s="65" t="s">
        <v>148</v>
      </c>
      <c r="X14" s="67">
        <f>I22</f>
        <v>14645</v>
      </c>
    </row>
    <row r="15" spans="1:24" ht="15.75">
      <c r="H15" s="37" t="s">
        <v>104</v>
      </c>
      <c r="I15" s="60">
        <f>ONSV_AUX_2018!I57</f>
        <v>72811</v>
      </c>
      <c r="J15" s="10">
        <f>I15</f>
        <v>72811</v>
      </c>
      <c r="K15" s="11"/>
      <c r="L15" s="11"/>
      <c r="M15" s="11"/>
      <c r="N15" s="26" t="s">
        <v>149</v>
      </c>
      <c r="O15" s="76"/>
      <c r="P15" s="76"/>
      <c r="Q15" s="65" t="s">
        <v>150</v>
      </c>
      <c r="R15" s="60">
        <f>J17-R12</f>
        <v>110360.17169356637</v>
      </c>
      <c r="S15" s="48"/>
      <c r="T15" s="65" t="s">
        <v>151</v>
      </c>
      <c r="U15" s="72">
        <f>O20</f>
        <v>133247.82603772683</v>
      </c>
      <c r="V15" s="48"/>
      <c r="W15" s="65" t="s">
        <v>152</v>
      </c>
      <c r="X15" s="67">
        <f>I19</f>
        <v>8139</v>
      </c>
    </row>
    <row r="16" spans="1:24" ht="15.75">
      <c r="H16" s="37" t="s">
        <v>105</v>
      </c>
      <c r="I16" s="60">
        <f>ONSV_AUX_2018!I58</f>
        <v>17590</v>
      </c>
      <c r="J16" s="10">
        <f>I16</f>
        <v>17590</v>
      </c>
      <c r="K16" s="11"/>
      <c r="L16" s="11"/>
      <c r="M16" s="11"/>
      <c r="O16" s="73"/>
      <c r="P16" s="76"/>
      <c r="Q16" s="65" t="s">
        <v>136</v>
      </c>
      <c r="R16" s="60">
        <f>J18-R13</f>
        <v>38477.795059652308</v>
      </c>
      <c r="S16" s="48"/>
      <c r="T16" s="48"/>
      <c r="U16" s="62"/>
      <c r="V16" s="77"/>
      <c r="W16" s="48"/>
      <c r="X16" s="62"/>
    </row>
    <row r="17" spans="1:24" ht="15.75">
      <c r="H17" s="37" t="s">
        <v>106</v>
      </c>
      <c r="I17" s="60">
        <f>ONSV_AUX_2018!I59</f>
        <v>164500</v>
      </c>
      <c r="J17" s="61">
        <f>I17-(L10*I8)</f>
        <v>164460.67698082735</v>
      </c>
      <c r="K17" s="11"/>
      <c r="L17" s="11"/>
      <c r="M17" s="11"/>
      <c r="N17" s="28" t="s">
        <v>143</v>
      </c>
      <c r="O17" s="60">
        <f>I5</f>
        <v>53214</v>
      </c>
      <c r="P17" s="76"/>
      <c r="Q17" s="48"/>
      <c r="R17" s="48"/>
      <c r="S17" s="77"/>
      <c r="T17" s="65" t="s">
        <v>142</v>
      </c>
      <c r="U17" s="68">
        <f>R12</f>
        <v>54100.505287260989</v>
      </c>
      <c r="V17" s="48"/>
      <c r="W17" s="65" t="s">
        <v>153</v>
      </c>
      <c r="X17" s="67">
        <f>I20</f>
        <v>438791</v>
      </c>
    </row>
    <row r="18" spans="1:24" ht="15.75">
      <c r="H18" s="37" t="s">
        <v>107</v>
      </c>
      <c r="I18" s="60">
        <f>ONSV_AUX_2018!I60</f>
        <v>57354</v>
      </c>
      <c r="J18" s="61">
        <f>I18-(L11*I8)</f>
        <v>57340.289772391319</v>
      </c>
      <c r="K18" s="11"/>
      <c r="L18" s="11"/>
      <c r="M18" s="11"/>
      <c r="N18" s="28" t="s">
        <v>146</v>
      </c>
      <c r="O18" s="60">
        <f>I9</f>
        <v>34329</v>
      </c>
      <c r="P18" s="76"/>
      <c r="Q18" s="48"/>
      <c r="R18" s="48"/>
      <c r="S18" s="48"/>
      <c r="T18" s="65" t="s">
        <v>154</v>
      </c>
      <c r="U18" s="68">
        <f>I17-J17</f>
        <v>39.323019172647037</v>
      </c>
      <c r="V18" s="48"/>
      <c r="W18" s="65" t="s">
        <v>155</v>
      </c>
      <c r="X18" s="67">
        <f>I21</f>
        <v>105214</v>
      </c>
    </row>
    <row r="19" spans="1:24" ht="15.75">
      <c r="H19" s="37" t="s">
        <v>108</v>
      </c>
      <c r="I19" s="60">
        <f>ONSV_AUX_2018!I61</f>
        <v>8139</v>
      </c>
      <c r="J19" s="10">
        <f>I19</f>
        <v>8139</v>
      </c>
      <c r="K19" s="11"/>
      <c r="L19" s="11"/>
      <c r="M19" s="11"/>
      <c r="N19" s="28" t="s">
        <v>139</v>
      </c>
      <c r="O19" s="60">
        <f>IF(OR((O8*I6&gt;J14),((O17+O18+(O8*I6))&gt;J14)),(J14-O17-O18),(O8*I6))</f>
        <v>722377.65967443516</v>
      </c>
      <c r="P19" s="76"/>
      <c r="Q19" s="48"/>
      <c r="R19" s="78"/>
      <c r="S19" s="48"/>
      <c r="T19" s="65" t="s">
        <v>150</v>
      </c>
      <c r="U19" s="72">
        <f>R15</f>
        <v>110360.17169356637</v>
      </c>
      <c r="V19" s="48"/>
      <c r="W19" s="48"/>
      <c r="X19" s="48"/>
    </row>
    <row r="20" spans="1:24" ht="15.75">
      <c r="H20" s="37" t="s">
        <v>109</v>
      </c>
      <c r="I20" s="60">
        <f>ONSV_AUX_2018!I62</f>
        <v>438791</v>
      </c>
      <c r="J20" s="10">
        <f t="shared" ref="J20:J22" si="0">I20</f>
        <v>438791</v>
      </c>
      <c r="K20" s="11"/>
      <c r="L20" s="11"/>
      <c r="M20" s="11"/>
      <c r="N20" s="28" t="s">
        <v>151</v>
      </c>
      <c r="O20" s="60">
        <f>IF((J14-O17-O19-O18)&lt;0,0,(J14-O17-O19-O18))</f>
        <v>133247.82603772683</v>
      </c>
      <c r="P20" s="48"/>
      <c r="Q20" s="48"/>
      <c r="R20" s="48"/>
      <c r="S20" s="48"/>
      <c r="T20" s="48"/>
      <c r="U20" s="62"/>
      <c r="V20" s="48"/>
      <c r="W20" s="48"/>
      <c r="X20" s="48"/>
    </row>
    <row r="21" spans="1:24" ht="15.75">
      <c r="H21" s="37" t="s">
        <v>110</v>
      </c>
      <c r="I21" s="60">
        <f>ONSV_AUX_2018!I63</f>
        <v>105214</v>
      </c>
      <c r="J21" s="10">
        <f t="shared" si="0"/>
        <v>105214</v>
      </c>
      <c r="K21" s="11"/>
      <c r="L21" s="11"/>
      <c r="M21" s="11"/>
      <c r="O21" s="48"/>
      <c r="P21" s="76"/>
      <c r="Q21" s="48"/>
      <c r="R21" s="48"/>
      <c r="S21" s="48"/>
      <c r="T21" s="79" t="s">
        <v>156</v>
      </c>
      <c r="U21" s="80">
        <f>(SUM(U7:U19,X7:X18)/SUM(I14:I23))-1</f>
        <v>0</v>
      </c>
      <c r="V21" s="48"/>
      <c r="W21" s="79" t="s">
        <v>10</v>
      </c>
      <c r="X21" s="67">
        <f>SUM(U7:U19,X7:X18)</f>
        <v>1841064</v>
      </c>
    </row>
    <row r="22" spans="1:24" ht="15.75">
      <c r="H22" s="37" t="s">
        <v>111</v>
      </c>
      <c r="I22" s="60">
        <f>ONSV_AUX_2018!I64</f>
        <v>14645</v>
      </c>
      <c r="J22" s="10">
        <f t="shared" si="0"/>
        <v>14645</v>
      </c>
      <c r="K22" s="11"/>
      <c r="L22" s="11"/>
      <c r="M22" s="11"/>
      <c r="O22" s="48"/>
      <c r="P22" s="76"/>
      <c r="Q22" s="48"/>
      <c r="R22" s="48"/>
      <c r="S22" s="48"/>
      <c r="T22" s="48"/>
      <c r="U22" s="48"/>
      <c r="V22" s="48"/>
      <c r="W22" s="48"/>
      <c r="X22" s="48"/>
    </row>
    <row r="23" spans="1:24" ht="15.75">
      <c r="H23" s="37" t="s">
        <v>112</v>
      </c>
      <c r="I23" s="60">
        <f>ONSV_AUX_2018!I65</f>
        <v>18626</v>
      </c>
      <c r="J23" s="61">
        <f>I23-(L12*I8)</f>
        <v>18621.547534619393</v>
      </c>
      <c r="K23" s="12"/>
      <c r="L23" s="12"/>
      <c r="M23" s="12"/>
      <c r="N23" s="12"/>
      <c r="O23" s="12"/>
      <c r="P23" s="12"/>
      <c r="Q23" s="4"/>
      <c r="R23" s="4"/>
    </row>
    <row r="25" spans="1:24" s="34" customFormat="1" ht="15.75">
      <c r="A25" s="101" t="str">
        <f>"ESPÍRITO SANTO/"&amp;ONSV_AUX_2017!$A$1&amp;""</f>
        <v>ESPÍRITO SANTO/2017</v>
      </c>
      <c r="B25" s="102"/>
      <c r="C25" s="102"/>
      <c r="D25" s="102"/>
      <c r="E25" s="102"/>
      <c r="F25" s="102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 spans="1:24" ht="15.75">
      <c r="A26" s="3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>
      <c r="A27" s="12"/>
      <c r="H27" s="23" t="s">
        <v>118</v>
      </c>
      <c r="N27" s="26"/>
      <c r="O27" s="26"/>
      <c r="P27" s="9"/>
      <c r="Q27" s="26"/>
      <c r="R27" s="26"/>
      <c r="S27" s="26"/>
      <c r="T27" s="104"/>
      <c r="U27" s="104"/>
      <c r="V27" s="104"/>
      <c r="W27" s="104"/>
      <c r="X27" s="104"/>
    </row>
    <row r="28" spans="1:24" ht="15.75">
      <c r="B28" s="5"/>
      <c r="J28" s="9"/>
      <c r="M28" s="25"/>
    </row>
    <row r="29" spans="1:24" ht="15.75">
      <c r="H29" s="36" t="s">
        <v>81</v>
      </c>
      <c r="I29" s="60">
        <f>ONSV_AUX_2017!I27</f>
        <v>53180</v>
      </c>
      <c r="J29" s="9"/>
      <c r="K29" s="104" t="s">
        <v>119</v>
      </c>
      <c r="L29" s="104"/>
      <c r="M29" s="9"/>
      <c r="N29" s="26" t="s">
        <v>120</v>
      </c>
      <c r="O29" s="26"/>
      <c r="Q29" s="26" t="s">
        <v>121</v>
      </c>
      <c r="R29" s="26"/>
      <c r="S29" s="26"/>
      <c r="T29" s="25" t="s">
        <v>122</v>
      </c>
      <c r="U29" s="25"/>
      <c r="V29" s="25"/>
      <c r="W29" s="25"/>
      <c r="X29" s="25"/>
    </row>
    <row r="30" spans="1:24" ht="15.75">
      <c r="H30" s="36" t="s">
        <v>84</v>
      </c>
      <c r="I30" s="60">
        <f>ONSV_AUX_2017!I28</f>
        <v>693845</v>
      </c>
      <c r="J30" s="9"/>
      <c r="K30" s="9"/>
      <c r="L30" s="9"/>
      <c r="M30" s="9"/>
      <c r="N30" s="9"/>
      <c r="O30" s="9"/>
      <c r="P30" s="20"/>
      <c r="Q30" s="11"/>
      <c r="R30" s="11"/>
      <c r="S30" s="11"/>
    </row>
    <row r="31" spans="1:24" ht="15.75">
      <c r="H31" s="36" t="s">
        <v>85</v>
      </c>
      <c r="I31" s="60">
        <f>ONSV_AUX_2017!I29</f>
        <v>179054</v>
      </c>
      <c r="J31" s="9"/>
      <c r="K31" s="2" t="s">
        <v>123</v>
      </c>
      <c r="L31" s="60">
        <f>I38+I41+I42+I47</f>
        <v>1142135</v>
      </c>
      <c r="N31" s="28" t="s">
        <v>124</v>
      </c>
      <c r="O31" s="60">
        <f>J38+J47</f>
        <v>930579.3232218608</v>
      </c>
      <c r="P31" s="64"/>
      <c r="Q31" s="65" t="s">
        <v>125</v>
      </c>
      <c r="R31" s="60">
        <f>J41+J42</f>
        <v>211402.67677813917</v>
      </c>
      <c r="S31" s="66"/>
      <c r="T31" s="65" t="s">
        <v>126</v>
      </c>
      <c r="U31" s="67">
        <f>O35</f>
        <v>12531.202836777322</v>
      </c>
      <c r="V31" s="48"/>
      <c r="W31" s="65" t="s">
        <v>127</v>
      </c>
      <c r="X31" s="68">
        <f>R37</f>
        <v>17574.414754695386</v>
      </c>
    </row>
    <row r="32" spans="1:24" ht="15.75">
      <c r="H32" s="36" t="s">
        <v>101</v>
      </c>
      <c r="I32" s="60">
        <f>ONSV_AUX_2017!I30</f>
        <v>153</v>
      </c>
      <c r="J32" s="9"/>
      <c r="K32" s="27"/>
      <c r="L32" s="62"/>
      <c r="M32" s="20"/>
      <c r="N32" s="28" t="s">
        <v>128</v>
      </c>
      <c r="O32" s="69">
        <f>J38/O31</f>
        <v>0.98193947807251292</v>
      </c>
      <c r="P32" s="64"/>
      <c r="Q32" s="70" t="s">
        <v>129</v>
      </c>
      <c r="R32" s="63">
        <f>J41/R31</f>
        <v>0.74176918238101319</v>
      </c>
      <c r="S32" s="71"/>
      <c r="T32" s="65" t="s">
        <v>130</v>
      </c>
      <c r="U32" s="67">
        <f>I47-J47</f>
        <v>2.2517276854305237</v>
      </c>
      <c r="V32" s="48"/>
      <c r="W32" s="65" t="s">
        <v>131</v>
      </c>
      <c r="X32" s="68">
        <f>I42-J42</f>
        <v>7.3139287387239165</v>
      </c>
    </row>
    <row r="33" spans="8:24" ht="15.75">
      <c r="H33" s="36" t="s">
        <v>16</v>
      </c>
      <c r="I33" s="60">
        <f>ONSV_AUX_2017!I31</f>
        <v>33115</v>
      </c>
      <c r="J33" s="9"/>
      <c r="K33" s="2" t="s">
        <v>132</v>
      </c>
      <c r="L33" s="63">
        <f>I38/L31</f>
        <v>0.8001637284559181</v>
      </c>
      <c r="M33" s="20"/>
      <c r="N33" s="28" t="s">
        <v>133</v>
      </c>
      <c r="O33" s="69">
        <f>J47/O31</f>
        <v>1.8060521927487149E-2</v>
      </c>
      <c r="P33" s="64"/>
      <c r="Q33" s="70" t="s">
        <v>134</v>
      </c>
      <c r="R33" s="63">
        <f>J42/R31</f>
        <v>0.25823081761898681</v>
      </c>
      <c r="S33" s="71"/>
      <c r="T33" s="65" t="s">
        <v>135</v>
      </c>
      <c r="U33" s="72">
        <f>O37</f>
        <v>4275.5454355372476</v>
      </c>
      <c r="V33" s="73"/>
      <c r="W33" s="65" t="s">
        <v>136</v>
      </c>
      <c r="X33" s="72">
        <f>R40</f>
        <v>37016.271316565893</v>
      </c>
    </row>
    <row r="34" spans="8:24" ht="15.75">
      <c r="H34" s="36" t="s">
        <v>94</v>
      </c>
      <c r="I34" s="60">
        <f>ONSV_AUX_2017!I32</f>
        <v>823012</v>
      </c>
      <c r="J34" s="10"/>
      <c r="K34" s="2" t="s">
        <v>2</v>
      </c>
      <c r="L34" s="63">
        <f>I41/L31</f>
        <v>0.1373156413208596</v>
      </c>
      <c r="M34" s="20"/>
      <c r="N34" s="20"/>
      <c r="O34" s="74"/>
      <c r="P34" s="48"/>
      <c r="Q34" s="48"/>
      <c r="R34" s="48"/>
      <c r="S34" s="48"/>
      <c r="T34" s="48"/>
      <c r="U34" s="62"/>
      <c r="V34" s="75"/>
      <c r="W34" s="48"/>
      <c r="X34" s="62"/>
    </row>
    <row r="35" spans="8:24" ht="15.75">
      <c r="K35" s="2" t="s">
        <v>3</v>
      </c>
      <c r="L35" s="63">
        <f>I42/L31</f>
        <v>4.7803455808639081E-2</v>
      </c>
      <c r="M35" s="20"/>
      <c r="N35" s="28" t="s">
        <v>137</v>
      </c>
      <c r="O35" s="60">
        <f>IF(O33*I30&gt;J47,J47,O33*I30)</f>
        <v>12531.202836777322</v>
      </c>
      <c r="P35" s="76"/>
      <c r="Q35" s="65" t="s">
        <v>138</v>
      </c>
      <c r="R35" s="60">
        <f>I31-I39-I40-I43-I46</f>
        <v>68057</v>
      </c>
      <c r="S35" s="77"/>
      <c r="T35" s="65" t="s">
        <v>139</v>
      </c>
      <c r="U35" s="67">
        <f>O43</f>
        <v>681313.79716322268</v>
      </c>
      <c r="V35" s="76"/>
      <c r="W35" s="65" t="s">
        <v>140</v>
      </c>
      <c r="X35" s="67">
        <f>I39</f>
        <v>71447</v>
      </c>
    </row>
    <row r="36" spans="8:24" ht="15.75">
      <c r="H36" s="24" t="s">
        <v>141</v>
      </c>
      <c r="K36" s="2" t="s">
        <v>0</v>
      </c>
      <c r="L36" s="63">
        <f>I47/L31</f>
        <v>1.4717174414583215E-2</v>
      </c>
      <c r="O36" s="48"/>
      <c r="P36" s="76"/>
      <c r="Q36" s="65" t="s">
        <v>142</v>
      </c>
      <c r="R36" s="60">
        <f>R32*R35</f>
        <v>50482.585245304617</v>
      </c>
      <c r="S36" s="48"/>
      <c r="T36" s="65" t="s">
        <v>143</v>
      </c>
      <c r="U36" s="67">
        <f>O41</f>
        <v>53180</v>
      </c>
      <c r="V36" s="66"/>
      <c r="W36" s="65" t="s">
        <v>144</v>
      </c>
      <c r="X36" s="67">
        <f>I40</f>
        <v>17061</v>
      </c>
    </row>
    <row r="37" spans="8:24" ht="15.75">
      <c r="K37" s="11"/>
      <c r="L37" s="11"/>
      <c r="M37" s="11"/>
      <c r="N37" s="28" t="s">
        <v>145</v>
      </c>
      <c r="O37" s="60">
        <f>J47-O35</f>
        <v>4275.5454355372476</v>
      </c>
      <c r="P37" s="76"/>
      <c r="Q37" s="65" t="s">
        <v>127</v>
      </c>
      <c r="R37" s="60">
        <f>R33*R35</f>
        <v>17574.414754695386</v>
      </c>
      <c r="S37" s="48"/>
      <c r="T37" s="65" t="s">
        <v>146</v>
      </c>
      <c r="U37" s="67">
        <f>O42</f>
        <v>33115</v>
      </c>
      <c r="V37" s="71"/>
      <c r="W37" s="48"/>
      <c r="X37" s="62"/>
    </row>
    <row r="38" spans="8:24" ht="15.75">
      <c r="H38" s="37" t="s">
        <v>103</v>
      </c>
      <c r="I38" s="60">
        <f>ONSV_AUX_2017!I56</f>
        <v>913895</v>
      </c>
      <c r="J38" s="61">
        <f>I38-(L33*I32)</f>
        <v>913772.57494954625</v>
      </c>
      <c r="K38" s="11"/>
      <c r="L38" s="11"/>
      <c r="M38" s="11"/>
      <c r="O38" s="76"/>
      <c r="P38" s="76"/>
      <c r="Q38" s="48"/>
      <c r="R38" s="78"/>
      <c r="S38" s="48"/>
      <c r="T38" s="65" t="s">
        <v>147</v>
      </c>
      <c r="U38" s="68">
        <f>I38-J38</f>
        <v>122.42505045374855</v>
      </c>
      <c r="V38" s="71"/>
      <c r="W38" s="65" t="s">
        <v>148</v>
      </c>
      <c r="X38" s="67">
        <f>I46</f>
        <v>14541</v>
      </c>
    </row>
    <row r="39" spans="8:24" ht="15.75">
      <c r="H39" s="37" t="s">
        <v>104</v>
      </c>
      <c r="I39" s="60">
        <f>ONSV_AUX_2017!I57</f>
        <v>71447</v>
      </c>
      <c r="J39" s="10">
        <f>I39</f>
        <v>71447</v>
      </c>
      <c r="K39" s="11"/>
      <c r="L39" s="11"/>
      <c r="M39" s="11"/>
      <c r="N39" s="26" t="s">
        <v>149</v>
      </c>
      <c r="O39" s="76"/>
      <c r="P39" s="76"/>
      <c r="Q39" s="65" t="s">
        <v>150</v>
      </c>
      <c r="R39" s="60">
        <f>J41-R36</f>
        <v>106329.40546157327</v>
      </c>
      <c r="S39" s="48"/>
      <c r="T39" s="65" t="s">
        <v>151</v>
      </c>
      <c r="U39" s="72">
        <f>O44</f>
        <v>146163.77778632357</v>
      </c>
      <c r="V39" s="48"/>
      <c r="W39" s="65" t="s">
        <v>152</v>
      </c>
      <c r="X39" s="67">
        <f>I43</f>
        <v>7948</v>
      </c>
    </row>
    <row r="40" spans="8:24" ht="15.75">
      <c r="H40" s="37" t="s">
        <v>105</v>
      </c>
      <c r="I40" s="60">
        <f>ONSV_AUX_2017!I58</f>
        <v>17061</v>
      </c>
      <c r="J40" s="10">
        <f>I40</f>
        <v>17061</v>
      </c>
      <c r="K40" s="11"/>
      <c r="L40" s="11"/>
      <c r="M40" s="11"/>
      <c r="O40" s="73"/>
      <c r="P40" s="76"/>
      <c r="Q40" s="65" t="s">
        <v>136</v>
      </c>
      <c r="R40" s="60">
        <f>J42-R37</f>
        <v>37016.271316565893</v>
      </c>
      <c r="S40" s="48"/>
      <c r="T40" s="48"/>
      <c r="U40" s="62"/>
      <c r="V40" s="77"/>
      <c r="W40" s="48"/>
      <c r="X40" s="62"/>
    </row>
    <row r="41" spans="8:24" ht="15.75">
      <c r="H41" s="37" t="s">
        <v>106</v>
      </c>
      <c r="I41" s="60">
        <f>ONSV_AUX_2017!I59</f>
        <v>156833</v>
      </c>
      <c r="J41" s="61">
        <f>I41-(L34*I32)</f>
        <v>156811.9907068779</v>
      </c>
      <c r="K41" s="11"/>
      <c r="L41" s="11"/>
      <c r="M41" s="11"/>
      <c r="N41" s="28" t="s">
        <v>143</v>
      </c>
      <c r="O41" s="60">
        <f>I29</f>
        <v>53180</v>
      </c>
      <c r="P41" s="76"/>
      <c r="Q41" s="48"/>
      <c r="R41" s="48"/>
      <c r="S41" s="77"/>
      <c r="T41" s="65" t="s">
        <v>142</v>
      </c>
      <c r="U41" s="68">
        <f>R36</f>
        <v>50482.585245304617</v>
      </c>
      <c r="V41" s="48"/>
      <c r="W41" s="65" t="s">
        <v>153</v>
      </c>
      <c r="X41" s="67">
        <f>I44</f>
        <v>427854</v>
      </c>
    </row>
    <row r="42" spans="8:24" ht="15.75">
      <c r="H42" s="37" t="s">
        <v>107</v>
      </c>
      <c r="I42" s="60">
        <f>ONSV_AUX_2017!I60</f>
        <v>54598</v>
      </c>
      <c r="J42" s="61">
        <f>I42-(L35*I32)</f>
        <v>54590.686071261276</v>
      </c>
      <c r="K42" s="11"/>
      <c r="L42" s="11"/>
      <c r="M42" s="11"/>
      <c r="N42" s="28" t="s">
        <v>146</v>
      </c>
      <c r="O42" s="60">
        <f>I33</f>
        <v>33115</v>
      </c>
      <c r="P42" s="76"/>
      <c r="Q42" s="48"/>
      <c r="R42" s="48"/>
      <c r="S42" s="48"/>
      <c r="T42" s="65" t="s">
        <v>154</v>
      </c>
      <c r="U42" s="68">
        <f>I41-J41</f>
        <v>21.009293122100644</v>
      </c>
      <c r="V42" s="48"/>
      <c r="W42" s="65" t="s">
        <v>155</v>
      </c>
      <c r="X42" s="67">
        <f>I45</f>
        <v>101443</v>
      </c>
    </row>
    <row r="43" spans="8:24" ht="15.75">
      <c r="H43" s="37" t="s">
        <v>108</v>
      </c>
      <c r="I43" s="60">
        <f>ONSV_AUX_2017!I61</f>
        <v>7948</v>
      </c>
      <c r="J43" s="10">
        <f>I43</f>
        <v>7948</v>
      </c>
      <c r="K43" s="11"/>
      <c r="L43" s="11"/>
      <c r="M43" s="11"/>
      <c r="N43" s="28" t="s">
        <v>139</v>
      </c>
      <c r="O43" s="60">
        <f>IF(OR((O32*I30&gt;J38),((O41+O42+(O32*I30))&gt;J38)),(J38-O41-O42),(O32*I30))</f>
        <v>681313.79716322268</v>
      </c>
      <c r="P43" s="76"/>
      <c r="Q43" s="48"/>
      <c r="R43" s="78"/>
      <c r="S43" s="48"/>
      <c r="T43" s="65" t="s">
        <v>150</v>
      </c>
      <c r="U43" s="72">
        <f>R39</f>
        <v>106329.40546157327</v>
      </c>
      <c r="V43" s="48"/>
      <c r="W43" s="48"/>
      <c r="X43" s="48"/>
    </row>
    <row r="44" spans="8:24" ht="15.75">
      <c r="H44" s="37" t="s">
        <v>109</v>
      </c>
      <c r="I44" s="60">
        <f>ONSV_AUX_2017!I62</f>
        <v>427854</v>
      </c>
      <c r="J44" s="10">
        <f>I44</f>
        <v>427854</v>
      </c>
      <c r="K44" s="11"/>
      <c r="L44" s="11"/>
      <c r="M44" s="11"/>
      <c r="N44" s="28" t="s">
        <v>151</v>
      </c>
      <c r="O44" s="60">
        <f>IF((J38-O41-O43-O42)&lt;0,0,(J38-O41-O43-O42))</f>
        <v>146163.77778632357</v>
      </c>
      <c r="P44" s="48"/>
      <c r="Q44" s="48"/>
      <c r="R44" s="48"/>
      <c r="S44" s="48"/>
      <c r="T44" s="48"/>
      <c r="U44" s="62"/>
      <c r="V44" s="48"/>
      <c r="W44" s="48"/>
      <c r="X44" s="48"/>
    </row>
    <row r="45" spans="8:24" ht="15.75">
      <c r="H45" s="37" t="s">
        <v>110</v>
      </c>
      <c r="I45" s="60">
        <f>ONSV_AUX_2017!I63</f>
        <v>101443</v>
      </c>
      <c r="J45" s="10">
        <f>I45</f>
        <v>101443</v>
      </c>
      <c r="K45" s="11"/>
      <c r="L45" s="11"/>
      <c r="M45" s="11"/>
      <c r="O45" s="48"/>
      <c r="P45" s="76"/>
      <c r="Q45" s="48"/>
      <c r="R45" s="48"/>
      <c r="S45" s="48"/>
      <c r="T45" s="79" t="s">
        <v>156</v>
      </c>
      <c r="U45" s="80">
        <f>(SUM(U31:U43,X31:X42)/SUM(I38:I47))-1</f>
        <v>0</v>
      </c>
      <c r="V45" s="48"/>
      <c r="W45" s="79" t="s">
        <v>10</v>
      </c>
      <c r="X45" s="67">
        <f>SUM(U31:U43,X31:X42)</f>
        <v>1782429</v>
      </c>
    </row>
    <row r="46" spans="8:24" ht="15.75">
      <c r="H46" s="37" t="s">
        <v>111</v>
      </c>
      <c r="I46" s="60">
        <f>ONSV_AUX_2017!I64</f>
        <v>14541</v>
      </c>
      <c r="J46" s="10">
        <f>I46</f>
        <v>14541</v>
      </c>
      <c r="K46" s="11"/>
      <c r="L46" s="11"/>
      <c r="M46" s="11"/>
      <c r="O46" s="48"/>
      <c r="P46" s="76"/>
      <c r="Q46" s="48"/>
      <c r="R46" s="48"/>
      <c r="S46" s="48"/>
      <c r="T46" s="48"/>
      <c r="U46" s="48"/>
      <c r="V46" s="48"/>
      <c r="W46" s="48"/>
      <c r="X46" s="48"/>
    </row>
    <row r="47" spans="8:24" ht="15.75">
      <c r="H47" s="37" t="s">
        <v>112</v>
      </c>
      <c r="I47" s="60">
        <f>ONSV_AUX_2017!I65</f>
        <v>16809</v>
      </c>
      <c r="J47" s="61">
        <f>I47-(L36*I32)</f>
        <v>16806.748272314569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39"/>
      <c r="I48" s="40"/>
      <c r="J48" s="40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4" customFormat="1" ht="15.75">
      <c r="A50" s="101" t="str">
        <f>"ESPÍRITO SANTO/"&amp;ONSV_AUX_2016!$A$1&amp;""</f>
        <v>ESPÍRITO SANTO/2016</v>
      </c>
      <c r="B50" s="102"/>
      <c r="C50" s="102"/>
      <c r="D50" s="102"/>
      <c r="E50" s="102"/>
      <c r="F50" s="102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</row>
    <row r="52" spans="1:24" ht="15.75">
      <c r="H52" s="23" t="s">
        <v>118</v>
      </c>
      <c r="N52" s="26"/>
      <c r="O52" s="26"/>
      <c r="P52" s="9"/>
      <c r="Q52" s="26"/>
      <c r="R52" s="26"/>
      <c r="S52" s="26"/>
      <c r="T52" s="104"/>
      <c r="U52" s="104"/>
      <c r="V52" s="104"/>
      <c r="W52" s="104"/>
      <c r="X52" s="104"/>
    </row>
    <row r="53" spans="1:24" ht="15.75">
      <c r="J53" s="9"/>
      <c r="M53" s="25"/>
      <c r="N53" s="9"/>
      <c r="O53" s="9"/>
      <c r="P53" s="9"/>
      <c r="Q53" s="11"/>
      <c r="R53" s="11"/>
      <c r="S53" s="11"/>
    </row>
    <row r="54" spans="1:24" ht="15.75">
      <c r="H54" s="36" t="s">
        <v>81</v>
      </c>
      <c r="I54" s="60">
        <f>ONSV_AUX_2016!I27</f>
        <v>53677</v>
      </c>
      <c r="J54" s="9"/>
      <c r="K54" s="104" t="s">
        <v>119</v>
      </c>
      <c r="L54" s="104"/>
      <c r="M54" s="9"/>
      <c r="N54" s="26" t="s">
        <v>120</v>
      </c>
      <c r="O54" s="26"/>
      <c r="Q54" s="26" t="s">
        <v>121</v>
      </c>
      <c r="R54" s="26"/>
      <c r="S54" s="26"/>
      <c r="T54" s="25" t="s">
        <v>122</v>
      </c>
      <c r="U54" s="25"/>
      <c r="V54" s="25"/>
      <c r="W54" s="25"/>
      <c r="X54" s="25"/>
    </row>
    <row r="55" spans="1:24" ht="15.75">
      <c r="H55" s="36" t="s">
        <v>84</v>
      </c>
      <c r="I55" s="60">
        <f>ONSV_AUX_2016!I28</f>
        <v>655778</v>
      </c>
      <c r="J55" s="9"/>
      <c r="K55" s="9"/>
      <c r="L55" s="9"/>
      <c r="M55" s="9"/>
      <c r="N55" s="9"/>
      <c r="O55" s="9"/>
      <c r="P55" s="20"/>
      <c r="Q55" s="11"/>
      <c r="R55" s="11"/>
      <c r="S55" s="11"/>
    </row>
    <row r="56" spans="1:24" ht="15.75">
      <c r="H56" s="36" t="s">
        <v>85</v>
      </c>
      <c r="I56" s="60">
        <f>ONSV_AUX_2016!I29</f>
        <v>173838</v>
      </c>
      <c r="J56" s="9"/>
      <c r="K56" s="2" t="s">
        <v>123</v>
      </c>
      <c r="L56" s="60">
        <f>I63+I66+I67+I72</f>
        <v>1106644</v>
      </c>
      <c r="N56" s="28" t="s">
        <v>124</v>
      </c>
      <c r="O56" s="60">
        <f>J63+J72</f>
        <v>903803.12413025333</v>
      </c>
      <c r="P56" s="64"/>
      <c r="Q56" s="65" t="s">
        <v>125</v>
      </c>
      <c r="R56" s="60">
        <f>J66+J67</f>
        <v>202752.87586974673</v>
      </c>
      <c r="S56" s="66"/>
      <c r="T56" s="65" t="s">
        <v>126</v>
      </c>
      <c r="U56" s="67">
        <f>O60</f>
        <v>10858.109304937077</v>
      </c>
      <c r="V56" s="48"/>
      <c r="W56" s="65" t="s">
        <v>127</v>
      </c>
      <c r="X56" s="68">
        <f>R62</f>
        <v>16564.35887142512</v>
      </c>
    </row>
    <row r="57" spans="1:24" ht="15.75">
      <c r="H57" s="36" t="s">
        <v>101</v>
      </c>
      <c r="I57" s="60">
        <f>ONSV_AUX_2016!I30</f>
        <v>88</v>
      </c>
      <c r="J57" s="9"/>
      <c r="K57" s="27"/>
      <c r="L57" s="62"/>
      <c r="M57" s="20"/>
      <c r="N57" s="28" t="s">
        <v>128</v>
      </c>
      <c r="O57" s="69">
        <f>J63/O56</f>
        <v>0.98344240077444334</v>
      </c>
      <c r="P57" s="64"/>
      <c r="Q57" s="70" t="s">
        <v>129</v>
      </c>
      <c r="R57" s="63">
        <f>J66/R56</f>
        <v>0.74092686751919667</v>
      </c>
      <c r="S57" s="71"/>
      <c r="T57" s="65" t="s">
        <v>130</v>
      </c>
      <c r="U57" s="67">
        <f>I72-J72</f>
        <v>1.1900918452538463</v>
      </c>
      <c r="V57" s="48"/>
      <c r="W57" s="65" t="s">
        <v>131</v>
      </c>
      <c r="X57" s="68">
        <f>I67-J67</f>
        <v>4.1773289332413697</v>
      </c>
    </row>
    <row r="58" spans="1:24" ht="15.75">
      <c r="H58" s="36" t="s">
        <v>16</v>
      </c>
      <c r="I58" s="60">
        <f>ONSV_AUX_2016!I31</f>
        <v>28930</v>
      </c>
      <c r="J58" s="9"/>
      <c r="K58" s="2" t="s">
        <v>132</v>
      </c>
      <c r="L58" s="63">
        <f>I63/L56</f>
        <v>0.80324747615312608</v>
      </c>
      <c r="M58" s="20"/>
      <c r="N58" s="28" t="s">
        <v>133</v>
      </c>
      <c r="O58" s="69">
        <f>J72/O56</f>
        <v>1.6557599225556632E-2</v>
      </c>
      <c r="P58" s="64"/>
      <c r="Q58" s="70" t="s">
        <v>134</v>
      </c>
      <c r="R58" s="63">
        <f>J67/R56</f>
        <v>0.25907313248080327</v>
      </c>
      <c r="S58" s="71"/>
      <c r="T58" s="65" t="s">
        <v>135</v>
      </c>
      <c r="U58" s="72">
        <f>O62</f>
        <v>4106.7006032176687</v>
      </c>
      <c r="V58" s="73"/>
      <c r="W58" s="65" t="s">
        <v>136</v>
      </c>
      <c r="X58" s="72">
        <f>R65</f>
        <v>35963.463799641642</v>
      </c>
    </row>
    <row r="59" spans="1:24" ht="15.75">
      <c r="H59" s="36" t="s">
        <v>94</v>
      </c>
      <c r="I59" s="60">
        <f>ONSV_AUX_2016!I32</f>
        <v>818573</v>
      </c>
      <c r="J59" s="10"/>
      <c r="K59" s="2" t="s">
        <v>2</v>
      </c>
      <c r="L59" s="63">
        <f>I66/L56</f>
        <v>0.13575910590939813</v>
      </c>
      <c r="M59" s="20"/>
      <c r="N59" s="20"/>
      <c r="O59" s="74"/>
      <c r="P59" s="48"/>
      <c r="Q59" s="48"/>
      <c r="R59" s="48"/>
      <c r="S59" s="48"/>
      <c r="T59" s="48"/>
      <c r="U59" s="62"/>
      <c r="V59" s="75"/>
      <c r="W59" s="48"/>
      <c r="X59" s="62"/>
    </row>
    <row r="60" spans="1:24" ht="15.75">
      <c r="K60" s="2" t="s">
        <v>3</v>
      </c>
      <c r="L60" s="63">
        <f>I67/L56</f>
        <v>4.7469646968672854E-2</v>
      </c>
      <c r="M60" s="20"/>
      <c r="N60" s="28" t="s">
        <v>137</v>
      </c>
      <c r="O60" s="60">
        <f>IF(O58*I55&gt;J72,J72,O58*I55)</f>
        <v>10858.109304937077</v>
      </c>
      <c r="P60" s="76"/>
      <c r="Q60" s="65" t="s">
        <v>138</v>
      </c>
      <c r="R60" s="60">
        <f>I56-I64-I65-I68-I71</f>
        <v>63937</v>
      </c>
      <c r="S60" s="77"/>
      <c r="T60" s="65" t="s">
        <v>139</v>
      </c>
      <c r="U60" s="67">
        <f>O68</f>
        <v>644919.89069506293</v>
      </c>
      <c r="V60" s="76"/>
      <c r="W60" s="65" t="s">
        <v>140</v>
      </c>
      <c r="X60" s="67">
        <f>I64</f>
        <v>70295</v>
      </c>
    </row>
    <row r="61" spans="1:24" ht="15.75">
      <c r="H61" s="24" t="s">
        <v>141</v>
      </c>
      <c r="K61" s="2" t="s">
        <v>0</v>
      </c>
      <c r="L61" s="63">
        <f>I72/L56</f>
        <v>1.3523770968802976E-2</v>
      </c>
      <c r="O61" s="48"/>
      <c r="P61" s="76"/>
      <c r="Q61" s="65" t="s">
        <v>142</v>
      </c>
      <c r="R61" s="60">
        <f>R57*R60</f>
        <v>47372.641128574876</v>
      </c>
      <c r="S61" s="48"/>
      <c r="T61" s="65" t="s">
        <v>143</v>
      </c>
      <c r="U61" s="67">
        <f>O66</f>
        <v>53677</v>
      </c>
      <c r="V61" s="66"/>
      <c r="W61" s="65" t="s">
        <v>144</v>
      </c>
      <c r="X61" s="67">
        <f>I65</f>
        <v>17251</v>
      </c>
    </row>
    <row r="62" spans="1:24" ht="15.75">
      <c r="K62" s="11"/>
      <c r="L62" s="11"/>
      <c r="M62" s="11"/>
      <c r="N62" s="28" t="s">
        <v>145</v>
      </c>
      <c r="O62" s="60">
        <f>J72-O60</f>
        <v>4106.7006032176687</v>
      </c>
      <c r="P62" s="76"/>
      <c r="Q62" s="65" t="s">
        <v>127</v>
      </c>
      <c r="R62" s="60">
        <f>R58*R60</f>
        <v>16564.35887142512</v>
      </c>
      <c r="S62" s="48"/>
      <c r="T62" s="65" t="s">
        <v>146</v>
      </c>
      <c r="U62" s="67">
        <f>O67</f>
        <v>28930</v>
      </c>
      <c r="V62" s="71"/>
      <c r="W62" s="48"/>
      <c r="X62" s="62"/>
    </row>
    <row r="63" spans="1:24" ht="15.75">
      <c r="H63" s="37" t="s">
        <v>103</v>
      </c>
      <c r="I63" s="60">
        <f>ONSV_AUX_2016!I56</f>
        <v>888909</v>
      </c>
      <c r="J63" s="61">
        <f>I63-(L58*I57)</f>
        <v>888838.31422209856</v>
      </c>
      <c r="K63" s="11"/>
      <c r="L63" s="11"/>
      <c r="M63" s="11"/>
      <c r="O63" s="76"/>
      <c r="P63" s="76"/>
      <c r="Q63" s="48"/>
      <c r="R63" s="78"/>
      <c r="S63" s="48"/>
      <c r="T63" s="65" t="s">
        <v>147</v>
      </c>
      <c r="U63" s="68">
        <f>I63-J63</f>
        <v>70.685777901438996</v>
      </c>
      <c r="V63" s="71"/>
      <c r="W63" s="65" t="s">
        <v>148</v>
      </c>
      <c r="X63" s="67">
        <f>I71</f>
        <v>14544</v>
      </c>
    </row>
    <row r="64" spans="1:24" ht="15.75">
      <c r="H64" s="37" t="s">
        <v>104</v>
      </c>
      <c r="I64" s="60">
        <f>ONSV_AUX_2016!I57</f>
        <v>70295</v>
      </c>
      <c r="J64" s="10">
        <f>I64</f>
        <v>70295</v>
      </c>
      <c r="K64" s="11"/>
      <c r="L64" s="11"/>
      <c r="M64" s="11"/>
      <c r="N64" s="26" t="s">
        <v>149</v>
      </c>
      <c r="O64" s="76"/>
      <c r="P64" s="76"/>
      <c r="Q64" s="65" t="s">
        <v>150</v>
      </c>
      <c r="R64" s="60">
        <f>J66-R61</f>
        <v>102852.41207010509</v>
      </c>
      <c r="S64" s="48"/>
      <c r="T64" s="65" t="s">
        <v>151</v>
      </c>
      <c r="U64" s="72">
        <f>O69</f>
        <v>161311.42352703563</v>
      </c>
      <c r="V64" s="48"/>
      <c r="W64" s="65" t="s">
        <v>152</v>
      </c>
      <c r="X64" s="67">
        <f>I68</f>
        <v>7811</v>
      </c>
    </row>
    <row r="65" spans="1:24" ht="15.75">
      <c r="H65" s="37" t="s">
        <v>105</v>
      </c>
      <c r="I65" s="60">
        <f>ONSV_AUX_2016!I58</f>
        <v>17251</v>
      </c>
      <c r="J65" s="10">
        <f>I65</f>
        <v>17251</v>
      </c>
      <c r="K65" s="11"/>
      <c r="L65" s="11"/>
      <c r="M65" s="11"/>
      <c r="O65" s="73"/>
      <c r="P65" s="76"/>
      <c r="Q65" s="65" t="s">
        <v>136</v>
      </c>
      <c r="R65" s="60">
        <f>J67-R62</f>
        <v>35963.463799641642</v>
      </c>
      <c r="S65" s="48"/>
      <c r="T65" s="48"/>
      <c r="U65" s="62"/>
      <c r="V65" s="77"/>
      <c r="W65" s="48"/>
      <c r="X65" s="62"/>
    </row>
    <row r="66" spans="1:24" ht="15.75">
      <c r="H66" s="37" t="s">
        <v>106</v>
      </c>
      <c r="I66" s="60">
        <f>ONSV_AUX_2016!I59</f>
        <v>150237</v>
      </c>
      <c r="J66" s="61">
        <f>I66-(L59*I57)</f>
        <v>150225.05319867996</v>
      </c>
      <c r="K66" s="11"/>
      <c r="L66" s="11"/>
      <c r="M66" s="11"/>
      <c r="N66" s="28" t="s">
        <v>143</v>
      </c>
      <c r="O66" s="60">
        <f>I54</f>
        <v>53677</v>
      </c>
      <c r="P66" s="76"/>
      <c r="Q66" s="48"/>
      <c r="R66" s="48"/>
      <c r="S66" s="77"/>
      <c r="T66" s="65" t="s">
        <v>142</v>
      </c>
      <c r="U66" s="68">
        <f>R61</f>
        <v>47372.641128574876</v>
      </c>
      <c r="V66" s="48"/>
      <c r="W66" s="65" t="s">
        <v>153</v>
      </c>
      <c r="X66" s="67">
        <f>I69</f>
        <v>415983</v>
      </c>
    </row>
    <row r="67" spans="1:24" ht="15.75">
      <c r="H67" s="37" t="s">
        <v>107</v>
      </c>
      <c r="I67" s="60">
        <f>ONSV_AUX_2016!I60</f>
        <v>52532</v>
      </c>
      <c r="J67" s="61">
        <f>I67-(L60*I57)</f>
        <v>52527.822671066759</v>
      </c>
      <c r="K67" s="11"/>
      <c r="L67" s="11"/>
      <c r="M67" s="11"/>
      <c r="N67" s="28" t="s">
        <v>146</v>
      </c>
      <c r="O67" s="60">
        <f>I58</f>
        <v>28930</v>
      </c>
      <c r="P67" s="76"/>
      <c r="Q67" s="48"/>
      <c r="R67" s="48"/>
      <c r="S67" s="48"/>
      <c r="T67" s="65" t="s">
        <v>154</v>
      </c>
      <c r="U67" s="68">
        <f>I66-J66</f>
        <v>11.946801320038503</v>
      </c>
      <c r="V67" s="48"/>
      <c r="W67" s="65" t="s">
        <v>155</v>
      </c>
      <c r="X67" s="67">
        <f>I70</f>
        <v>97749</v>
      </c>
    </row>
    <row r="68" spans="1:24" ht="15.75">
      <c r="H68" s="37" t="s">
        <v>108</v>
      </c>
      <c r="I68" s="60">
        <f>ONSV_AUX_2016!I61</f>
        <v>7811</v>
      </c>
      <c r="J68" s="10">
        <f>I68</f>
        <v>7811</v>
      </c>
      <c r="K68" s="11"/>
      <c r="L68" s="11"/>
      <c r="M68" s="11"/>
      <c r="N68" s="28" t="s">
        <v>139</v>
      </c>
      <c r="O68" s="60">
        <f>IF(OR((O57*I55&gt;J63),((O66+O67+(O57*I55))&gt;J63)),(J63-O66-O67),(O57*I55))</f>
        <v>644919.89069506293</v>
      </c>
      <c r="P68" s="76"/>
      <c r="Q68" s="48"/>
      <c r="R68" s="78"/>
      <c r="S68" s="48"/>
      <c r="T68" s="65" t="s">
        <v>150</v>
      </c>
      <c r="U68" s="72">
        <f>R64</f>
        <v>102852.41207010509</v>
      </c>
      <c r="V68" s="48"/>
      <c r="W68" s="48"/>
      <c r="X68" s="48"/>
    </row>
    <row r="69" spans="1:24" ht="15.75">
      <c r="H69" s="37" t="s">
        <v>109</v>
      </c>
      <c r="I69" s="60">
        <f>ONSV_AUX_2016!I62</f>
        <v>415983</v>
      </c>
      <c r="J69" s="10">
        <f>I69</f>
        <v>415983</v>
      </c>
      <c r="K69" s="11"/>
      <c r="L69" s="11"/>
      <c r="M69" s="11"/>
      <c r="N69" s="28" t="s">
        <v>151</v>
      </c>
      <c r="O69" s="60">
        <f>IF((J63-O66-O68-O67)&lt;0,0,(J63-O66-O68-O67))</f>
        <v>161311.42352703563</v>
      </c>
      <c r="P69" s="48"/>
      <c r="Q69" s="48"/>
      <c r="R69" s="48"/>
      <c r="S69" s="48"/>
      <c r="T69" s="48"/>
      <c r="U69" s="62"/>
      <c r="V69" s="48"/>
      <c r="W69" s="48"/>
      <c r="X69" s="48"/>
    </row>
    <row r="70" spans="1:24" ht="15.75">
      <c r="H70" s="37" t="s">
        <v>110</v>
      </c>
      <c r="I70" s="60">
        <f>ONSV_AUX_2016!I63</f>
        <v>97749</v>
      </c>
      <c r="J70" s="10">
        <f>I70</f>
        <v>97749</v>
      </c>
      <c r="K70" s="11"/>
      <c r="L70" s="11"/>
      <c r="M70" s="11"/>
      <c r="O70" s="48"/>
      <c r="P70" s="76"/>
      <c r="Q70" s="48"/>
      <c r="R70" s="48"/>
      <c r="S70" s="48"/>
      <c r="T70" s="79" t="s">
        <v>156</v>
      </c>
      <c r="U70" s="80">
        <f>(SUM(U56:U68,X56:X67)/SUM(I63:I72))-1</f>
        <v>0</v>
      </c>
      <c r="V70" s="48"/>
      <c r="W70" s="79" t="s">
        <v>10</v>
      </c>
      <c r="X70" s="67">
        <f>SUM(U56:U68,X56:X67)</f>
        <v>1730277</v>
      </c>
    </row>
    <row r="71" spans="1:24" ht="15.75">
      <c r="H71" s="37" t="s">
        <v>111</v>
      </c>
      <c r="I71" s="60">
        <f>ONSV_AUX_2016!I64</f>
        <v>14544</v>
      </c>
      <c r="J71" s="10">
        <f>I71</f>
        <v>14544</v>
      </c>
      <c r="K71" s="11"/>
      <c r="L71" s="11"/>
      <c r="M71" s="11"/>
      <c r="O71" s="48"/>
      <c r="P71" s="76"/>
      <c r="Q71" s="48"/>
      <c r="R71" s="48"/>
      <c r="S71" s="48"/>
      <c r="T71" s="48"/>
      <c r="U71" s="48"/>
      <c r="V71" s="48"/>
      <c r="W71" s="48"/>
      <c r="X71" s="48"/>
    </row>
    <row r="72" spans="1:24" ht="15.75">
      <c r="H72" s="37" t="s">
        <v>112</v>
      </c>
      <c r="I72" s="60">
        <f>ONSV_AUX_2016!I65</f>
        <v>14966</v>
      </c>
      <c r="J72" s="61">
        <f>I72-(L61*I57)</f>
        <v>14964.809908154746</v>
      </c>
      <c r="K72" s="12"/>
      <c r="L72" s="12"/>
      <c r="M72" s="12"/>
      <c r="N72" s="12"/>
      <c r="O72" s="12"/>
      <c r="P72" s="12"/>
      <c r="Q72" s="4"/>
      <c r="R72" s="4"/>
    </row>
    <row r="75" spans="1:24" s="34" customFormat="1" ht="15.75">
      <c r="A75" s="101" t="str">
        <f>"ESPÍRITO SANTO/"&amp;ONSV_AUX_2015!$A$1&amp;""</f>
        <v>ESPÍRITO SANTO/2015</v>
      </c>
      <c r="B75" s="102"/>
      <c r="C75" s="102"/>
      <c r="D75" s="102"/>
      <c r="E75" s="102"/>
      <c r="F75" s="102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 spans="1:24"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>
      <c r="H77" s="23" t="s">
        <v>118</v>
      </c>
      <c r="P77" s="9"/>
    </row>
    <row r="78" spans="1:24" ht="15.75">
      <c r="J78" s="9"/>
      <c r="M78" s="25"/>
      <c r="P78" s="9"/>
    </row>
    <row r="79" spans="1:24" ht="15.75">
      <c r="H79" s="36" t="s">
        <v>81</v>
      </c>
      <c r="I79" s="60">
        <f>ONSV_AUX_2015!I27</f>
        <v>53652</v>
      </c>
      <c r="J79" s="9"/>
      <c r="K79" s="104" t="s">
        <v>119</v>
      </c>
      <c r="L79" s="104"/>
      <c r="M79" s="9"/>
      <c r="N79" s="26" t="s">
        <v>120</v>
      </c>
      <c r="O79" s="26"/>
      <c r="Q79" s="26" t="s">
        <v>121</v>
      </c>
      <c r="R79" s="26"/>
      <c r="S79" s="26"/>
      <c r="T79" s="25" t="s">
        <v>122</v>
      </c>
      <c r="U79" s="25"/>
      <c r="V79" s="25"/>
      <c r="W79" s="25"/>
      <c r="X79" s="25"/>
    </row>
    <row r="80" spans="1:24" ht="15.75">
      <c r="H80" s="36" t="s">
        <v>84</v>
      </c>
      <c r="I80" s="60">
        <f>ONSV_AUX_2015!I28</f>
        <v>610278</v>
      </c>
      <c r="J80" s="9"/>
      <c r="K80" s="9"/>
      <c r="L80" s="9"/>
      <c r="M80" s="9"/>
      <c r="N80" s="9"/>
      <c r="O80" s="9"/>
      <c r="P80" s="20"/>
      <c r="Q80" s="11"/>
      <c r="R80" s="11"/>
      <c r="S80" s="11"/>
    </row>
    <row r="81" spans="8:24" ht="15.75">
      <c r="H81" s="36" t="s">
        <v>85</v>
      </c>
      <c r="I81" s="60">
        <f>ONSV_AUX_2015!I29</f>
        <v>168858</v>
      </c>
      <c r="J81" s="9"/>
      <c r="K81" s="2" t="s">
        <v>123</v>
      </c>
      <c r="L81" s="60">
        <f>I88+I91+I92+I97</f>
        <v>1067120</v>
      </c>
      <c r="N81" s="28" t="s">
        <v>124</v>
      </c>
      <c r="O81" s="60">
        <f>J88+J97</f>
        <v>873339.98170402576</v>
      </c>
      <c r="P81" s="64"/>
      <c r="Q81" s="65" t="s">
        <v>125</v>
      </c>
      <c r="R81" s="60">
        <f>J91+J92</f>
        <v>193714.01829597424</v>
      </c>
      <c r="S81" s="66"/>
      <c r="T81" s="65" t="s">
        <v>126</v>
      </c>
      <c r="U81" s="67">
        <f>O85</f>
        <v>9118.5969905907295</v>
      </c>
      <c r="V81" s="48"/>
      <c r="W81" s="65" t="s">
        <v>127</v>
      </c>
      <c r="X81" s="68">
        <f>R87</f>
        <v>15550.298560853989</v>
      </c>
    </row>
    <row r="82" spans="8:24" ht="15.75">
      <c r="H82" s="36" t="s">
        <v>101</v>
      </c>
      <c r="I82" s="60">
        <f>ONSV_AUX_2015!I30</f>
        <v>66</v>
      </c>
      <c r="J82" s="9"/>
      <c r="K82" s="27"/>
      <c r="L82" s="62"/>
      <c r="M82" s="20"/>
      <c r="N82" s="28" t="s">
        <v>128</v>
      </c>
      <c r="O82" s="69">
        <f>J88/O81</f>
        <v>0.98505828984398791</v>
      </c>
      <c r="P82" s="64"/>
      <c r="Q82" s="70" t="s">
        <v>129</v>
      </c>
      <c r="R82" s="63">
        <f>J91/R81</f>
        <v>0.74274490775631563</v>
      </c>
      <c r="S82" s="71"/>
      <c r="T82" s="65" t="s">
        <v>130</v>
      </c>
      <c r="U82" s="67">
        <f>I97-J97</f>
        <v>0.80712572156880924</v>
      </c>
      <c r="V82" s="48"/>
      <c r="W82" s="65" t="s">
        <v>131</v>
      </c>
      <c r="X82" s="68">
        <f>I92-J92</f>
        <v>3.0823543743899791</v>
      </c>
    </row>
    <row r="83" spans="8:24" ht="15.75">
      <c r="H83" s="36" t="s">
        <v>16</v>
      </c>
      <c r="I83" s="60">
        <f>ONSV_AUX_2015!I31</f>
        <v>28234</v>
      </c>
      <c r="J83" s="9"/>
      <c r="K83" s="2" t="s">
        <v>132</v>
      </c>
      <c r="L83" s="63">
        <f>I88/L81</f>
        <v>0.80622985231276711</v>
      </c>
      <c r="M83" s="20"/>
      <c r="N83" s="28" t="s">
        <v>133</v>
      </c>
      <c r="O83" s="69">
        <f>J97/O81</f>
        <v>1.4941710156012063E-2</v>
      </c>
      <c r="P83" s="64"/>
      <c r="Q83" s="70" t="s">
        <v>134</v>
      </c>
      <c r="R83" s="63">
        <f>J92/R81</f>
        <v>0.25725509224368437</v>
      </c>
      <c r="S83" s="71"/>
      <c r="T83" s="65" t="s">
        <v>135</v>
      </c>
      <c r="U83" s="72">
        <f>O87</f>
        <v>3930.5958836877016</v>
      </c>
      <c r="V83" s="73"/>
      <c r="W83" s="65" t="s">
        <v>136</v>
      </c>
      <c r="X83" s="72">
        <f>R90</f>
        <v>34283.619084771621</v>
      </c>
    </row>
    <row r="84" spans="8:24" ht="15.75">
      <c r="H84" s="36" t="s">
        <v>94</v>
      </c>
      <c r="I84" s="60">
        <f>ONSV_AUX_2015!I32</f>
        <v>812082</v>
      </c>
      <c r="J84" s="10"/>
      <c r="K84" s="2" t="s">
        <v>2</v>
      </c>
      <c r="L84" s="63">
        <f>I91/L81</f>
        <v>0.13483863108179023</v>
      </c>
      <c r="M84" s="20"/>
      <c r="N84" s="20"/>
      <c r="O84" s="74"/>
      <c r="P84" s="48"/>
      <c r="Q84" s="48"/>
      <c r="R84" s="48"/>
      <c r="S84" s="48"/>
      <c r="T84" s="48"/>
      <c r="U84" s="62"/>
      <c r="V84" s="75"/>
      <c r="W84" s="48"/>
      <c r="X84" s="62"/>
    </row>
    <row r="85" spans="8:24" ht="15.75">
      <c r="K85" s="2" t="s">
        <v>3</v>
      </c>
      <c r="L85" s="63">
        <f>I92/L81</f>
        <v>4.670233900592248E-2</v>
      </c>
      <c r="M85" s="20"/>
      <c r="N85" s="28" t="s">
        <v>137</v>
      </c>
      <c r="O85" s="60">
        <f>IF(O83*I80&gt;J97,J97,O83*I80)</f>
        <v>9118.5969905907295</v>
      </c>
      <c r="P85" s="76"/>
      <c r="Q85" s="65" t="s">
        <v>138</v>
      </c>
      <c r="R85" s="60">
        <f>I81-I89-I90-I93-I96</f>
        <v>60447</v>
      </c>
      <c r="S85" s="77"/>
      <c r="T85" s="65" t="s">
        <v>139</v>
      </c>
      <c r="U85" s="67">
        <f>O93</f>
        <v>601159.4030094092</v>
      </c>
      <c r="V85" s="76"/>
      <c r="W85" s="65" t="s">
        <v>140</v>
      </c>
      <c r="X85" s="67">
        <f>I89</f>
        <v>68871</v>
      </c>
    </row>
    <row r="86" spans="8:24" ht="15.75">
      <c r="H86" s="24" t="s">
        <v>141</v>
      </c>
      <c r="K86" s="2" t="s">
        <v>0</v>
      </c>
      <c r="L86" s="63">
        <f>I97/L81</f>
        <v>1.2229177599520203E-2</v>
      </c>
      <c r="O86" s="48"/>
      <c r="P86" s="76"/>
      <c r="Q86" s="65" t="s">
        <v>142</v>
      </c>
      <c r="R86" s="60">
        <f>R82*R85</f>
        <v>44896.701439146011</v>
      </c>
      <c r="S86" s="48"/>
      <c r="T86" s="65" t="s">
        <v>143</v>
      </c>
      <c r="U86" s="67">
        <f>O91</f>
        <v>53652</v>
      </c>
      <c r="V86" s="66"/>
      <c r="W86" s="65" t="s">
        <v>144</v>
      </c>
      <c r="X86" s="67">
        <f>I90</f>
        <v>17324</v>
      </c>
    </row>
    <row r="87" spans="8:24" ht="15.75">
      <c r="K87" s="11"/>
      <c r="L87" s="11"/>
      <c r="M87" s="11"/>
      <c r="N87" s="28" t="s">
        <v>145</v>
      </c>
      <c r="O87" s="60">
        <f>J97-O85</f>
        <v>3930.5958836877016</v>
      </c>
      <c r="P87" s="76"/>
      <c r="Q87" s="65" t="s">
        <v>127</v>
      </c>
      <c r="R87" s="60">
        <f>R83*R85</f>
        <v>15550.298560853989</v>
      </c>
      <c r="S87" s="48"/>
      <c r="T87" s="65" t="s">
        <v>146</v>
      </c>
      <c r="U87" s="67">
        <f>O92</f>
        <v>28234</v>
      </c>
      <c r="V87" s="71"/>
      <c r="W87" s="48"/>
      <c r="X87" s="62"/>
    </row>
    <row r="88" spans="8:24" ht="15.75">
      <c r="H88" s="37" t="s">
        <v>103</v>
      </c>
      <c r="I88" s="60">
        <f>ONSV_AUX_2015!I56</f>
        <v>860344</v>
      </c>
      <c r="J88" s="61">
        <f>I88-(L83*I82)</f>
        <v>860290.78882974735</v>
      </c>
      <c r="K88" s="11"/>
      <c r="L88" s="11"/>
      <c r="M88" s="11"/>
      <c r="O88" s="76"/>
      <c r="P88" s="76"/>
      <c r="Q88" s="48"/>
      <c r="R88" s="78"/>
      <c r="S88" s="48"/>
      <c r="T88" s="65" t="s">
        <v>147</v>
      </c>
      <c r="U88" s="68">
        <f>I88-J88</f>
        <v>53.211170252645388</v>
      </c>
      <c r="V88" s="71"/>
      <c r="W88" s="65" t="s">
        <v>148</v>
      </c>
      <c r="X88" s="67">
        <f>I96</f>
        <v>14690</v>
      </c>
    </row>
    <row r="89" spans="8:24" ht="15.75">
      <c r="H89" s="37" t="s">
        <v>104</v>
      </c>
      <c r="I89" s="60">
        <f>ONSV_AUX_2015!I57</f>
        <v>68871</v>
      </c>
      <c r="J89" s="10">
        <f>I89</f>
        <v>68871</v>
      </c>
      <c r="K89" s="11"/>
      <c r="L89" s="11"/>
      <c r="M89" s="11"/>
      <c r="N89" s="26" t="s">
        <v>149</v>
      </c>
      <c r="O89" s="76"/>
      <c r="P89" s="76"/>
      <c r="Q89" s="65" t="s">
        <v>150</v>
      </c>
      <c r="R89" s="60">
        <f>J91-R86</f>
        <v>98983.399211202603</v>
      </c>
      <c r="S89" s="48"/>
      <c r="T89" s="65" t="s">
        <v>151</v>
      </c>
      <c r="U89" s="72">
        <f>O94</f>
        <v>177245.38582033815</v>
      </c>
      <c r="V89" s="48"/>
      <c r="W89" s="65" t="s">
        <v>152</v>
      </c>
      <c r="X89" s="67">
        <f>I93</f>
        <v>7526</v>
      </c>
    </row>
    <row r="90" spans="8:24" ht="15.75">
      <c r="H90" s="37" t="s">
        <v>105</v>
      </c>
      <c r="I90" s="60">
        <f>ONSV_AUX_2015!I58</f>
        <v>17324</v>
      </c>
      <c r="J90" s="10">
        <f>I90</f>
        <v>17324</v>
      </c>
      <c r="K90" s="11"/>
      <c r="L90" s="11"/>
      <c r="M90" s="11"/>
      <c r="O90" s="73"/>
      <c r="P90" s="76"/>
      <c r="Q90" s="65" t="s">
        <v>136</v>
      </c>
      <c r="R90" s="60">
        <f>J92-R87</f>
        <v>34283.619084771621</v>
      </c>
      <c r="S90" s="48"/>
      <c r="T90" s="48"/>
      <c r="U90" s="62"/>
      <c r="V90" s="77"/>
      <c r="W90" s="48"/>
      <c r="X90" s="62"/>
    </row>
    <row r="91" spans="8:24" ht="15.75">
      <c r="H91" s="37" t="s">
        <v>106</v>
      </c>
      <c r="I91" s="60">
        <f>ONSV_AUX_2015!I59</f>
        <v>143889</v>
      </c>
      <c r="J91" s="61">
        <f>I91-(L84*I82)</f>
        <v>143880.10065034861</v>
      </c>
      <c r="K91" s="11"/>
      <c r="L91" s="11"/>
      <c r="M91" s="11"/>
      <c r="N91" s="28" t="s">
        <v>143</v>
      </c>
      <c r="O91" s="60">
        <f>I79</f>
        <v>53652</v>
      </c>
      <c r="P91" s="76"/>
      <c r="Q91" s="48"/>
      <c r="R91" s="48"/>
      <c r="S91" s="77"/>
      <c r="T91" s="65" t="s">
        <v>142</v>
      </c>
      <c r="U91" s="68">
        <f>R86</f>
        <v>44896.701439146011</v>
      </c>
      <c r="V91" s="48"/>
      <c r="W91" s="65" t="s">
        <v>153</v>
      </c>
      <c r="X91" s="67">
        <f>I94</f>
        <v>401423</v>
      </c>
    </row>
    <row r="92" spans="8:24" ht="15.75">
      <c r="H92" s="37" t="s">
        <v>107</v>
      </c>
      <c r="I92" s="60">
        <f>ONSV_AUX_2015!I60</f>
        <v>49837</v>
      </c>
      <c r="J92" s="61">
        <f>I92-(L85*I82)</f>
        <v>49833.91764562561</v>
      </c>
      <c r="K92" s="11"/>
      <c r="L92" s="11"/>
      <c r="M92" s="11"/>
      <c r="N92" s="28" t="s">
        <v>146</v>
      </c>
      <c r="O92" s="60">
        <f>I83</f>
        <v>28234</v>
      </c>
      <c r="P92" s="76"/>
      <c r="Q92" s="48"/>
      <c r="R92" s="48"/>
      <c r="S92" s="48"/>
      <c r="T92" s="65" t="s">
        <v>154</v>
      </c>
      <c r="U92" s="68">
        <f>I91-J91</f>
        <v>8.8993496513867285</v>
      </c>
      <c r="V92" s="48"/>
      <c r="W92" s="65" t="s">
        <v>155</v>
      </c>
      <c r="X92" s="67">
        <f>I95</f>
        <v>93224</v>
      </c>
    </row>
    <row r="93" spans="8:24" ht="15.75">
      <c r="H93" s="37" t="s">
        <v>108</v>
      </c>
      <c r="I93" s="60">
        <f>ONSV_AUX_2015!I61</f>
        <v>7526</v>
      </c>
      <c r="J93" s="10">
        <f>I93</f>
        <v>7526</v>
      </c>
      <c r="K93" s="11"/>
      <c r="L93" s="11"/>
      <c r="M93" s="11"/>
      <c r="N93" s="28" t="s">
        <v>139</v>
      </c>
      <c r="O93" s="60">
        <f>IF(OR((O82*I80&gt;J88),((O91+O92+(O82*I80))&gt;J88)),(J88-O91-O92),(O82*I80))</f>
        <v>601159.4030094092</v>
      </c>
      <c r="P93" s="76"/>
      <c r="Q93" s="48"/>
      <c r="R93" s="78"/>
      <c r="S93" s="48"/>
      <c r="T93" s="65" t="s">
        <v>150</v>
      </c>
      <c r="U93" s="72">
        <f>R89</f>
        <v>98983.399211202603</v>
      </c>
      <c r="V93" s="48"/>
      <c r="W93" s="48"/>
      <c r="X93" s="48"/>
    </row>
    <row r="94" spans="8:24" ht="15.75">
      <c r="H94" s="37" t="s">
        <v>109</v>
      </c>
      <c r="I94" s="60">
        <f>ONSV_AUX_2015!I62</f>
        <v>401423</v>
      </c>
      <c r="J94" s="10">
        <f>I94</f>
        <v>401423</v>
      </c>
      <c r="K94" s="11"/>
      <c r="L94" s="11"/>
      <c r="M94" s="11"/>
      <c r="N94" s="28" t="s">
        <v>151</v>
      </c>
      <c r="O94" s="60">
        <f>IF((J88-O91-O93-O92)&lt;0,0,(J88-O91-O93-O92))</f>
        <v>177245.38582033815</v>
      </c>
      <c r="P94" s="48"/>
      <c r="Q94" s="48"/>
      <c r="R94" s="48"/>
      <c r="S94" s="48"/>
      <c r="T94" s="48"/>
      <c r="U94" s="62"/>
      <c r="V94" s="48"/>
      <c r="W94" s="48"/>
      <c r="X94" s="48"/>
    </row>
    <row r="95" spans="8:24" ht="15.75">
      <c r="H95" s="37" t="s">
        <v>110</v>
      </c>
      <c r="I95" s="60">
        <f>ONSV_AUX_2015!I63</f>
        <v>93224</v>
      </c>
      <c r="J95" s="10">
        <f>I95</f>
        <v>93224</v>
      </c>
      <c r="K95" s="11"/>
      <c r="L95" s="11"/>
      <c r="M95" s="11"/>
      <c r="O95" s="48"/>
      <c r="P95" s="76"/>
      <c r="Q95" s="48"/>
      <c r="R95" s="48"/>
      <c r="S95" s="48"/>
      <c r="T95" s="79" t="s">
        <v>156</v>
      </c>
      <c r="U95" s="80">
        <f>(SUM(U81:U93,X81:X92)/SUM(I88:I97))-1</f>
        <v>0</v>
      </c>
      <c r="V95" s="48"/>
      <c r="W95" s="79" t="s">
        <v>10</v>
      </c>
      <c r="X95" s="67">
        <f>SUM(U81:U93,X81:X92)</f>
        <v>1670178</v>
      </c>
    </row>
    <row r="96" spans="8:24" ht="15.75">
      <c r="H96" s="37" t="s">
        <v>111</v>
      </c>
      <c r="I96" s="60">
        <f>ONSV_AUX_2015!I64</f>
        <v>14690</v>
      </c>
      <c r="J96" s="10">
        <f>I96</f>
        <v>14690</v>
      </c>
      <c r="K96" s="11"/>
      <c r="L96" s="11"/>
      <c r="M96" s="11"/>
      <c r="O96" s="48"/>
      <c r="P96" s="76"/>
      <c r="Q96" s="48"/>
      <c r="R96" s="48"/>
      <c r="S96" s="48"/>
      <c r="T96" s="48"/>
      <c r="U96" s="48"/>
      <c r="V96" s="48"/>
      <c r="W96" s="48"/>
      <c r="X96" s="48"/>
    </row>
    <row r="97" spans="1:24" ht="15.75">
      <c r="H97" s="37" t="s">
        <v>112</v>
      </c>
      <c r="I97" s="60">
        <f>ONSV_AUX_2015!I65</f>
        <v>13050</v>
      </c>
      <c r="J97" s="61">
        <f>I97-(L86*I82)</f>
        <v>13049.192874278431</v>
      </c>
      <c r="K97" s="12"/>
      <c r="L97" s="12"/>
      <c r="M97" s="12"/>
      <c r="N97" s="12"/>
      <c r="O97" s="12"/>
      <c r="P97" s="12"/>
      <c r="Q97" s="4"/>
      <c r="R97" s="4"/>
    </row>
    <row r="98" spans="1:24" ht="15.75">
      <c r="I98" s="40"/>
      <c r="J98" s="21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4" ht="15.75">
      <c r="I99" s="40"/>
      <c r="J99" s="21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4" s="34" customFormat="1" ht="15.75">
      <c r="A100" s="101" t="str">
        <f>"ESPÍRITO SANTO/"&amp;ONSV_AUX_2014!$A$1&amp;""</f>
        <v>ESPÍRITO SANTO/2014</v>
      </c>
      <c r="B100" s="102"/>
      <c r="C100" s="102"/>
      <c r="D100" s="102"/>
      <c r="E100" s="102"/>
      <c r="F100" s="102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</row>
    <row r="101" spans="1:24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>
      <c r="H102" s="23" t="s">
        <v>118</v>
      </c>
      <c r="N102" s="26"/>
      <c r="O102" s="26"/>
      <c r="P102" s="9"/>
      <c r="Q102" s="26"/>
      <c r="R102" s="26"/>
      <c r="S102" s="26"/>
      <c r="T102" s="25"/>
      <c r="U102" s="25"/>
      <c r="V102" s="25"/>
      <c r="W102" s="25"/>
      <c r="X102" s="25"/>
    </row>
    <row r="103" spans="1:24" ht="15.75">
      <c r="J103" s="9"/>
      <c r="M103" s="25"/>
      <c r="N103" s="9"/>
      <c r="O103" s="9"/>
      <c r="P103" s="9"/>
      <c r="Q103" s="11"/>
      <c r="R103" s="11"/>
      <c r="S103" s="11"/>
    </row>
    <row r="104" spans="1:24" ht="15.75">
      <c r="H104" s="36" t="s">
        <v>81</v>
      </c>
      <c r="I104" s="60">
        <f>ONSV_AUX_2014!I27</f>
        <v>53675</v>
      </c>
      <c r="J104" s="9"/>
      <c r="K104" s="104" t="s">
        <v>119</v>
      </c>
      <c r="L104" s="104"/>
      <c r="M104" s="9"/>
      <c r="N104" s="26" t="s">
        <v>120</v>
      </c>
      <c r="O104" s="26"/>
      <c r="Q104" s="26" t="s">
        <v>121</v>
      </c>
      <c r="R104" s="26"/>
      <c r="S104" s="26"/>
      <c r="T104" s="25" t="s">
        <v>122</v>
      </c>
      <c r="U104" s="25"/>
      <c r="V104" s="25"/>
      <c r="W104" s="25"/>
      <c r="X104" s="25"/>
    </row>
    <row r="105" spans="1:24" ht="15.75">
      <c r="H105" s="36" t="s">
        <v>84</v>
      </c>
      <c r="I105" s="60">
        <f>ONSV_AUX_2014!I28</f>
        <v>541699</v>
      </c>
      <c r="J105" s="9"/>
      <c r="K105" s="9"/>
      <c r="L105" s="9"/>
      <c r="M105" s="9"/>
      <c r="N105" s="9"/>
      <c r="O105" s="9"/>
      <c r="P105" s="20"/>
      <c r="Q105" s="11"/>
      <c r="R105" s="11"/>
      <c r="S105" s="11"/>
    </row>
    <row r="106" spans="1:24" ht="15.75">
      <c r="H106" s="36" t="s">
        <v>85</v>
      </c>
      <c r="I106" s="60">
        <f>ONSV_AUX_2014!I29</f>
        <v>160166</v>
      </c>
      <c r="J106" s="9"/>
      <c r="K106" s="2" t="s">
        <v>123</v>
      </c>
      <c r="L106" s="60">
        <f>I113+I116+I117+I122</f>
        <v>1009851</v>
      </c>
      <c r="N106" s="28" t="s">
        <v>124</v>
      </c>
      <c r="O106" s="60">
        <f>J113+J122</f>
        <v>830068.40798295976</v>
      </c>
      <c r="P106" s="64"/>
      <c r="Q106" s="65" t="s">
        <v>125</v>
      </c>
      <c r="R106" s="60">
        <f>J116+J117</f>
        <v>179746.59201704015</v>
      </c>
      <c r="S106" s="66"/>
      <c r="T106" s="65" t="s">
        <v>126</v>
      </c>
      <c r="U106" s="67">
        <f>O110</f>
        <v>7343.396619435297</v>
      </c>
      <c r="V106" s="48"/>
      <c r="W106" s="65" t="s">
        <v>127</v>
      </c>
      <c r="X106" s="68">
        <f>R112</f>
        <v>14603.457755920623</v>
      </c>
    </row>
    <row r="107" spans="1:24" ht="15.75">
      <c r="H107" s="36" t="s">
        <v>101</v>
      </c>
      <c r="I107" s="60">
        <f>ONSV_AUX_2014!I30</f>
        <v>36</v>
      </c>
      <c r="J107" s="9"/>
      <c r="K107" s="27"/>
      <c r="L107" s="62"/>
      <c r="M107" s="20"/>
      <c r="N107" s="28" t="s">
        <v>128</v>
      </c>
      <c r="O107" s="69">
        <f>J113/O106</f>
        <v>0.98644376928989108</v>
      </c>
      <c r="P107" s="64"/>
      <c r="Q107" s="70" t="s">
        <v>129</v>
      </c>
      <c r="R107" s="63">
        <f>J116/R106</f>
        <v>0.7410780348589453</v>
      </c>
      <c r="S107" s="71"/>
      <c r="T107" s="65" t="s">
        <v>130</v>
      </c>
      <c r="U107" s="67">
        <f>I122-J122</f>
        <v>0.40115621017321246</v>
      </c>
      <c r="V107" s="48"/>
      <c r="W107" s="65" t="s">
        <v>131</v>
      </c>
      <c r="X107" s="68">
        <f>I117-J117</f>
        <v>1.6591675405579736</v>
      </c>
    </row>
    <row r="108" spans="1:24" ht="15.75">
      <c r="H108" s="36" t="s">
        <v>16</v>
      </c>
      <c r="I108" s="60">
        <f>ONSV_AUX_2014!I31</f>
        <v>27825</v>
      </c>
      <c r="J108" s="9"/>
      <c r="K108" s="2" t="s">
        <v>132</v>
      </c>
      <c r="L108" s="63">
        <f>I113/L106</f>
        <v>0.81085724527677849</v>
      </c>
      <c r="M108" s="20"/>
      <c r="N108" s="28" t="s">
        <v>133</v>
      </c>
      <c r="O108" s="69">
        <f>J122/O106</f>
        <v>1.3556230710108929E-2</v>
      </c>
      <c r="P108" s="64"/>
      <c r="Q108" s="70" t="s">
        <v>134</v>
      </c>
      <c r="R108" s="63">
        <f>J117/R106</f>
        <v>0.25892196514105464</v>
      </c>
      <c r="S108" s="71"/>
      <c r="T108" s="65" t="s">
        <v>135</v>
      </c>
      <c r="U108" s="72">
        <f>O112</f>
        <v>3909.2022243545298</v>
      </c>
      <c r="V108" s="73"/>
      <c r="W108" s="65" t="s">
        <v>136</v>
      </c>
      <c r="X108" s="72">
        <f>R115</f>
        <v>31936.883076538819</v>
      </c>
    </row>
    <row r="109" spans="1:24" ht="15.75">
      <c r="H109" s="36" t="s">
        <v>94</v>
      </c>
      <c r="I109" s="60">
        <f>ONSV_AUX_2014!I32</f>
        <v>803119</v>
      </c>
      <c r="J109" s="10"/>
      <c r="K109" s="2" t="s">
        <v>2</v>
      </c>
      <c r="L109" s="63">
        <f>I116/L106</f>
        <v>0.13191153942512313</v>
      </c>
      <c r="M109" s="20"/>
      <c r="N109" s="20"/>
      <c r="O109" s="74"/>
      <c r="P109" s="48"/>
      <c r="Q109" s="48"/>
      <c r="R109" s="48"/>
      <c r="S109" s="48"/>
      <c r="T109" s="48"/>
      <c r="U109" s="62"/>
      <c r="V109" s="75"/>
      <c r="W109" s="48"/>
      <c r="X109" s="62"/>
    </row>
    <row r="110" spans="1:24" ht="15.75">
      <c r="K110" s="2" t="s">
        <v>3</v>
      </c>
      <c r="L110" s="63">
        <f>I117/L106</f>
        <v>4.6087987237721208E-2</v>
      </c>
      <c r="M110" s="20"/>
      <c r="N110" s="28" t="s">
        <v>137</v>
      </c>
      <c r="O110" s="60">
        <f>IF(O108*I105&gt;J122,J122,O108*I105)</f>
        <v>7343.396619435297</v>
      </c>
      <c r="P110" s="76"/>
      <c r="Q110" s="65" t="s">
        <v>138</v>
      </c>
      <c r="R110" s="60">
        <f>I106-I114-I115-I118-I121</f>
        <v>56401</v>
      </c>
      <c r="S110" s="77"/>
      <c r="T110" s="65" t="s">
        <v>139</v>
      </c>
      <c r="U110" s="67">
        <f>O118</f>
        <v>534355.60338056472</v>
      </c>
      <c r="V110" s="76"/>
      <c r="W110" s="65" t="s">
        <v>140</v>
      </c>
      <c r="X110" s="67">
        <f>I114</f>
        <v>66100</v>
      </c>
    </row>
    <row r="111" spans="1:24" ht="15.75">
      <c r="H111" s="24" t="s">
        <v>141</v>
      </c>
      <c r="K111" s="2" t="s">
        <v>0</v>
      </c>
      <c r="L111" s="63">
        <f>I122/L106</f>
        <v>1.1143228060377224E-2</v>
      </c>
      <c r="O111" s="48"/>
      <c r="P111" s="76"/>
      <c r="Q111" s="65" t="s">
        <v>142</v>
      </c>
      <c r="R111" s="60">
        <f>R107*R110</f>
        <v>41797.542244079377</v>
      </c>
      <c r="S111" s="48"/>
      <c r="T111" s="65" t="s">
        <v>143</v>
      </c>
      <c r="U111" s="67">
        <f>O116</f>
        <v>53675</v>
      </c>
      <c r="V111" s="66"/>
      <c r="W111" s="65" t="s">
        <v>144</v>
      </c>
      <c r="X111" s="67">
        <f>I115</f>
        <v>16834</v>
      </c>
    </row>
    <row r="112" spans="1:24" ht="15.75">
      <c r="K112" s="11"/>
      <c r="L112" s="11"/>
      <c r="M112" s="11"/>
      <c r="N112" s="28" t="s">
        <v>145</v>
      </c>
      <c r="O112" s="60">
        <f>J122-O110</f>
        <v>3909.2022243545298</v>
      </c>
      <c r="P112" s="76"/>
      <c r="Q112" s="65" t="s">
        <v>127</v>
      </c>
      <c r="R112" s="60">
        <f>R108*R110</f>
        <v>14603.457755920623</v>
      </c>
      <c r="S112" s="48"/>
      <c r="T112" s="65" t="s">
        <v>146</v>
      </c>
      <c r="U112" s="67">
        <f>O117</f>
        <v>27825</v>
      </c>
      <c r="V112" s="71"/>
      <c r="W112" s="48"/>
      <c r="X112" s="62"/>
    </row>
    <row r="113" spans="8:24" ht="15.75">
      <c r="H113" s="37" t="s">
        <v>103</v>
      </c>
      <c r="I113" s="60">
        <f>ONSV_AUX_2014!I56</f>
        <v>818845</v>
      </c>
      <c r="J113" s="61">
        <f>I113-(L108*I107)</f>
        <v>818815.80913916999</v>
      </c>
      <c r="K113" s="11"/>
      <c r="L113" s="11"/>
      <c r="M113" s="11"/>
      <c r="O113" s="76"/>
      <c r="P113" s="76"/>
      <c r="Q113" s="48"/>
      <c r="R113" s="78"/>
      <c r="S113" s="48"/>
      <c r="T113" s="65" t="s">
        <v>147</v>
      </c>
      <c r="U113" s="68">
        <f>I113-J113</f>
        <v>29.190860830014572</v>
      </c>
      <c r="V113" s="71"/>
      <c r="W113" s="65" t="s">
        <v>148</v>
      </c>
      <c r="X113" s="67">
        <f>I121</f>
        <v>13748</v>
      </c>
    </row>
    <row r="114" spans="8:24" ht="15.75">
      <c r="H114" s="37" t="s">
        <v>104</v>
      </c>
      <c r="I114" s="60">
        <f>ONSV_AUX_2014!I57</f>
        <v>66100</v>
      </c>
      <c r="J114" s="10">
        <f>I114</f>
        <v>66100</v>
      </c>
      <c r="K114" s="11"/>
      <c r="L114" s="11"/>
      <c r="M114" s="11"/>
      <c r="N114" s="26" t="s">
        <v>149</v>
      </c>
      <c r="O114" s="76"/>
      <c r="P114" s="76"/>
      <c r="Q114" s="65" t="s">
        <v>150</v>
      </c>
      <c r="R114" s="60">
        <f>J116-R111</f>
        <v>91408.708940501325</v>
      </c>
      <c r="S114" s="48"/>
      <c r="T114" s="65" t="s">
        <v>151</v>
      </c>
      <c r="U114" s="72">
        <f>O119</f>
        <v>202960.20575860527</v>
      </c>
      <c r="V114" s="48"/>
      <c r="W114" s="65" t="s">
        <v>152</v>
      </c>
      <c r="X114" s="67">
        <f>I118</f>
        <v>7083</v>
      </c>
    </row>
    <row r="115" spans="8:24" ht="15.75">
      <c r="H115" s="37" t="s">
        <v>105</v>
      </c>
      <c r="I115" s="60">
        <f>ONSV_AUX_2014!I58</f>
        <v>16834</v>
      </c>
      <c r="J115" s="10">
        <f>I115</f>
        <v>16834</v>
      </c>
      <c r="K115" s="11"/>
      <c r="L115" s="11"/>
      <c r="M115" s="11"/>
      <c r="O115" s="73"/>
      <c r="P115" s="76"/>
      <c r="Q115" s="65" t="s">
        <v>136</v>
      </c>
      <c r="R115" s="60">
        <f>J117-R112</f>
        <v>31936.883076538819</v>
      </c>
      <c r="S115" s="48"/>
      <c r="T115" s="48"/>
      <c r="U115" s="62"/>
      <c r="V115" s="77"/>
      <c r="W115" s="48"/>
      <c r="X115" s="62"/>
    </row>
    <row r="116" spans="8:24" ht="15.75">
      <c r="H116" s="37" t="s">
        <v>106</v>
      </c>
      <c r="I116" s="60">
        <f>ONSV_AUX_2014!I59</f>
        <v>133211</v>
      </c>
      <c r="J116" s="61">
        <f>I116-(L109*I107)</f>
        <v>133206.2511845807</v>
      </c>
      <c r="K116" s="11"/>
      <c r="L116" s="11"/>
      <c r="M116" s="11"/>
      <c r="N116" s="28" t="s">
        <v>143</v>
      </c>
      <c r="O116" s="60">
        <f>I104</f>
        <v>53675</v>
      </c>
      <c r="P116" s="76"/>
      <c r="Q116" s="48"/>
      <c r="R116" s="48"/>
      <c r="S116" s="77"/>
      <c r="T116" s="65" t="s">
        <v>142</v>
      </c>
      <c r="U116" s="68">
        <f>R111</f>
        <v>41797.542244079377</v>
      </c>
      <c r="V116" s="48"/>
      <c r="W116" s="65" t="s">
        <v>153</v>
      </c>
      <c r="X116" s="67">
        <f>I119</f>
        <v>382944</v>
      </c>
    </row>
    <row r="117" spans="8:24" ht="15.75">
      <c r="H117" s="37" t="s">
        <v>107</v>
      </c>
      <c r="I117" s="60">
        <f>ONSV_AUX_2014!I60</f>
        <v>46542</v>
      </c>
      <c r="J117" s="61">
        <f>I117-(L110*I107)</f>
        <v>46540.340832459442</v>
      </c>
      <c r="K117" s="11"/>
      <c r="L117" s="11"/>
      <c r="M117" s="11"/>
      <c r="N117" s="28" t="s">
        <v>146</v>
      </c>
      <c r="O117" s="60">
        <f>I108</f>
        <v>27825</v>
      </c>
      <c r="P117" s="76"/>
      <c r="Q117" s="48"/>
      <c r="R117" s="48"/>
      <c r="S117" s="48"/>
      <c r="T117" s="65" t="s">
        <v>154</v>
      </c>
      <c r="U117" s="68">
        <f>I116-J116</f>
        <v>4.7488154192978982</v>
      </c>
      <c r="V117" s="48"/>
      <c r="W117" s="65" t="s">
        <v>155</v>
      </c>
      <c r="X117" s="67">
        <f>I120</f>
        <v>86787</v>
      </c>
    </row>
    <row r="118" spans="8:24" ht="15.75">
      <c r="H118" s="37" t="s">
        <v>108</v>
      </c>
      <c r="I118" s="60">
        <f>ONSV_AUX_2014!I61</f>
        <v>7083</v>
      </c>
      <c r="J118" s="10">
        <f>I118</f>
        <v>7083</v>
      </c>
      <c r="K118" s="11"/>
      <c r="L118" s="11"/>
      <c r="M118" s="11"/>
      <c r="N118" s="28" t="s">
        <v>139</v>
      </c>
      <c r="O118" s="60">
        <f>IF(OR((O107*I105&gt;J113),((O116+O117+(O107*I105))&gt;J113)),(J113-O116-O117),(O107*I105))</f>
        <v>534355.60338056472</v>
      </c>
      <c r="P118" s="76"/>
      <c r="Q118" s="48"/>
      <c r="R118" s="78"/>
      <c r="S118" s="48"/>
      <c r="T118" s="65" t="s">
        <v>150</v>
      </c>
      <c r="U118" s="72">
        <f>R114</f>
        <v>91408.708940501325</v>
      </c>
      <c r="V118" s="48"/>
      <c r="W118" s="48"/>
      <c r="X118" s="48"/>
    </row>
    <row r="119" spans="8:24" ht="15.75">
      <c r="H119" s="37" t="s">
        <v>109</v>
      </c>
      <c r="I119" s="60">
        <f>ONSV_AUX_2014!I62</f>
        <v>382944</v>
      </c>
      <c r="J119" s="10">
        <f>I119</f>
        <v>382944</v>
      </c>
      <c r="K119" s="11"/>
      <c r="L119" s="11"/>
      <c r="M119" s="11"/>
      <c r="N119" s="28" t="s">
        <v>151</v>
      </c>
      <c r="O119" s="60">
        <f>IF((J113-O116-O118-O117)&lt;0,0,(J113-O116-O118-O117))</f>
        <v>202960.20575860527</v>
      </c>
      <c r="P119" s="48"/>
      <c r="Q119" s="48"/>
      <c r="R119" s="48"/>
      <c r="S119" s="48"/>
      <c r="T119" s="48"/>
      <c r="U119" s="62"/>
      <c r="V119" s="48"/>
      <c r="W119" s="48"/>
      <c r="X119" s="48"/>
    </row>
    <row r="120" spans="8:24" ht="15.75">
      <c r="H120" s="37" t="s">
        <v>110</v>
      </c>
      <c r="I120" s="60">
        <f>ONSV_AUX_2014!I63</f>
        <v>86787</v>
      </c>
      <c r="J120" s="10">
        <f>I120</f>
        <v>86787</v>
      </c>
      <c r="K120" s="11"/>
      <c r="L120" s="11"/>
      <c r="M120" s="11"/>
      <c r="O120" s="48"/>
      <c r="P120" s="76"/>
      <c r="Q120" s="48"/>
      <c r="R120" s="48"/>
      <c r="S120" s="48"/>
      <c r="T120" s="79" t="s">
        <v>156</v>
      </c>
      <c r="U120" s="80">
        <f>(SUM(U106:U118,X106:X117)/SUM(I113:I122))-1</f>
        <v>0</v>
      </c>
      <c r="V120" s="48"/>
      <c r="W120" s="79" t="s">
        <v>10</v>
      </c>
      <c r="X120" s="67">
        <f>SUM(U106:U118,X106:X117)</f>
        <v>1583347</v>
      </c>
    </row>
    <row r="121" spans="8:24" ht="15.75">
      <c r="H121" s="37" t="s">
        <v>111</v>
      </c>
      <c r="I121" s="60">
        <f>ONSV_AUX_2014!I64</f>
        <v>13748</v>
      </c>
      <c r="J121" s="10">
        <f>I121</f>
        <v>13748</v>
      </c>
      <c r="K121" s="11"/>
      <c r="L121" s="11"/>
      <c r="M121" s="11"/>
      <c r="O121" s="48"/>
      <c r="P121" s="76"/>
      <c r="Q121" s="48"/>
      <c r="R121" s="48"/>
      <c r="S121" s="48"/>
      <c r="T121" s="48"/>
      <c r="U121" s="48"/>
      <c r="V121" s="48"/>
      <c r="W121" s="48"/>
      <c r="X121" s="48"/>
    </row>
    <row r="122" spans="8:24" ht="15.75">
      <c r="H122" s="37" t="s">
        <v>112</v>
      </c>
      <c r="I122" s="60">
        <f>ONSV_AUX_2014!I65</f>
        <v>11253</v>
      </c>
      <c r="J122" s="61">
        <f>I122-(L111*I107)</f>
        <v>11252.598843789827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K104:L104"/>
    <mergeCell ref="A1:F1"/>
    <mergeCell ref="Q4:R4"/>
    <mergeCell ref="T4:X4"/>
    <mergeCell ref="K5:L5"/>
    <mergeCell ref="T27:X27"/>
    <mergeCell ref="T52:X52"/>
    <mergeCell ref="K29:L29"/>
    <mergeCell ref="A25:F25"/>
    <mergeCell ref="A75:F75"/>
    <mergeCell ref="A100:F100"/>
    <mergeCell ref="A50:F50"/>
    <mergeCell ref="K54:L54"/>
    <mergeCell ref="K79:L7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1:X122"/>
  <sheetViews>
    <sheetView showGridLines="0" topLeftCell="A88" zoomScale="90" zoomScaleNormal="90" workbookViewId="0">
      <selection activeCell="I21" sqref="I21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</cols>
  <sheetData>
    <row r="1" spans="1:24" s="31" customFormat="1" ht="15.75">
      <c r="A1" s="101" t="str">
        <f>"GOIÁS/"&amp;ONSV_AUX_2018!$A$1&amp;""</f>
        <v>GOIÁS/2018</v>
      </c>
      <c r="B1" s="102"/>
      <c r="C1" s="102"/>
      <c r="D1" s="102"/>
      <c r="E1" s="102"/>
      <c r="F1" s="102"/>
    </row>
    <row r="2" spans="1:24" s="4" customFormat="1" ht="15.75">
      <c r="A2" s="32"/>
      <c r="B2" s="32"/>
      <c r="C2" s="32"/>
      <c r="D2" s="32"/>
      <c r="E2" s="32"/>
      <c r="F2" s="32"/>
    </row>
    <row r="3" spans="1:24" ht="15.75">
      <c r="A3" s="12"/>
      <c r="H3" s="23" t="s">
        <v>118</v>
      </c>
    </row>
    <row r="4" spans="1:24" ht="15.75">
      <c r="B4" s="5"/>
      <c r="J4" s="9"/>
      <c r="M4" s="25"/>
      <c r="N4" s="25"/>
      <c r="O4" s="25"/>
      <c r="P4" s="25"/>
      <c r="Q4" s="103"/>
      <c r="R4" s="103"/>
      <c r="S4" s="22"/>
      <c r="T4" s="104"/>
      <c r="U4" s="104"/>
      <c r="V4" s="104"/>
      <c r="W4" s="104"/>
      <c r="X4" s="104"/>
    </row>
    <row r="5" spans="1:24" ht="15.75">
      <c r="H5" s="36" t="s">
        <v>81</v>
      </c>
      <c r="I5" s="60">
        <f>ONSV_AUX_2018!J27</f>
        <v>159592</v>
      </c>
      <c r="J5" s="9"/>
      <c r="K5" s="104" t="s">
        <v>119</v>
      </c>
      <c r="L5" s="104"/>
      <c r="M5" s="9"/>
      <c r="N5" s="26" t="s">
        <v>120</v>
      </c>
      <c r="O5" s="26"/>
      <c r="Q5" s="26" t="s">
        <v>121</v>
      </c>
      <c r="R5" s="26"/>
      <c r="S5" s="26"/>
      <c r="T5" s="25" t="s">
        <v>122</v>
      </c>
      <c r="U5" s="25"/>
      <c r="V5" s="25"/>
      <c r="W5" s="25"/>
      <c r="X5" s="25"/>
    </row>
    <row r="6" spans="1:24" ht="15.75">
      <c r="H6" s="36" t="s">
        <v>84</v>
      </c>
      <c r="I6" s="60">
        <f>ONSV_AUX_2018!J28</f>
        <v>1376415</v>
      </c>
      <c r="J6" s="9"/>
      <c r="K6" s="9"/>
      <c r="L6" s="9"/>
      <c r="M6" s="9"/>
      <c r="N6" s="9"/>
      <c r="O6" s="9"/>
      <c r="P6" s="20"/>
      <c r="Q6" s="11"/>
      <c r="R6" s="11"/>
      <c r="S6" s="11"/>
    </row>
    <row r="7" spans="1:24" ht="15.75">
      <c r="H7" s="36" t="s">
        <v>85</v>
      </c>
      <c r="I7" s="60">
        <f>ONSV_AUX_2018!J29</f>
        <v>323975</v>
      </c>
      <c r="J7" s="9"/>
      <c r="K7" s="2" t="s">
        <v>123</v>
      </c>
      <c r="L7" s="60">
        <f>I14+I17+I18+I23</f>
        <v>2287514</v>
      </c>
      <c r="N7" s="28" t="s">
        <v>124</v>
      </c>
      <c r="O7" s="60">
        <f>J14+J23</f>
        <v>1840970.5852357624</v>
      </c>
      <c r="P7" s="64"/>
      <c r="Q7" s="65" t="s">
        <v>125</v>
      </c>
      <c r="R7" s="60">
        <f>J17+J18</f>
        <v>446294.41476423747</v>
      </c>
      <c r="S7" s="66"/>
      <c r="T7" s="65" t="s">
        <v>126</v>
      </c>
      <c r="U7" s="67">
        <f>O11</f>
        <v>18607.910815996995</v>
      </c>
      <c r="V7" s="48"/>
      <c r="W7" s="65" t="s">
        <v>127</v>
      </c>
      <c r="X7" s="68">
        <f>R13</f>
        <v>32659.780769497902</v>
      </c>
    </row>
    <row r="8" spans="1:24" ht="15.75">
      <c r="H8" s="36" t="s">
        <v>101</v>
      </c>
      <c r="I8" s="60">
        <f>ONSV_AUX_2018!J30</f>
        <v>249</v>
      </c>
      <c r="J8" s="9"/>
      <c r="K8" s="27"/>
      <c r="L8" s="62"/>
      <c r="M8" s="20"/>
      <c r="N8" s="28" t="s">
        <v>128</v>
      </c>
      <c r="O8" s="69">
        <f>J14/O7</f>
        <v>0.98648088634895947</v>
      </c>
      <c r="P8" s="64"/>
      <c r="Q8" s="70" t="s">
        <v>129</v>
      </c>
      <c r="R8" s="63">
        <f>J17/R7</f>
        <v>0.78243637740482097</v>
      </c>
      <c r="S8" s="71"/>
      <c r="T8" s="65" t="s">
        <v>130</v>
      </c>
      <c r="U8" s="67">
        <f>I23-J23</f>
        <v>2.7094299750751816</v>
      </c>
      <c r="V8" s="48"/>
      <c r="W8" s="65" t="s">
        <v>131</v>
      </c>
      <c r="X8" s="68">
        <f>I18-J18</f>
        <v>10.570379897122621</v>
      </c>
    </row>
    <row r="9" spans="1:24" ht="15.75">
      <c r="H9" s="36" t="s">
        <v>16</v>
      </c>
      <c r="I9" s="60">
        <f>ONSV_AUX_2018!J31</f>
        <v>4510</v>
      </c>
      <c r="J9" s="9"/>
      <c r="K9" s="2" t="s">
        <v>132</v>
      </c>
      <c r="L9" s="63">
        <f>I14/L7</f>
        <v>0.79399732635516107</v>
      </c>
      <c r="M9" s="20"/>
      <c r="N9" s="28" t="s">
        <v>133</v>
      </c>
      <c r="O9" s="69">
        <f>J23/O7</f>
        <v>1.3519113651040561E-2</v>
      </c>
      <c r="P9" s="64"/>
      <c r="Q9" s="70" t="s">
        <v>134</v>
      </c>
      <c r="R9" s="63">
        <f>J18/R7</f>
        <v>0.21756362259517908</v>
      </c>
      <c r="S9" s="71"/>
      <c r="T9" s="65" t="s">
        <v>135</v>
      </c>
      <c r="U9" s="72">
        <f>O13</f>
        <v>6280.3797540279302</v>
      </c>
      <c r="V9" s="73"/>
      <c r="W9" s="65" t="s">
        <v>136</v>
      </c>
      <c r="X9" s="72">
        <f>R16</f>
        <v>64437.648850604979</v>
      </c>
    </row>
    <row r="10" spans="1:24" ht="15.75">
      <c r="H10" s="36" t="s">
        <v>94</v>
      </c>
      <c r="I10" s="60">
        <f>ONSV_AUX_2018!J32</f>
        <v>1747778</v>
      </c>
      <c r="J10" s="10"/>
      <c r="K10" s="2" t="s">
        <v>2</v>
      </c>
      <c r="L10" s="63">
        <f>I17/L7</f>
        <v>0.15267010387695987</v>
      </c>
      <c r="M10" s="20"/>
      <c r="N10" s="20"/>
      <c r="O10" s="74"/>
      <c r="P10" s="48"/>
      <c r="Q10" s="48"/>
      <c r="R10" s="48"/>
      <c r="S10" s="48"/>
      <c r="T10" s="48"/>
      <c r="U10" s="62"/>
      <c r="V10" s="75"/>
      <c r="W10" s="48"/>
      <c r="X10" s="62"/>
    </row>
    <row r="11" spans="1:24" ht="15.75">
      <c r="K11" s="2" t="s">
        <v>3</v>
      </c>
      <c r="L11" s="63">
        <f>I18/L7</f>
        <v>4.2451324888066258E-2</v>
      </c>
      <c r="M11" s="20"/>
      <c r="N11" s="28" t="s">
        <v>137</v>
      </c>
      <c r="O11" s="60">
        <f>IF(O9*I6&gt;J23,J23,O9*I6)</f>
        <v>18607.910815996995</v>
      </c>
      <c r="P11" s="76"/>
      <c r="Q11" s="65" t="s">
        <v>138</v>
      </c>
      <c r="R11" s="60">
        <f>I7-I15-I16-I19-I22</f>
        <v>150116</v>
      </c>
      <c r="S11" s="77"/>
      <c r="T11" s="65" t="s">
        <v>139</v>
      </c>
      <c r="U11" s="67">
        <f>O19</f>
        <v>1357807.089184003</v>
      </c>
      <c r="V11" s="76"/>
      <c r="W11" s="65" t="s">
        <v>140</v>
      </c>
      <c r="X11" s="67">
        <f>I15</f>
        <v>111515</v>
      </c>
    </row>
    <row r="12" spans="1:24" ht="15.75">
      <c r="H12" s="24" t="s">
        <v>141</v>
      </c>
      <c r="K12" s="2" t="s">
        <v>0</v>
      </c>
      <c r="L12" s="63">
        <f>I23/L7</f>
        <v>1.0881244879812757E-2</v>
      </c>
      <c r="O12" s="48"/>
      <c r="P12" s="76"/>
      <c r="Q12" s="65" t="s">
        <v>142</v>
      </c>
      <c r="R12" s="60">
        <f>R8*R11</f>
        <v>117456.2192305021</v>
      </c>
      <c r="S12" s="48"/>
      <c r="T12" s="65" t="s">
        <v>143</v>
      </c>
      <c r="U12" s="67">
        <f>O17</f>
        <v>159592</v>
      </c>
      <c r="V12" s="66"/>
      <c r="W12" s="65" t="s">
        <v>144</v>
      </c>
      <c r="X12" s="67">
        <f>I16</f>
        <v>29705</v>
      </c>
    </row>
    <row r="13" spans="1:24" ht="15.75">
      <c r="K13" s="11"/>
      <c r="L13" s="11"/>
      <c r="M13" s="11"/>
      <c r="N13" s="28" t="s">
        <v>145</v>
      </c>
      <c r="O13" s="60">
        <f>J23-O11</f>
        <v>6280.3797540279302</v>
      </c>
      <c r="P13" s="76"/>
      <c r="Q13" s="65" t="s">
        <v>127</v>
      </c>
      <c r="R13" s="60">
        <f>R9*R11</f>
        <v>32659.780769497902</v>
      </c>
      <c r="S13" s="48"/>
      <c r="T13" s="65" t="s">
        <v>146</v>
      </c>
      <c r="U13" s="67">
        <f>O18</f>
        <v>4510</v>
      </c>
      <c r="V13" s="71"/>
      <c r="W13" s="48"/>
      <c r="X13" s="62"/>
    </row>
    <row r="14" spans="1:24" ht="15.75">
      <c r="H14" s="37" t="s">
        <v>103</v>
      </c>
      <c r="I14" s="60">
        <f>ONSV_AUX_2018!J56</f>
        <v>1816280</v>
      </c>
      <c r="J14" s="61">
        <f>I14-(L9*I8)</f>
        <v>1816082.2946657375</v>
      </c>
      <c r="K14" s="11"/>
      <c r="L14" s="11"/>
      <c r="M14" s="11"/>
      <c r="O14" s="76"/>
      <c r="P14" s="76"/>
      <c r="Q14" s="48"/>
      <c r="R14" s="78"/>
      <c r="S14" s="48"/>
      <c r="T14" s="65" t="s">
        <v>147</v>
      </c>
      <c r="U14" s="68">
        <f>I14-J14</f>
        <v>197.70533426245674</v>
      </c>
      <c r="V14" s="71"/>
      <c r="W14" s="65" t="s">
        <v>148</v>
      </c>
      <c r="X14" s="67">
        <f>I22</f>
        <v>22868</v>
      </c>
    </row>
    <row r="15" spans="1:24" ht="15.75">
      <c r="H15" s="37" t="s">
        <v>104</v>
      </c>
      <c r="I15" s="60">
        <f>ONSV_AUX_2018!J57</f>
        <v>111515</v>
      </c>
      <c r="J15" s="10">
        <f>I15</f>
        <v>111515</v>
      </c>
      <c r="K15" s="11"/>
      <c r="L15" s="11"/>
      <c r="M15" s="11"/>
      <c r="N15" s="26" t="s">
        <v>149</v>
      </c>
      <c r="O15" s="76"/>
      <c r="P15" s="76"/>
      <c r="Q15" s="65" t="s">
        <v>150</v>
      </c>
      <c r="R15" s="60">
        <f>J17-R12</f>
        <v>231740.76591363252</v>
      </c>
      <c r="S15" s="48"/>
      <c r="T15" s="65" t="s">
        <v>151</v>
      </c>
      <c r="U15" s="72">
        <f>O20</f>
        <v>294173.20548173459</v>
      </c>
      <c r="V15" s="48"/>
      <c r="W15" s="65" t="s">
        <v>152</v>
      </c>
      <c r="X15" s="67">
        <f>I19</f>
        <v>9771</v>
      </c>
    </row>
    <row r="16" spans="1:24" ht="15.75">
      <c r="H16" s="37" t="s">
        <v>105</v>
      </c>
      <c r="I16" s="60">
        <f>ONSV_AUX_2018!J58</f>
        <v>29705</v>
      </c>
      <c r="J16" s="10">
        <f>I16</f>
        <v>29705</v>
      </c>
      <c r="K16" s="11"/>
      <c r="L16" s="11"/>
      <c r="M16" s="11"/>
      <c r="O16" s="73"/>
      <c r="P16" s="76"/>
      <c r="Q16" s="65" t="s">
        <v>136</v>
      </c>
      <c r="R16" s="60">
        <f>J18-R13</f>
        <v>64437.648850604979</v>
      </c>
      <c r="S16" s="48"/>
      <c r="T16" s="48"/>
      <c r="U16" s="62"/>
      <c r="V16" s="77"/>
      <c r="W16" s="48"/>
      <c r="X16" s="62"/>
    </row>
    <row r="17" spans="1:24" ht="15.75">
      <c r="H17" s="37" t="s">
        <v>106</v>
      </c>
      <c r="I17" s="60">
        <f>ONSV_AUX_2018!J59</f>
        <v>349235</v>
      </c>
      <c r="J17" s="61">
        <f>I17-(L10*I8)</f>
        <v>349196.98514413461</v>
      </c>
      <c r="K17" s="11"/>
      <c r="L17" s="11"/>
      <c r="M17" s="11"/>
      <c r="N17" s="28" t="s">
        <v>143</v>
      </c>
      <c r="O17" s="60">
        <f>I5</f>
        <v>159592</v>
      </c>
      <c r="P17" s="76"/>
      <c r="Q17" s="48"/>
      <c r="R17" s="48"/>
      <c r="S17" s="77"/>
      <c r="T17" s="65" t="s">
        <v>142</v>
      </c>
      <c r="U17" s="68">
        <f>R12</f>
        <v>117456.2192305021</v>
      </c>
      <c r="V17" s="48"/>
      <c r="W17" s="65" t="s">
        <v>153</v>
      </c>
      <c r="X17" s="67">
        <f>I20</f>
        <v>867393</v>
      </c>
    </row>
    <row r="18" spans="1:24" ht="15.75">
      <c r="H18" s="37" t="s">
        <v>107</v>
      </c>
      <c r="I18" s="60">
        <f>ONSV_AUX_2018!J60</f>
        <v>97108</v>
      </c>
      <c r="J18" s="61">
        <f>I18-(L11*I8)</f>
        <v>97097.429620102877</v>
      </c>
      <c r="K18" s="11"/>
      <c r="L18" s="11"/>
      <c r="M18" s="11"/>
      <c r="N18" s="28" t="s">
        <v>146</v>
      </c>
      <c r="O18" s="60">
        <f>I9</f>
        <v>4510</v>
      </c>
      <c r="P18" s="76"/>
      <c r="Q18" s="48"/>
      <c r="R18" s="48"/>
      <c r="S18" s="48"/>
      <c r="T18" s="65" t="s">
        <v>154</v>
      </c>
      <c r="U18" s="68">
        <f>I17-J17</f>
        <v>38.014855865389109</v>
      </c>
      <c r="V18" s="48"/>
      <c r="W18" s="65" t="s">
        <v>155</v>
      </c>
      <c r="X18" s="67">
        <f>I21</f>
        <v>274223</v>
      </c>
    </row>
    <row r="19" spans="1:24" ht="15.75">
      <c r="H19" s="37" t="s">
        <v>108</v>
      </c>
      <c r="I19" s="60">
        <f>ONSV_AUX_2018!J61</f>
        <v>9771</v>
      </c>
      <c r="J19" s="10">
        <f>I19</f>
        <v>9771</v>
      </c>
      <c r="K19" s="11"/>
      <c r="L19" s="11"/>
      <c r="M19" s="11"/>
      <c r="N19" s="28" t="s">
        <v>139</v>
      </c>
      <c r="O19" s="60">
        <f>IF(OR((O8*I6&gt;J14),((O17+O18+(O8*I6))&gt;J14)),(J14-O17-O18),(O8*I6))</f>
        <v>1357807.089184003</v>
      </c>
      <c r="P19" s="76"/>
      <c r="Q19" s="48"/>
      <c r="R19" s="78"/>
      <c r="S19" s="48"/>
      <c r="T19" s="65" t="s">
        <v>150</v>
      </c>
      <c r="U19" s="72">
        <f>R15</f>
        <v>231740.76591363252</v>
      </c>
      <c r="V19" s="48"/>
      <c r="W19" s="48"/>
      <c r="X19" s="48"/>
    </row>
    <row r="20" spans="1:24" ht="15.75">
      <c r="H20" s="37" t="s">
        <v>109</v>
      </c>
      <c r="I20" s="60">
        <f>ONSV_AUX_2018!J62</f>
        <v>867393</v>
      </c>
      <c r="J20" s="10">
        <f t="shared" ref="J20:J22" si="0">I20</f>
        <v>867393</v>
      </c>
      <c r="K20" s="11"/>
      <c r="L20" s="11"/>
      <c r="M20" s="11"/>
      <c r="N20" s="28" t="s">
        <v>151</v>
      </c>
      <c r="O20" s="60">
        <f>IF((J14-O17-O19-O18)&lt;0,0,(J14-O17-O19-O18))</f>
        <v>294173.20548173459</v>
      </c>
      <c r="P20" s="48"/>
      <c r="Q20" s="48"/>
      <c r="R20" s="48"/>
      <c r="S20" s="48"/>
      <c r="T20" s="48"/>
      <c r="U20" s="62"/>
      <c r="V20" s="48"/>
      <c r="W20" s="48"/>
      <c r="X20" s="48"/>
    </row>
    <row r="21" spans="1:24" ht="15.75">
      <c r="H21" s="37" t="s">
        <v>110</v>
      </c>
      <c r="I21" s="60">
        <f>ONSV_AUX_2018!J63</f>
        <v>274223</v>
      </c>
      <c r="J21" s="10">
        <f t="shared" si="0"/>
        <v>274223</v>
      </c>
      <c r="K21" s="11"/>
      <c r="L21" s="11"/>
      <c r="M21" s="11"/>
      <c r="O21" s="48"/>
      <c r="P21" s="76"/>
      <c r="Q21" s="48"/>
      <c r="R21" s="48"/>
      <c r="S21" s="48"/>
      <c r="T21" s="79" t="s">
        <v>156</v>
      </c>
      <c r="U21" s="80">
        <f>(SUM(U7:U19,X7:X18)/SUM(I14:I23))-1</f>
        <v>0</v>
      </c>
      <c r="V21" s="48"/>
      <c r="W21" s="79" t="s">
        <v>10</v>
      </c>
      <c r="X21" s="67">
        <f>SUM(U7:U19,X7:X18)</f>
        <v>3602989</v>
      </c>
    </row>
    <row r="22" spans="1:24" ht="15.75">
      <c r="H22" s="37" t="s">
        <v>111</v>
      </c>
      <c r="I22" s="60">
        <f>ONSV_AUX_2018!J64</f>
        <v>22868</v>
      </c>
      <c r="J22" s="10">
        <f t="shared" si="0"/>
        <v>22868</v>
      </c>
      <c r="K22" s="11"/>
      <c r="L22" s="11"/>
      <c r="M22" s="11"/>
      <c r="O22" s="48"/>
      <c r="P22" s="76"/>
      <c r="Q22" s="48"/>
      <c r="R22" s="48"/>
      <c r="S22" s="48"/>
      <c r="T22" s="48"/>
      <c r="U22" s="48"/>
      <c r="V22" s="48"/>
      <c r="W22" s="48"/>
      <c r="X22" s="48"/>
    </row>
    <row r="23" spans="1:24" ht="15.75">
      <c r="H23" s="37" t="s">
        <v>112</v>
      </c>
      <c r="I23" s="60">
        <f>ONSV_AUX_2018!J65</f>
        <v>24891</v>
      </c>
      <c r="J23" s="61">
        <f>I23-(L12*I8)</f>
        <v>24888.290570024925</v>
      </c>
      <c r="K23" s="12"/>
      <c r="L23" s="12"/>
      <c r="M23" s="12"/>
      <c r="N23" s="12"/>
      <c r="O23" s="12"/>
      <c r="P23" s="12"/>
      <c r="Q23" s="4"/>
      <c r="R23" s="4"/>
    </row>
    <row r="25" spans="1:24" s="34" customFormat="1" ht="15.75">
      <c r="A25" s="101" t="str">
        <f>"GOIÁS/"&amp;ONSV_AUX_2017!$A$1&amp;""</f>
        <v>GOIÁS/2017</v>
      </c>
      <c r="B25" s="102"/>
      <c r="C25" s="102"/>
      <c r="D25" s="102"/>
      <c r="E25" s="102"/>
      <c r="F25" s="102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 spans="1:24" ht="15.75">
      <c r="A26" s="3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>
      <c r="A27" s="12"/>
      <c r="H27" s="23" t="s">
        <v>118</v>
      </c>
      <c r="N27" s="26"/>
      <c r="O27" s="26"/>
      <c r="P27" s="9"/>
      <c r="Q27" s="26"/>
      <c r="R27" s="26"/>
      <c r="S27" s="26"/>
      <c r="T27" s="104"/>
      <c r="U27" s="104"/>
      <c r="V27" s="104"/>
      <c r="W27" s="104"/>
      <c r="X27" s="104"/>
    </row>
    <row r="28" spans="1:24" ht="15.75">
      <c r="B28" s="5"/>
      <c r="J28" s="9"/>
      <c r="M28" s="25"/>
    </row>
    <row r="29" spans="1:24" ht="15.75">
      <c r="H29" s="36" t="s">
        <v>81</v>
      </c>
      <c r="I29" s="60">
        <f>ONSV_AUX_2017!J27</f>
        <v>159461</v>
      </c>
      <c r="J29" s="9"/>
      <c r="K29" s="104" t="s">
        <v>119</v>
      </c>
      <c r="L29" s="104"/>
      <c r="M29" s="9"/>
      <c r="N29" s="26" t="s">
        <v>120</v>
      </c>
      <c r="O29" s="26"/>
      <c r="Q29" s="26" t="s">
        <v>121</v>
      </c>
      <c r="R29" s="26"/>
      <c r="S29" s="26"/>
      <c r="T29" s="25" t="s">
        <v>122</v>
      </c>
      <c r="U29" s="25"/>
      <c r="V29" s="25"/>
      <c r="W29" s="25"/>
      <c r="X29" s="25"/>
    </row>
    <row r="30" spans="1:24" ht="15.75">
      <c r="H30" s="36" t="s">
        <v>84</v>
      </c>
      <c r="I30" s="60">
        <f>ONSV_AUX_2017!J28</f>
        <v>1287156</v>
      </c>
      <c r="J30" s="9"/>
      <c r="K30" s="9"/>
      <c r="L30" s="9"/>
      <c r="M30" s="9"/>
      <c r="N30" s="9"/>
      <c r="O30" s="9"/>
      <c r="P30" s="20"/>
      <c r="Q30" s="11"/>
      <c r="R30" s="11"/>
      <c r="S30" s="11"/>
    </row>
    <row r="31" spans="1:24" ht="15.75">
      <c r="H31" s="36" t="s">
        <v>85</v>
      </c>
      <c r="I31" s="60">
        <f>ONSV_AUX_2017!J29</f>
        <v>311388</v>
      </c>
      <c r="J31" s="9"/>
      <c r="K31" s="2" t="s">
        <v>123</v>
      </c>
      <c r="L31" s="60">
        <f>I38+I41+I42+I47</f>
        <v>2205536</v>
      </c>
      <c r="N31" s="28" t="s">
        <v>124</v>
      </c>
      <c r="O31" s="60">
        <f>J38+J47</f>
        <v>1779626.9581308127</v>
      </c>
      <c r="P31" s="64"/>
      <c r="Q31" s="65" t="s">
        <v>125</v>
      </c>
      <c r="R31" s="60">
        <f>J41+J42</f>
        <v>425759.04186918738</v>
      </c>
      <c r="S31" s="66"/>
      <c r="T31" s="65" t="s">
        <v>126</v>
      </c>
      <c r="U31" s="67">
        <f>O35</f>
        <v>16297.123696163726</v>
      </c>
      <c r="V31" s="48"/>
      <c r="W31" s="65" t="s">
        <v>127</v>
      </c>
      <c r="X31" s="68">
        <f>R37</f>
        <v>30362.764387441639</v>
      </c>
    </row>
    <row r="32" spans="1:24" ht="15.75">
      <c r="H32" s="36" t="s">
        <v>101</v>
      </c>
      <c r="I32" s="60">
        <f>ONSV_AUX_2017!J30</f>
        <v>150</v>
      </c>
      <c r="J32" s="9"/>
      <c r="K32" s="27"/>
      <c r="L32" s="62"/>
      <c r="M32" s="20"/>
      <c r="N32" s="28" t="s">
        <v>128</v>
      </c>
      <c r="O32" s="69">
        <f>J38/O31</f>
        <v>0.98733865693345346</v>
      </c>
      <c r="P32" s="64"/>
      <c r="Q32" s="70" t="s">
        <v>129</v>
      </c>
      <c r="R32" s="63">
        <f>J41/R31</f>
        <v>0.78529925690719327</v>
      </c>
      <c r="S32" s="71"/>
      <c r="T32" s="65" t="s">
        <v>130</v>
      </c>
      <c r="U32" s="67">
        <f>I47-J47</f>
        <v>1.5325526311971771</v>
      </c>
      <c r="V32" s="48"/>
      <c r="W32" s="65" t="s">
        <v>131</v>
      </c>
      <c r="X32" s="68">
        <f>I42-J42</f>
        <v>6.2173322040471248</v>
      </c>
    </row>
    <row r="33" spans="8:24" ht="15.75">
      <c r="H33" s="36" t="s">
        <v>16</v>
      </c>
      <c r="I33" s="60">
        <f>ONSV_AUX_2017!J31</f>
        <v>4370</v>
      </c>
      <c r="J33" s="9"/>
      <c r="K33" s="2" t="s">
        <v>132</v>
      </c>
      <c r="L33" s="63">
        <f>I38/L31</f>
        <v>0.79672877704104583</v>
      </c>
      <c r="M33" s="20"/>
      <c r="N33" s="28" t="s">
        <v>133</v>
      </c>
      <c r="O33" s="69">
        <f>J47/O31</f>
        <v>1.2661343066546499E-2</v>
      </c>
      <c r="P33" s="64"/>
      <c r="Q33" s="70" t="s">
        <v>134</v>
      </c>
      <c r="R33" s="63">
        <f>J42/R31</f>
        <v>0.21470074309280676</v>
      </c>
      <c r="S33" s="71"/>
      <c r="T33" s="65" t="s">
        <v>135</v>
      </c>
      <c r="U33" s="72">
        <f>O37</f>
        <v>6235.3437512050768</v>
      </c>
      <c r="V33" s="73"/>
      <c r="W33" s="65" t="s">
        <v>136</v>
      </c>
      <c r="X33" s="72">
        <f>R40</f>
        <v>61048.018280354314</v>
      </c>
    </row>
    <row r="34" spans="8:24" ht="15.75">
      <c r="H34" s="36" t="s">
        <v>94</v>
      </c>
      <c r="I34" s="60">
        <f>ONSV_AUX_2017!J32</f>
        <v>1732958</v>
      </c>
      <c r="J34" s="10"/>
      <c r="K34" s="2" t="s">
        <v>2</v>
      </c>
      <c r="L34" s="63">
        <f>I41/L31</f>
        <v>0.1516053240572813</v>
      </c>
      <c r="M34" s="20"/>
      <c r="N34" s="20"/>
      <c r="O34" s="74"/>
      <c r="P34" s="48"/>
      <c r="Q34" s="48"/>
      <c r="R34" s="48"/>
      <c r="S34" s="48"/>
      <c r="T34" s="48"/>
      <c r="U34" s="62"/>
      <c r="V34" s="75"/>
      <c r="W34" s="48"/>
      <c r="X34" s="62"/>
    </row>
    <row r="35" spans="8:24" ht="15.75">
      <c r="K35" s="2" t="s">
        <v>3</v>
      </c>
      <c r="L35" s="63">
        <f>I42/L31</f>
        <v>4.1448881360358659E-2</v>
      </c>
      <c r="M35" s="20"/>
      <c r="N35" s="28" t="s">
        <v>137</v>
      </c>
      <c r="O35" s="60">
        <f>IF(O33*I30&gt;J47,J47,O33*I30)</f>
        <v>16297.123696163726</v>
      </c>
      <c r="P35" s="76"/>
      <c r="Q35" s="65" t="s">
        <v>138</v>
      </c>
      <c r="R35" s="60">
        <f>I31-I39-I40-I43-I46</f>
        <v>141419</v>
      </c>
      <c r="S35" s="77"/>
      <c r="T35" s="65" t="s">
        <v>139</v>
      </c>
      <c r="U35" s="67">
        <f>O43</f>
        <v>1270858.8763038362</v>
      </c>
      <c r="V35" s="76"/>
      <c r="W35" s="65" t="s">
        <v>140</v>
      </c>
      <c r="X35" s="67">
        <f>I39</f>
        <v>109317</v>
      </c>
    </row>
    <row r="36" spans="8:24" ht="15.75">
      <c r="H36" s="24" t="s">
        <v>141</v>
      </c>
      <c r="K36" s="2" t="s">
        <v>0</v>
      </c>
      <c r="L36" s="63">
        <f>I47/L31</f>
        <v>1.0217017541314221E-2</v>
      </c>
      <c r="O36" s="48"/>
      <c r="P36" s="76"/>
      <c r="Q36" s="65" t="s">
        <v>142</v>
      </c>
      <c r="R36" s="60">
        <f>R32*R35</f>
        <v>111056.23561255836</v>
      </c>
      <c r="S36" s="48"/>
      <c r="T36" s="65" t="s">
        <v>143</v>
      </c>
      <c r="U36" s="67">
        <f>O41</f>
        <v>159461</v>
      </c>
      <c r="V36" s="66"/>
      <c r="W36" s="65" t="s">
        <v>144</v>
      </c>
      <c r="X36" s="67">
        <f>I40</f>
        <v>28804</v>
      </c>
    </row>
    <row r="37" spans="8:24" ht="15.75">
      <c r="K37" s="11"/>
      <c r="L37" s="11"/>
      <c r="M37" s="11"/>
      <c r="N37" s="28" t="s">
        <v>145</v>
      </c>
      <c r="O37" s="60">
        <f>J47-O35</f>
        <v>6235.3437512050768</v>
      </c>
      <c r="P37" s="76"/>
      <c r="Q37" s="65" t="s">
        <v>127</v>
      </c>
      <c r="R37" s="60">
        <f>R33*R35</f>
        <v>30362.764387441639</v>
      </c>
      <c r="S37" s="48"/>
      <c r="T37" s="65" t="s">
        <v>146</v>
      </c>
      <c r="U37" s="67">
        <f>O42</f>
        <v>4370</v>
      </c>
      <c r="V37" s="71"/>
      <c r="W37" s="48"/>
      <c r="X37" s="62"/>
    </row>
    <row r="38" spans="8:24" ht="15.75">
      <c r="H38" s="37" t="s">
        <v>103</v>
      </c>
      <c r="I38" s="60">
        <f>ONSV_AUX_2017!J56</f>
        <v>1757214</v>
      </c>
      <c r="J38" s="61">
        <f>I38-(L33*I32)</f>
        <v>1757094.4906834438</v>
      </c>
      <c r="K38" s="11"/>
      <c r="L38" s="11"/>
      <c r="M38" s="11"/>
      <c r="O38" s="76"/>
      <c r="P38" s="76"/>
      <c r="Q38" s="48"/>
      <c r="R38" s="78"/>
      <c r="S38" s="48"/>
      <c r="T38" s="65" t="s">
        <v>147</v>
      </c>
      <c r="U38" s="68">
        <f>I38-J38</f>
        <v>119.50931655615568</v>
      </c>
      <c r="V38" s="71"/>
      <c r="W38" s="65" t="s">
        <v>148</v>
      </c>
      <c r="X38" s="67">
        <f>I46</f>
        <v>22421</v>
      </c>
    </row>
    <row r="39" spans="8:24" ht="15.75">
      <c r="H39" s="37" t="s">
        <v>104</v>
      </c>
      <c r="I39" s="60">
        <f>ONSV_AUX_2017!J57</f>
        <v>109317</v>
      </c>
      <c r="J39" s="10">
        <f>I39</f>
        <v>109317</v>
      </c>
      <c r="K39" s="11"/>
      <c r="L39" s="11"/>
      <c r="M39" s="11"/>
      <c r="N39" s="26" t="s">
        <v>149</v>
      </c>
      <c r="O39" s="76"/>
      <c r="P39" s="76"/>
      <c r="Q39" s="65" t="s">
        <v>150</v>
      </c>
      <c r="R39" s="60">
        <f>J41-R36</f>
        <v>223292.02358883305</v>
      </c>
      <c r="S39" s="48"/>
      <c r="T39" s="65" t="s">
        <v>151</v>
      </c>
      <c r="U39" s="72">
        <f>O44</f>
        <v>322404.61437960761</v>
      </c>
      <c r="V39" s="48"/>
      <c r="W39" s="65" t="s">
        <v>152</v>
      </c>
      <c r="X39" s="67">
        <f>I43</f>
        <v>9427</v>
      </c>
    </row>
    <row r="40" spans="8:24" ht="15.75">
      <c r="H40" s="37" t="s">
        <v>105</v>
      </c>
      <c r="I40" s="60">
        <f>ONSV_AUX_2017!J58</f>
        <v>28804</v>
      </c>
      <c r="J40" s="10">
        <f>I40</f>
        <v>28804</v>
      </c>
      <c r="K40" s="11"/>
      <c r="L40" s="11"/>
      <c r="M40" s="11"/>
      <c r="O40" s="73"/>
      <c r="P40" s="76"/>
      <c r="Q40" s="65" t="s">
        <v>136</v>
      </c>
      <c r="R40" s="60">
        <f>J42-R37</f>
        <v>61048.018280354314</v>
      </c>
      <c r="S40" s="48"/>
      <c r="T40" s="48"/>
      <c r="U40" s="62"/>
      <c r="V40" s="77"/>
      <c r="W40" s="48"/>
      <c r="X40" s="62"/>
    </row>
    <row r="41" spans="8:24" ht="15.75">
      <c r="H41" s="37" t="s">
        <v>106</v>
      </c>
      <c r="I41" s="60">
        <f>ONSV_AUX_2017!J59</f>
        <v>334371</v>
      </c>
      <c r="J41" s="61">
        <f>I41-(L34*I32)</f>
        <v>334348.25920139143</v>
      </c>
      <c r="K41" s="11"/>
      <c r="L41" s="11"/>
      <c r="M41" s="11"/>
      <c r="N41" s="28" t="s">
        <v>143</v>
      </c>
      <c r="O41" s="60">
        <f>I29</f>
        <v>159461</v>
      </c>
      <c r="P41" s="76"/>
      <c r="Q41" s="48"/>
      <c r="R41" s="48"/>
      <c r="S41" s="77"/>
      <c r="T41" s="65" t="s">
        <v>142</v>
      </c>
      <c r="U41" s="68">
        <f>R36</f>
        <v>111056.23561255836</v>
      </c>
      <c r="V41" s="48"/>
      <c r="W41" s="65" t="s">
        <v>153</v>
      </c>
      <c r="X41" s="67">
        <f>I44</f>
        <v>845402</v>
      </c>
    </row>
    <row r="42" spans="8:24" ht="15.75">
      <c r="H42" s="37" t="s">
        <v>107</v>
      </c>
      <c r="I42" s="60">
        <f>ONSV_AUX_2017!J60</f>
        <v>91417</v>
      </c>
      <c r="J42" s="61">
        <f>I42-(L35*I32)</f>
        <v>91410.782667795953</v>
      </c>
      <c r="K42" s="11"/>
      <c r="L42" s="11"/>
      <c r="M42" s="11"/>
      <c r="N42" s="28" t="s">
        <v>146</v>
      </c>
      <c r="O42" s="60">
        <f>I33</f>
        <v>4370</v>
      </c>
      <c r="P42" s="76"/>
      <c r="Q42" s="48"/>
      <c r="R42" s="48"/>
      <c r="S42" s="48"/>
      <c r="T42" s="65" t="s">
        <v>154</v>
      </c>
      <c r="U42" s="68">
        <f>I41-J41</f>
        <v>22.740798608574551</v>
      </c>
      <c r="V42" s="48"/>
      <c r="W42" s="65" t="s">
        <v>155</v>
      </c>
      <c r="X42" s="67">
        <f>I45</f>
        <v>265029</v>
      </c>
    </row>
    <row r="43" spans="8:24" ht="15.75">
      <c r="H43" s="37" t="s">
        <v>108</v>
      </c>
      <c r="I43" s="60">
        <f>ONSV_AUX_2017!J61</f>
        <v>9427</v>
      </c>
      <c r="J43" s="10">
        <f>I43</f>
        <v>9427</v>
      </c>
      <c r="K43" s="11"/>
      <c r="L43" s="11"/>
      <c r="M43" s="11"/>
      <c r="N43" s="28" t="s">
        <v>139</v>
      </c>
      <c r="O43" s="60">
        <f>IF(OR((O32*I30&gt;J38),((O41+O42+(O32*I30))&gt;J38)),(J38-O41-O42),(O32*I30))</f>
        <v>1270858.8763038362</v>
      </c>
      <c r="P43" s="76"/>
      <c r="Q43" s="48"/>
      <c r="R43" s="78"/>
      <c r="S43" s="48"/>
      <c r="T43" s="65" t="s">
        <v>150</v>
      </c>
      <c r="U43" s="72">
        <f>R39</f>
        <v>223292.02358883305</v>
      </c>
      <c r="V43" s="48"/>
      <c r="W43" s="48"/>
      <c r="X43" s="48"/>
    </row>
    <row r="44" spans="8:24" ht="15.75">
      <c r="H44" s="37" t="s">
        <v>109</v>
      </c>
      <c r="I44" s="60">
        <f>ONSV_AUX_2017!J62</f>
        <v>845402</v>
      </c>
      <c r="J44" s="10">
        <f>I44</f>
        <v>845402</v>
      </c>
      <c r="K44" s="11"/>
      <c r="L44" s="11"/>
      <c r="M44" s="11"/>
      <c r="N44" s="28" t="s">
        <v>151</v>
      </c>
      <c r="O44" s="60">
        <f>IF((J38-O41-O43-O42)&lt;0,0,(J38-O41-O43-O42))</f>
        <v>322404.61437960761</v>
      </c>
      <c r="P44" s="48"/>
      <c r="Q44" s="48"/>
      <c r="R44" s="48"/>
      <c r="S44" s="48"/>
      <c r="T44" s="48"/>
      <c r="U44" s="62"/>
      <c r="V44" s="48"/>
      <c r="W44" s="48"/>
      <c r="X44" s="48"/>
    </row>
    <row r="45" spans="8:24" ht="15.75">
      <c r="H45" s="37" t="s">
        <v>110</v>
      </c>
      <c r="I45" s="60">
        <f>ONSV_AUX_2017!J63</f>
        <v>265029</v>
      </c>
      <c r="J45" s="10">
        <f>I45</f>
        <v>265029</v>
      </c>
      <c r="K45" s="11"/>
      <c r="L45" s="11"/>
      <c r="M45" s="11"/>
      <c r="O45" s="48"/>
      <c r="P45" s="76"/>
      <c r="Q45" s="48"/>
      <c r="R45" s="48"/>
      <c r="S45" s="48"/>
      <c r="T45" s="79" t="s">
        <v>156</v>
      </c>
      <c r="U45" s="80">
        <f>(SUM(U31:U43,X31:X42)/SUM(I38:I47))-1</f>
        <v>0</v>
      </c>
      <c r="V45" s="48"/>
      <c r="W45" s="79" t="s">
        <v>10</v>
      </c>
      <c r="X45" s="67">
        <f>SUM(U31:U43,X31:X42)</f>
        <v>3485936</v>
      </c>
    </row>
    <row r="46" spans="8:24" ht="15.75">
      <c r="H46" s="37" t="s">
        <v>111</v>
      </c>
      <c r="I46" s="60">
        <f>ONSV_AUX_2017!J64</f>
        <v>22421</v>
      </c>
      <c r="J46" s="10">
        <f>I46</f>
        <v>22421</v>
      </c>
      <c r="K46" s="11"/>
      <c r="L46" s="11"/>
      <c r="M46" s="11"/>
      <c r="O46" s="48"/>
      <c r="P46" s="76"/>
      <c r="Q46" s="48"/>
      <c r="R46" s="48"/>
      <c r="S46" s="48"/>
      <c r="T46" s="48"/>
      <c r="U46" s="48"/>
      <c r="V46" s="48"/>
      <c r="W46" s="48"/>
      <c r="X46" s="48"/>
    </row>
    <row r="47" spans="8:24" ht="15.75">
      <c r="H47" s="37" t="s">
        <v>112</v>
      </c>
      <c r="I47" s="60">
        <f>ONSV_AUX_2017!J65</f>
        <v>22534</v>
      </c>
      <c r="J47" s="61">
        <f>I47-(L36*I32)</f>
        <v>22532.467447368803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39"/>
      <c r="I48" s="40"/>
      <c r="J48" s="40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4" customFormat="1" ht="15.75">
      <c r="A50" s="101" t="str">
        <f>"GOIÁS/"&amp;ONSV_AUX_2016!$A$1&amp;""</f>
        <v>GOIÁS/2016</v>
      </c>
      <c r="B50" s="102"/>
      <c r="C50" s="102"/>
      <c r="D50" s="102"/>
      <c r="E50" s="102"/>
      <c r="F50" s="102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</row>
    <row r="52" spans="1:24" ht="15.75">
      <c r="H52" s="23" t="s">
        <v>118</v>
      </c>
      <c r="N52" s="26"/>
      <c r="O52" s="26"/>
      <c r="P52" s="9"/>
      <c r="Q52" s="26"/>
      <c r="R52" s="26"/>
      <c r="S52" s="26"/>
      <c r="T52" s="104"/>
      <c r="U52" s="104"/>
      <c r="V52" s="104"/>
      <c r="W52" s="104"/>
      <c r="X52" s="104"/>
    </row>
    <row r="53" spans="1:24" ht="15.75">
      <c r="J53" s="9"/>
      <c r="M53" s="25"/>
      <c r="N53" s="9"/>
      <c r="O53" s="9"/>
      <c r="P53" s="9"/>
      <c r="Q53" s="11"/>
      <c r="R53" s="11"/>
      <c r="S53" s="11"/>
    </row>
    <row r="54" spans="1:24" ht="15.75">
      <c r="H54" s="36" t="s">
        <v>81</v>
      </c>
      <c r="I54" s="60">
        <f>ONSV_AUX_2016!J27</f>
        <v>159272</v>
      </c>
      <c r="J54" s="9"/>
      <c r="K54" s="104" t="s">
        <v>119</v>
      </c>
      <c r="L54" s="104"/>
      <c r="M54" s="9"/>
      <c r="N54" s="26" t="s">
        <v>120</v>
      </c>
      <c r="O54" s="26"/>
      <c r="Q54" s="26" t="s">
        <v>121</v>
      </c>
      <c r="R54" s="26"/>
      <c r="S54" s="26"/>
      <c r="T54" s="25" t="s">
        <v>122</v>
      </c>
      <c r="U54" s="25"/>
      <c r="V54" s="25"/>
      <c r="W54" s="25"/>
      <c r="X54" s="25"/>
    </row>
    <row r="55" spans="1:24" ht="15.75">
      <c r="H55" s="36" t="s">
        <v>84</v>
      </c>
      <c r="I55" s="60">
        <f>ONSV_AUX_2016!J28</f>
        <v>1211647</v>
      </c>
      <c r="J55" s="9"/>
      <c r="K55" s="9"/>
      <c r="L55" s="9"/>
      <c r="M55" s="9"/>
      <c r="N55" s="9"/>
      <c r="O55" s="9"/>
      <c r="P55" s="20"/>
      <c r="Q55" s="11"/>
      <c r="R55" s="11"/>
      <c r="S55" s="11"/>
    </row>
    <row r="56" spans="1:24" ht="15.75">
      <c r="H56" s="36" t="s">
        <v>85</v>
      </c>
      <c r="I56" s="60">
        <f>ONSV_AUX_2016!J29</f>
        <v>303696</v>
      </c>
      <c r="J56" s="9"/>
      <c r="K56" s="2" t="s">
        <v>123</v>
      </c>
      <c r="L56" s="60">
        <f>I63+I66+I67+I72</f>
        <v>2140784</v>
      </c>
      <c r="N56" s="28" t="s">
        <v>124</v>
      </c>
      <c r="O56" s="60">
        <f>J63+J72</f>
        <v>1728394.53310703</v>
      </c>
      <c r="P56" s="64"/>
      <c r="Q56" s="65" t="s">
        <v>125</v>
      </c>
      <c r="R56" s="60">
        <f>J66+J67</f>
        <v>412272.46689297003</v>
      </c>
      <c r="S56" s="66"/>
      <c r="T56" s="65" t="s">
        <v>126</v>
      </c>
      <c r="U56" s="67">
        <f>O60</f>
        <v>14433.306622142227</v>
      </c>
      <c r="V56" s="48"/>
      <c r="W56" s="65" t="s">
        <v>127</v>
      </c>
      <c r="X56" s="68">
        <f>R62</f>
        <v>28982.653483549402</v>
      </c>
    </row>
    <row r="57" spans="1:24" ht="15.75">
      <c r="H57" s="36" t="s">
        <v>101</v>
      </c>
      <c r="I57" s="60">
        <f>ONSV_AUX_2016!J30</f>
        <v>117</v>
      </c>
      <c r="J57" s="9"/>
      <c r="K57" s="27"/>
      <c r="L57" s="62"/>
      <c r="M57" s="20"/>
      <c r="N57" s="28" t="s">
        <v>128</v>
      </c>
      <c r="O57" s="69">
        <f>J63/O56</f>
        <v>0.98808786171043039</v>
      </c>
      <c r="P57" s="64"/>
      <c r="Q57" s="70" t="s">
        <v>129</v>
      </c>
      <c r="R57" s="63">
        <f>J66/R56</f>
        <v>0.7872348682375484</v>
      </c>
      <c r="S57" s="71"/>
      <c r="T57" s="65" t="s">
        <v>130</v>
      </c>
      <c r="U57" s="67">
        <f>I72-J72</f>
        <v>1.1253026928461622</v>
      </c>
      <c r="V57" s="48"/>
      <c r="W57" s="65" t="s">
        <v>131</v>
      </c>
      <c r="X57" s="68">
        <f>I67-J67</f>
        <v>4.7942594862397527</v>
      </c>
    </row>
    <row r="58" spans="1:24" ht="15.75">
      <c r="H58" s="36" t="s">
        <v>16</v>
      </c>
      <c r="I58" s="60">
        <f>ONSV_AUX_2016!J31</f>
        <v>4210</v>
      </c>
      <c r="J58" s="9"/>
      <c r="K58" s="2" t="s">
        <v>132</v>
      </c>
      <c r="L58" s="63">
        <f>I63/L56</f>
        <v>0.79779136989065691</v>
      </c>
      <c r="M58" s="20"/>
      <c r="N58" s="28" t="s">
        <v>133</v>
      </c>
      <c r="O58" s="69">
        <f>J72/O56</f>
        <v>1.1912138289569675E-2</v>
      </c>
      <c r="P58" s="64"/>
      <c r="Q58" s="70" t="s">
        <v>134</v>
      </c>
      <c r="R58" s="63">
        <f>J67/R56</f>
        <v>0.21276513176245165</v>
      </c>
      <c r="S58" s="71"/>
      <c r="T58" s="65" t="s">
        <v>135</v>
      </c>
      <c r="U58" s="72">
        <f>O62</f>
        <v>6155.568075164927</v>
      </c>
      <c r="V58" s="73"/>
      <c r="W58" s="65" t="s">
        <v>136</v>
      </c>
      <c r="X58" s="72">
        <f>R65</f>
        <v>58734.552256964358</v>
      </c>
    </row>
    <row r="59" spans="1:24" ht="15.75">
      <c r="H59" s="36" t="s">
        <v>94</v>
      </c>
      <c r="I59" s="60">
        <f>ONSV_AUX_2016!J32</f>
        <v>1718468</v>
      </c>
      <c r="J59" s="10"/>
      <c r="K59" s="2" t="s">
        <v>2</v>
      </c>
      <c r="L59" s="63">
        <f>I66/L56</f>
        <v>0.15161408157011638</v>
      </c>
      <c r="M59" s="20"/>
      <c r="N59" s="20"/>
      <c r="O59" s="74"/>
      <c r="P59" s="48"/>
      <c r="Q59" s="48"/>
      <c r="R59" s="48"/>
      <c r="S59" s="48"/>
      <c r="T59" s="48"/>
      <c r="U59" s="62"/>
      <c r="V59" s="75"/>
      <c r="W59" s="48"/>
      <c r="X59" s="62"/>
    </row>
    <row r="60" spans="1:24" ht="15.75">
      <c r="K60" s="2" t="s">
        <v>3</v>
      </c>
      <c r="L60" s="63">
        <f>I67/L56</f>
        <v>4.0976576805506766E-2</v>
      </c>
      <c r="M60" s="20"/>
      <c r="N60" s="28" t="s">
        <v>137</v>
      </c>
      <c r="O60" s="60">
        <f>IF(O58*I55&gt;J72,J72,O58*I55)</f>
        <v>14433.306622142227</v>
      </c>
      <c r="P60" s="76"/>
      <c r="Q60" s="65" t="s">
        <v>138</v>
      </c>
      <c r="R60" s="60">
        <f>I56-I64-I65-I68-I71</f>
        <v>136219</v>
      </c>
      <c r="S60" s="77"/>
      <c r="T60" s="65" t="s">
        <v>139</v>
      </c>
      <c r="U60" s="67">
        <f>O68</f>
        <v>1197213.6933778578</v>
      </c>
      <c r="V60" s="76"/>
      <c r="W60" s="65" t="s">
        <v>140</v>
      </c>
      <c r="X60" s="67">
        <f>I64</f>
        <v>108356</v>
      </c>
    </row>
    <row r="61" spans="1:24" ht="15.75">
      <c r="H61" s="24" t="s">
        <v>141</v>
      </c>
      <c r="K61" s="2" t="s">
        <v>0</v>
      </c>
      <c r="L61" s="63">
        <f>I72/L56</f>
        <v>9.6179717337199835E-3</v>
      </c>
      <c r="O61" s="48"/>
      <c r="P61" s="76"/>
      <c r="Q61" s="65" t="s">
        <v>142</v>
      </c>
      <c r="R61" s="60">
        <f>R57*R60</f>
        <v>107236.34651645061</v>
      </c>
      <c r="S61" s="48"/>
      <c r="T61" s="65" t="s">
        <v>143</v>
      </c>
      <c r="U61" s="67">
        <f>O66</f>
        <v>159272</v>
      </c>
      <c r="V61" s="66"/>
      <c r="W61" s="65" t="s">
        <v>144</v>
      </c>
      <c r="X61" s="67">
        <f>I65</f>
        <v>28169</v>
      </c>
    </row>
    <row r="62" spans="1:24" ht="15.75">
      <c r="K62" s="11"/>
      <c r="L62" s="11"/>
      <c r="M62" s="11"/>
      <c r="N62" s="28" t="s">
        <v>145</v>
      </c>
      <c r="O62" s="60">
        <f>J72-O60</f>
        <v>6155.568075164927</v>
      </c>
      <c r="P62" s="76"/>
      <c r="Q62" s="65" t="s">
        <v>127</v>
      </c>
      <c r="R62" s="60">
        <f>R58*R60</f>
        <v>28982.653483549402</v>
      </c>
      <c r="S62" s="48"/>
      <c r="T62" s="65" t="s">
        <v>146</v>
      </c>
      <c r="U62" s="67">
        <f>O67</f>
        <v>4210</v>
      </c>
      <c r="V62" s="71"/>
      <c r="W62" s="48"/>
      <c r="X62" s="62"/>
    </row>
    <row r="63" spans="1:24" ht="15.75">
      <c r="H63" s="37" t="s">
        <v>103</v>
      </c>
      <c r="I63" s="60">
        <f>ONSV_AUX_2016!J56</f>
        <v>1707899</v>
      </c>
      <c r="J63" s="61">
        <f>I63-(L58*I57)</f>
        <v>1707805.6584097228</v>
      </c>
      <c r="K63" s="11"/>
      <c r="L63" s="11"/>
      <c r="M63" s="11"/>
      <c r="O63" s="76"/>
      <c r="P63" s="76"/>
      <c r="Q63" s="48"/>
      <c r="R63" s="78"/>
      <c r="S63" s="48"/>
      <c r="T63" s="65" t="s">
        <v>147</v>
      </c>
      <c r="U63" s="68">
        <f>I63-J63</f>
        <v>93.341590277152136</v>
      </c>
      <c r="V63" s="71"/>
      <c r="W63" s="65" t="s">
        <v>148</v>
      </c>
      <c r="X63" s="67">
        <f>I71</f>
        <v>21848</v>
      </c>
    </row>
    <row r="64" spans="1:24" ht="15.75">
      <c r="H64" s="37" t="s">
        <v>104</v>
      </c>
      <c r="I64" s="60">
        <f>ONSV_AUX_2016!J57</f>
        <v>108356</v>
      </c>
      <c r="J64" s="10">
        <f>I64</f>
        <v>108356</v>
      </c>
      <c r="K64" s="11"/>
      <c r="L64" s="11"/>
      <c r="M64" s="11"/>
      <c r="N64" s="26" t="s">
        <v>149</v>
      </c>
      <c r="O64" s="76"/>
      <c r="P64" s="76"/>
      <c r="Q64" s="65" t="s">
        <v>150</v>
      </c>
      <c r="R64" s="60">
        <f>J66-R61</f>
        <v>217318.91463600568</v>
      </c>
      <c r="S64" s="48"/>
      <c r="T64" s="65" t="s">
        <v>151</v>
      </c>
      <c r="U64" s="72">
        <f>O69</f>
        <v>347109.96503186505</v>
      </c>
      <c r="V64" s="48"/>
      <c r="W64" s="65" t="s">
        <v>152</v>
      </c>
      <c r="X64" s="67">
        <f>I68</f>
        <v>9104</v>
      </c>
    </row>
    <row r="65" spans="1:24" ht="15.75">
      <c r="H65" s="37" t="s">
        <v>105</v>
      </c>
      <c r="I65" s="60">
        <f>ONSV_AUX_2016!J58</f>
        <v>28169</v>
      </c>
      <c r="J65" s="10">
        <f>I65</f>
        <v>28169</v>
      </c>
      <c r="K65" s="11"/>
      <c r="L65" s="11"/>
      <c r="M65" s="11"/>
      <c r="O65" s="73"/>
      <c r="P65" s="76"/>
      <c r="Q65" s="65" t="s">
        <v>136</v>
      </c>
      <c r="R65" s="60">
        <f>J67-R62</f>
        <v>58734.552256964358</v>
      </c>
      <c r="S65" s="48"/>
      <c r="T65" s="48"/>
      <c r="U65" s="62"/>
      <c r="V65" s="77"/>
      <c r="W65" s="48"/>
      <c r="X65" s="62"/>
    </row>
    <row r="66" spans="1:24" ht="15.75">
      <c r="H66" s="37" t="s">
        <v>106</v>
      </c>
      <c r="I66" s="60">
        <f>ONSV_AUX_2016!J59</f>
        <v>324573</v>
      </c>
      <c r="J66" s="61">
        <f>I66-(L59*I57)</f>
        <v>324555.26115245628</v>
      </c>
      <c r="K66" s="11"/>
      <c r="L66" s="11"/>
      <c r="M66" s="11"/>
      <c r="N66" s="28" t="s">
        <v>143</v>
      </c>
      <c r="O66" s="60">
        <f>I54</f>
        <v>159272</v>
      </c>
      <c r="P66" s="76"/>
      <c r="Q66" s="48"/>
      <c r="R66" s="48"/>
      <c r="S66" s="77"/>
      <c r="T66" s="65" t="s">
        <v>142</v>
      </c>
      <c r="U66" s="68">
        <f>R61</f>
        <v>107236.34651645061</v>
      </c>
      <c r="V66" s="48"/>
      <c r="W66" s="65" t="s">
        <v>153</v>
      </c>
      <c r="X66" s="67">
        <f>I69</f>
        <v>823305</v>
      </c>
    </row>
    <row r="67" spans="1:24" ht="15.75">
      <c r="H67" s="37" t="s">
        <v>107</v>
      </c>
      <c r="I67" s="60">
        <f>ONSV_AUX_2016!J60</f>
        <v>87722</v>
      </c>
      <c r="J67" s="61">
        <f>I67-(L60*I57)</f>
        <v>87717.20574051376</v>
      </c>
      <c r="K67" s="11"/>
      <c r="L67" s="11"/>
      <c r="M67" s="11"/>
      <c r="N67" s="28" t="s">
        <v>146</v>
      </c>
      <c r="O67" s="60">
        <f>I58</f>
        <v>4210</v>
      </c>
      <c r="P67" s="76"/>
      <c r="Q67" s="48"/>
      <c r="R67" s="48"/>
      <c r="S67" s="48"/>
      <c r="T67" s="65" t="s">
        <v>154</v>
      </c>
      <c r="U67" s="68">
        <f>I66-J66</f>
        <v>17.738847543718293</v>
      </c>
      <c r="V67" s="48"/>
      <c r="W67" s="65" t="s">
        <v>155</v>
      </c>
      <c r="X67" s="67">
        <f>I70</f>
        <v>256008</v>
      </c>
    </row>
    <row r="68" spans="1:24" ht="15.75">
      <c r="H68" s="37" t="s">
        <v>108</v>
      </c>
      <c r="I68" s="60">
        <f>ONSV_AUX_2016!J61</f>
        <v>9104</v>
      </c>
      <c r="J68" s="10">
        <f>I68</f>
        <v>9104</v>
      </c>
      <c r="K68" s="11"/>
      <c r="L68" s="11"/>
      <c r="M68" s="11"/>
      <c r="N68" s="28" t="s">
        <v>139</v>
      </c>
      <c r="O68" s="60">
        <f>IF(OR((O57*I55&gt;J63),((O66+O67+(O57*I55))&gt;J63)),(J63-O66-O67),(O57*I55))</f>
        <v>1197213.6933778578</v>
      </c>
      <c r="P68" s="76"/>
      <c r="Q68" s="48"/>
      <c r="R68" s="78"/>
      <c r="S68" s="48"/>
      <c r="T68" s="65" t="s">
        <v>150</v>
      </c>
      <c r="U68" s="72">
        <f>R64</f>
        <v>217318.91463600568</v>
      </c>
      <c r="V68" s="48"/>
      <c r="W68" s="48"/>
      <c r="X68" s="48"/>
    </row>
    <row r="69" spans="1:24" ht="15.75">
      <c r="H69" s="37" t="s">
        <v>109</v>
      </c>
      <c r="I69" s="60">
        <f>ONSV_AUX_2016!J62</f>
        <v>823305</v>
      </c>
      <c r="J69" s="10">
        <f>I69</f>
        <v>823305</v>
      </c>
      <c r="K69" s="11"/>
      <c r="L69" s="11"/>
      <c r="M69" s="11"/>
      <c r="N69" s="28" t="s">
        <v>151</v>
      </c>
      <c r="O69" s="60">
        <f>IF((J63-O66-O68-O67)&lt;0,0,(J63-O66-O68-O67))</f>
        <v>347109.96503186505</v>
      </c>
      <c r="P69" s="48"/>
      <c r="Q69" s="48"/>
      <c r="R69" s="48"/>
      <c r="S69" s="48"/>
      <c r="T69" s="48"/>
      <c r="U69" s="62"/>
      <c r="V69" s="48"/>
      <c r="W69" s="48"/>
      <c r="X69" s="48"/>
    </row>
    <row r="70" spans="1:24" ht="15.75">
      <c r="H70" s="37" t="s">
        <v>110</v>
      </c>
      <c r="I70" s="60">
        <f>ONSV_AUX_2016!J63</f>
        <v>256008</v>
      </c>
      <c r="J70" s="10">
        <f>I70</f>
        <v>256008</v>
      </c>
      <c r="K70" s="11"/>
      <c r="L70" s="11"/>
      <c r="M70" s="11"/>
      <c r="O70" s="48"/>
      <c r="P70" s="76"/>
      <c r="Q70" s="48"/>
      <c r="R70" s="48"/>
      <c r="S70" s="48"/>
      <c r="T70" s="79" t="s">
        <v>156</v>
      </c>
      <c r="U70" s="80">
        <f>(SUM(U56:U68,X56:X67)/SUM(I63:I72))-1</f>
        <v>0</v>
      </c>
      <c r="V70" s="48"/>
      <c r="W70" s="79" t="s">
        <v>10</v>
      </c>
      <c r="X70" s="67">
        <f>SUM(U56:U68,X56:X67)</f>
        <v>3387574</v>
      </c>
    </row>
    <row r="71" spans="1:24" ht="15.75">
      <c r="H71" s="37" t="s">
        <v>111</v>
      </c>
      <c r="I71" s="60">
        <f>ONSV_AUX_2016!J64</f>
        <v>21848</v>
      </c>
      <c r="J71" s="10">
        <f>I71</f>
        <v>21848</v>
      </c>
      <c r="K71" s="11"/>
      <c r="L71" s="11"/>
      <c r="M71" s="11"/>
      <c r="O71" s="48"/>
      <c r="P71" s="76"/>
      <c r="Q71" s="48"/>
      <c r="R71" s="48"/>
      <c r="S71" s="48"/>
      <c r="T71" s="48"/>
      <c r="U71" s="48"/>
      <c r="V71" s="48"/>
      <c r="W71" s="48"/>
      <c r="X71" s="48"/>
    </row>
    <row r="72" spans="1:24" ht="15.75">
      <c r="H72" s="37" t="s">
        <v>112</v>
      </c>
      <c r="I72" s="60">
        <f>ONSV_AUX_2016!J65</f>
        <v>20590</v>
      </c>
      <c r="J72" s="61">
        <f>I72-(L61*I57)</f>
        <v>20588.874697307154</v>
      </c>
      <c r="K72" s="12"/>
      <c r="L72" s="12"/>
      <c r="M72" s="12"/>
      <c r="N72" s="12"/>
      <c r="O72" s="12"/>
      <c r="P72" s="12"/>
      <c r="Q72" s="4"/>
      <c r="R72" s="4"/>
    </row>
    <row r="75" spans="1:24" s="34" customFormat="1" ht="15.75">
      <c r="A75" s="101" t="str">
        <f>"GOIÁS/"&amp;ONSV_AUX_2015!$A$1&amp;""</f>
        <v>GOIÁS/2015</v>
      </c>
      <c r="B75" s="102"/>
      <c r="C75" s="102"/>
      <c r="D75" s="102"/>
      <c r="E75" s="102"/>
      <c r="F75" s="102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 spans="1:24"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>
      <c r="H77" s="23" t="s">
        <v>118</v>
      </c>
      <c r="P77" s="9"/>
    </row>
    <row r="78" spans="1:24" ht="15.75">
      <c r="J78" s="9"/>
      <c r="M78" s="25"/>
      <c r="P78" s="9"/>
    </row>
    <row r="79" spans="1:24" ht="15.75">
      <c r="H79" s="36" t="s">
        <v>81</v>
      </c>
      <c r="I79" s="60">
        <f>ONSV_AUX_2015!J27</f>
        <v>158979</v>
      </c>
      <c r="J79" s="9"/>
      <c r="K79" s="104" t="s">
        <v>119</v>
      </c>
      <c r="L79" s="104"/>
      <c r="M79" s="9"/>
      <c r="N79" s="26" t="s">
        <v>120</v>
      </c>
      <c r="O79" s="26"/>
      <c r="Q79" s="26" t="s">
        <v>121</v>
      </c>
      <c r="R79" s="26"/>
      <c r="S79" s="26"/>
      <c r="T79" s="25" t="s">
        <v>122</v>
      </c>
      <c r="U79" s="25"/>
      <c r="V79" s="25"/>
      <c r="W79" s="25"/>
      <c r="X79" s="25"/>
    </row>
    <row r="80" spans="1:24" ht="15.75">
      <c r="H80" s="36" t="s">
        <v>84</v>
      </c>
      <c r="I80" s="60">
        <f>ONSV_AUX_2015!J28</f>
        <v>1117673</v>
      </c>
      <c r="J80" s="9"/>
      <c r="K80" s="9"/>
      <c r="L80" s="9"/>
      <c r="M80" s="9"/>
      <c r="N80" s="9"/>
      <c r="O80" s="9"/>
      <c r="P80" s="20"/>
      <c r="Q80" s="11"/>
      <c r="R80" s="11"/>
      <c r="S80" s="11"/>
    </row>
    <row r="81" spans="8:24" ht="15.75">
      <c r="H81" s="36" t="s">
        <v>85</v>
      </c>
      <c r="I81" s="60">
        <f>ONSV_AUX_2015!J29</f>
        <v>294243</v>
      </c>
      <c r="J81" s="9"/>
      <c r="K81" s="2" t="s">
        <v>123</v>
      </c>
      <c r="L81" s="60">
        <f>I88+I91+I92+I97</f>
        <v>2060998</v>
      </c>
      <c r="N81" s="28" t="s">
        <v>124</v>
      </c>
      <c r="O81" s="60">
        <f>J88+J97</f>
        <v>1665395.1501360021</v>
      </c>
      <c r="P81" s="64"/>
      <c r="Q81" s="65" t="s">
        <v>125</v>
      </c>
      <c r="R81" s="60">
        <f>J91+J92</f>
        <v>395497.84986399789</v>
      </c>
      <c r="S81" s="66"/>
      <c r="T81" s="65" t="s">
        <v>126</v>
      </c>
      <c r="U81" s="67">
        <f>O85</f>
        <v>12282.135628167254</v>
      </c>
      <c r="V81" s="48"/>
      <c r="W81" s="65" t="s">
        <v>127</v>
      </c>
      <c r="X81" s="68">
        <f>R87</f>
        <v>27444.618335954368</v>
      </c>
    </row>
    <row r="82" spans="8:24" ht="15.75">
      <c r="H82" s="36" t="s">
        <v>101</v>
      </c>
      <c r="I82" s="60">
        <f>ONSV_AUX_2015!J30</f>
        <v>105</v>
      </c>
      <c r="J82" s="9"/>
      <c r="K82" s="27"/>
      <c r="L82" s="62"/>
      <c r="M82" s="20"/>
      <c r="N82" s="28" t="s">
        <v>128</v>
      </c>
      <c r="O82" s="69">
        <f>J88/O81</f>
        <v>0.98901097581478015</v>
      </c>
      <c r="P82" s="64"/>
      <c r="Q82" s="70" t="s">
        <v>129</v>
      </c>
      <c r="R82" s="63">
        <f>J91/R81</f>
        <v>0.7908742459255963</v>
      </c>
      <c r="S82" s="71"/>
      <c r="T82" s="65" t="s">
        <v>130</v>
      </c>
      <c r="U82" s="67">
        <f>I97-J97</f>
        <v>0.93241720758669544</v>
      </c>
      <c r="V82" s="48"/>
      <c r="W82" s="65" t="s">
        <v>131</v>
      </c>
      <c r="X82" s="68">
        <f>I92-J92</f>
        <v>4.213912386141601</v>
      </c>
    </row>
    <row r="83" spans="8:24" ht="15.75">
      <c r="H83" s="36" t="s">
        <v>16</v>
      </c>
      <c r="I83" s="60">
        <f>ONSV_AUX_2015!J31</f>
        <v>4038</v>
      </c>
      <c r="J83" s="9"/>
      <c r="K83" s="2" t="s">
        <v>132</v>
      </c>
      <c r="L83" s="63">
        <f>I88/L81</f>
        <v>0.79921377895563217</v>
      </c>
      <c r="M83" s="20"/>
      <c r="N83" s="28" t="s">
        <v>133</v>
      </c>
      <c r="O83" s="69">
        <f>J97/O81</f>
        <v>1.0989024185219876E-2</v>
      </c>
      <c r="P83" s="64"/>
      <c r="Q83" s="70" t="s">
        <v>134</v>
      </c>
      <c r="R83" s="63">
        <f>J92/R81</f>
        <v>0.2091257540744037</v>
      </c>
      <c r="S83" s="71"/>
      <c r="T83" s="65" t="s">
        <v>135</v>
      </c>
      <c r="U83" s="72">
        <f>O87</f>
        <v>6018.9319546251591</v>
      </c>
      <c r="V83" s="73"/>
      <c r="W83" s="65" t="s">
        <v>136</v>
      </c>
      <c r="X83" s="72">
        <f>R90</f>
        <v>55264.167751659494</v>
      </c>
    </row>
    <row r="84" spans="8:24" ht="15.75">
      <c r="H84" s="36" t="s">
        <v>94</v>
      </c>
      <c r="I84" s="60">
        <f>ONSV_AUX_2015!J32</f>
        <v>1699897</v>
      </c>
      <c r="J84" s="10"/>
      <c r="K84" s="2" t="s">
        <v>2</v>
      </c>
      <c r="L84" s="63">
        <f>I91/L81</f>
        <v>0.15177355824702402</v>
      </c>
      <c r="M84" s="20"/>
      <c r="N84" s="20"/>
      <c r="O84" s="74"/>
      <c r="P84" s="48"/>
      <c r="Q84" s="48"/>
      <c r="R84" s="48"/>
      <c r="S84" s="48"/>
      <c r="T84" s="48"/>
      <c r="U84" s="62"/>
      <c r="V84" s="75"/>
      <c r="W84" s="48"/>
      <c r="X84" s="62"/>
    </row>
    <row r="85" spans="8:24" ht="15.75">
      <c r="K85" s="2" t="s">
        <v>3</v>
      </c>
      <c r="L85" s="63">
        <f>I92/L81</f>
        <v>4.0132498915573911E-2</v>
      </c>
      <c r="M85" s="20"/>
      <c r="N85" s="28" t="s">
        <v>137</v>
      </c>
      <c r="O85" s="60">
        <f>IF(O83*I80&gt;J97,J97,O83*I80)</f>
        <v>12282.135628167254</v>
      </c>
      <c r="P85" s="76"/>
      <c r="Q85" s="65" t="s">
        <v>138</v>
      </c>
      <c r="R85" s="60">
        <f>I81-I89-I90-I93-I96</f>
        <v>131235</v>
      </c>
      <c r="S85" s="77"/>
      <c r="T85" s="65" t="s">
        <v>139</v>
      </c>
      <c r="U85" s="67">
        <f>O93</f>
        <v>1105390.8643718327</v>
      </c>
      <c r="V85" s="76"/>
      <c r="W85" s="65" t="s">
        <v>140</v>
      </c>
      <c r="X85" s="67">
        <f>I89</f>
        <v>106210</v>
      </c>
    </row>
    <row r="86" spans="8:24" ht="15.75">
      <c r="H86" s="24" t="s">
        <v>141</v>
      </c>
      <c r="K86" s="2" t="s">
        <v>0</v>
      </c>
      <c r="L86" s="63">
        <f>I97/L81</f>
        <v>8.8801638817699001E-3</v>
      </c>
      <c r="O86" s="48"/>
      <c r="P86" s="76"/>
      <c r="Q86" s="65" t="s">
        <v>142</v>
      </c>
      <c r="R86" s="60">
        <f>R82*R85</f>
        <v>103790.38166404564</v>
      </c>
      <c r="S86" s="48"/>
      <c r="T86" s="65" t="s">
        <v>143</v>
      </c>
      <c r="U86" s="67">
        <f>O91</f>
        <v>158979</v>
      </c>
      <c r="V86" s="66"/>
      <c r="W86" s="65" t="s">
        <v>144</v>
      </c>
      <c r="X86" s="67">
        <f>I90</f>
        <v>27080</v>
      </c>
    </row>
    <row r="87" spans="8:24" ht="15.75">
      <c r="K87" s="11"/>
      <c r="L87" s="11"/>
      <c r="M87" s="11"/>
      <c r="N87" s="28" t="s">
        <v>145</v>
      </c>
      <c r="O87" s="60">
        <f>J97-O85</f>
        <v>6018.9319546251591</v>
      </c>
      <c r="P87" s="76"/>
      <c r="Q87" s="65" t="s">
        <v>127</v>
      </c>
      <c r="R87" s="60">
        <f>R83*R85</f>
        <v>27444.618335954368</v>
      </c>
      <c r="S87" s="48"/>
      <c r="T87" s="65" t="s">
        <v>146</v>
      </c>
      <c r="U87" s="67">
        <f>O92</f>
        <v>4038</v>
      </c>
      <c r="V87" s="71"/>
      <c r="W87" s="48"/>
      <c r="X87" s="62"/>
    </row>
    <row r="88" spans="8:24" ht="15.75">
      <c r="H88" s="37" t="s">
        <v>103</v>
      </c>
      <c r="I88" s="60">
        <f>ONSV_AUX_2015!J56</f>
        <v>1647178</v>
      </c>
      <c r="J88" s="61">
        <f>I88-(L83*I82)</f>
        <v>1647094.0825532097</v>
      </c>
      <c r="K88" s="11"/>
      <c r="L88" s="11"/>
      <c r="M88" s="11"/>
      <c r="O88" s="76"/>
      <c r="P88" s="76"/>
      <c r="Q88" s="48"/>
      <c r="R88" s="78"/>
      <c r="S88" s="48"/>
      <c r="T88" s="65" t="s">
        <v>147</v>
      </c>
      <c r="U88" s="68">
        <f>I88-J88</f>
        <v>83.917446790263057</v>
      </c>
      <c r="V88" s="71"/>
      <c r="W88" s="65" t="s">
        <v>148</v>
      </c>
      <c r="X88" s="67">
        <f>I96</f>
        <v>20973</v>
      </c>
    </row>
    <row r="89" spans="8:24" ht="15.75">
      <c r="H89" s="37" t="s">
        <v>104</v>
      </c>
      <c r="I89" s="60">
        <f>ONSV_AUX_2015!J57</f>
        <v>106210</v>
      </c>
      <c r="J89" s="10">
        <f>I89</f>
        <v>106210</v>
      </c>
      <c r="K89" s="11"/>
      <c r="L89" s="11"/>
      <c r="M89" s="11"/>
      <c r="N89" s="26" t="s">
        <v>149</v>
      </c>
      <c r="O89" s="76"/>
      <c r="P89" s="76"/>
      <c r="Q89" s="65" t="s">
        <v>150</v>
      </c>
      <c r="R89" s="60">
        <f>J91-R86</f>
        <v>208998.68211233843</v>
      </c>
      <c r="S89" s="48"/>
      <c r="T89" s="65" t="s">
        <v>151</v>
      </c>
      <c r="U89" s="72">
        <f>O94</f>
        <v>378686.21818137704</v>
      </c>
      <c r="V89" s="48"/>
      <c r="W89" s="65" t="s">
        <v>152</v>
      </c>
      <c r="X89" s="67">
        <f>I93</f>
        <v>8745</v>
      </c>
    </row>
    <row r="90" spans="8:24" ht="15.75">
      <c r="H90" s="37" t="s">
        <v>105</v>
      </c>
      <c r="I90" s="60">
        <f>ONSV_AUX_2015!J58</f>
        <v>27080</v>
      </c>
      <c r="J90" s="10">
        <f>I90</f>
        <v>27080</v>
      </c>
      <c r="K90" s="11"/>
      <c r="L90" s="11"/>
      <c r="M90" s="11"/>
      <c r="O90" s="73"/>
      <c r="P90" s="76"/>
      <c r="Q90" s="65" t="s">
        <v>136</v>
      </c>
      <c r="R90" s="60">
        <f>J92-R87</f>
        <v>55264.167751659494</v>
      </c>
      <c r="S90" s="48"/>
      <c r="T90" s="48"/>
      <c r="U90" s="62"/>
      <c r="V90" s="77"/>
      <c r="W90" s="48"/>
      <c r="X90" s="62"/>
    </row>
    <row r="91" spans="8:24" ht="15.75">
      <c r="H91" s="37" t="s">
        <v>106</v>
      </c>
      <c r="I91" s="60">
        <f>ONSV_AUX_2015!J59</f>
        <v>312805</v>
      </c>
      <c r="J91" s="61">
        <f>I91-(L84*I82)</f>
        <v>312789.06377638405</v>
      </c>
      <c r="K91" s="11"/>
      <c r="L91" s="11"/>
      <c r="M91" s="11"/>
      <c r="N91" s="28" t="s">
        <v>143</v>
      </c>
      <c r="O91" s="60">
        <f>I79</f>
        <v>158979</v>
      </c>
      <c r="P91" s="76"/>
      <c r="Q91" s="48"/>
      <c r="R91" s="48"/>
      <c r="S91" s="77"/>
      <c r="T91" s="65" t="s">
        <v>142</v>
      </c>
      <c r="U91" s="68">
        <f>R86</f>
        <v>103790.38166404564</v>
      </c>
      <c r="V91" s="48"/>
      <c r="W91" s="65" t="s">
        <v>153</v>
      </c>
      <c r="X91" s="67">
        <f>I94</f>
        <v>795605</v>
      </c>
    </row>
    <row r="92" spans="8:24" ht="15.75">
      <c r="H92" s="37" t="s">
        <v>107</v>
      </c>
      <c r="I92" s="60">
        <f>ONSV_AUX_2015!J60</f>
        <v>82713</v>
      </c>
      <c r="J92" s="61">
        <f>I92-(L85*I82)</f>
        <v>82708.786087613858</v>
      </c>
      <c r="K92" s="11"/>
      <c r="L92" s="11"/>
      <c r="M92" s="11"/>
      <c r="N92" s="28" t="s">
        <v>146</v>
      </c>
      <c r="O92" s="60">
        <f>I83</f>
        <v>4038</v>
      </c>
      <c r="P92" s="76"/>
      <c r="Q92" s="48"/>
      <c r="R92" s="48"/>
      <c r="S92" s="48"/>
      <c r="T92" s="65" t="s">
        <v>154</v>
      </c>
      <c r="U92" s="68">
        <f>I91-J91</f>
        <v>15.936223615950439</v>
      </c>
      <c r="V92" s="48"/>
      <c r="W92" s="65" t="s">
        <v>155</v>
      </c>
      <c r="X92" s="67">
        <f>I95</f>
        <v>243901</v>
      </c>
    </row>
    <row r="93" spans="8:24" ht="15.75">
      <c r="H93" s="37" t="s">
        <v>108</v>
      </c>
      <c r="I93" s="60">
        <f>ONSV_AUX_2015!J61</f>
        <v>8745</v>
      </c>
      <c r="J93" s="10">
        <f>I93</f>
        <v>8745</v>
      </c>
      <c r="K93" s="11"/>
      <c r="L93" s="11"/>
      <c r="M93" s="11"/>
      <c r="N93" s="28" t="s">
        <v>139</v>
      </c>
      <c r="O93" s="60">
        <f>IF(OR((O82*I80&gt;J88),((O91+O92+(O82*I80))&gt;J88)),(J88-O91-O92),(O82*I80))</f>
        <v>1105390.8643718327</v>
      </c>
      <c r="P93" s="76"/>
      <c r="Q93" s="48"/>
      <c r="R93" s="78"/>
      <c r="S93" s="48"/>
      <c r="T93" s="65" t="s">
        <v>150</v>
      </c>
      <c r="U93" s="72">
        <f>R89</f>
        <v>208998.68211233843</v>
      </c>
      <c r="V93" s="48"/>
      <c r="W93" s="48"/>
      <c r="X93" s="48"/>
    </row>
    <row r="94" spans="8:24" ht="15.75">
      <c r="H94" s="37" t="s">
        <v>109</v>
      </c>
      <c r="I94" s="60">
        <f>ONSV_AUX_2015!J62</f>
        <v>795605</v>
      </c>
      <c r="J94" s="10">
        <f>I94</f>
        <v>795605</v>
      </c>
      <c r="K94" s="11"/>
      <c r="L94" s="11"/>
      <c r="M94" s="11"/>
      <c r="N94" s="28" t="s">
        <v>151</v>
      </c>
      <c r="O94" s="60">
        <f>IF((J88-O91-O93-O92)&lt;0,0,(J88-O91-O93-O92))</f>
        <v>378686.21818137704</v>
      </c>
      <c r="P94" s="48"/>
      <c r="Q94" s="48"/>
      <c r="R94" s="48"/>
      <c r="S94" s="48"/>
      <c r="T94" s="48"/>
      <c r="U94" s="62"/>
      <c r="V94" s="48"/>
      <c r="W94" s="48"/>
      <c r="X94" s="48"/>
    </row>
    <row r="95" spans="8:24" ht="15.75">
      <c r="H95" s="37" t="s">
        <v>110</v>
      </c>
      <c r="I95" s="60">
        <f>ONSV_AUX_2015!J63</f>
        <v>243901</v>
      </c>
      <c r="J95" s="10">
        <f>I95</f>
        <v>243901</v>
      </c>
      <c r="K95" s="11"/>
      <c r="L95" s="11"/>
      <c r="M95" s="11"/>
      <c r="O95" s="48"/>
      <c r="P95" s="76"/>
      <c r="Q95" s="48"/>
      <c r="R95" s="48"/>
      <c r="S95" s="48"/>
      <c r="T95" s="79" t="s">
        <v>156</v>
      </c>
      <c r="U95" s="80">
        <f>(SUM(U81:U93,X81:X92)/SUM(I88:I97))-1</f>
        <v>0</v>
      </c>
      <c r="V95" s="48"/>
      <c r="W95" s="79" t="s">
        <v>10</v>
      </c>
      <c r="X95" s="67">
        <f>SUM(U81:U93,X81:X92)</f>
        <v>3263512</v>
      </c>
    </row>
    <row r="96" spans="8:24" ht="15.75">
      <c r="H96" s="37" t="s">
        <v>111</v>
      </c>
      <c r="I96" s="60">
        <f>ONSV_AUX_2015!J64</f>
        <v>20973</v>
      </c>
      <c r="J96" s="10">
        <f>I96</f>
        <v>20973</v>
      </c>
      <c r="K96" s="11"/>
      <c r="L96" s="11"/>
      <c r="M96" s="11"/>
      <c r="O96" s="48"/>
      <c r="P96" s="76"/>
      <c r="Q96" s="48"/>
      <c r="R96" s="48"/>
      <c r="S96" s="48"/>
      <c r="T96" s="48"/>
      <c r="U96" s="48"/>
      <c r="V96" s="48"/>
      <c r="W96" s="48"/>
      <c r="X96" s="48"/>
    </row>
    <row r="97" spans="1:24" ht="15.75">
      <c r="H97" s="37" t="s">
        <v>112</v>
      </c>
      <c r="I97" s="60">
        <f>ONSV_AUX_2015!J65</f>
        <v>18302</v>
      </c>
      <c r="J97" s="61">
        <f>I97-(L86*I82)</f>
        <v>18301.067582792413</v>
      </c>
      <c r="K97" s="12"/>
      <c r="L97" s="12"/>
      <c r="M97" s="12"/>
      <c r="N97" s="12"/>
      <c r="O97" s="12"/>
      <c r="P97" s="12"/>
      <c r="Q97" s="4"/>
      <c r="R97" s="4"/>
    </row>
    <row r="98" spans="1:24" ht="15.75">
      <c r="I98" s="40"/>
      <c r="J98" s="21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4" ht="15.75">
      <c r="I99" s="40"/>
      <c r="J99" s="21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4" s="34" customFormat="1" ht="15.75">
      <c r="A100" s="101" t="str">
        <f>"GOIÁS/"&amp;ONSV_AUX_2014!$A$1&amp;""</f>
        <v>GOIÁS/2014</v>
      </c>
      <c r="B100" s="102"/>
      <c r="C100" s="102"/>
      <c r="D100" s="102"/>
      <c r="E100" s="102"/>
      <c r="F100" s="102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</row>
    <row r="101" spans="1:24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>
      <c r="H102" s="23" t="s">
        <v>118</v>
      </c>
      <c r="N102" s="26"/>
      <c r="O102" s="26"/>
      <c r="P102" s="9"/>
      <c r="Q102" s="26"/>
      <c r="R102" s="26"/>
      <c r="S102" s="26"/>
      <c r="T102" s="25"/>
      <c r="U102" s="25"/>
      <c r="V102" s="25"/>
      <c r="W102" s="25"/>
      <c r="X102" s="25"/>
    </row>
    <row r="103" spans="1:24" ht="15.75">
      <c r="J103" s="9"/>
      <c r="M103" s="25"/>
      <c r="N103" s="9"/>
      <c r="O103" s="9"/>
      <c r="P103" s="9"/>
      <c r="Q103" s="11"/>
      <c r="R103" s="11"/>
      <c r="S103" s="11"/>
    </row>
    <row r="104" spans="1:24" ht="15.75">
      <c r="H104" s="36" t="s">
        <v>81</v>
      </c>
      <c r="I104" s="60">
        <f>ONSV_AUX_2014!J27</f>
        <v>158539</v>
      </c>
      <c r="J104" s="9"/>
      <c r="K104" s="104" t="s">
        <v>119</v>
      </c>
      <c r="L104" s="104"/>
      <c r="M104" s="9"/>
      <c r="N104" s="26" t="s">
        <v>120</v>
      </c>
      <c r="O104" s="26"/>
      <c r="Q104" s="26" t="s">
        <v>121</v>
      </c>
      <c r="R104" s="26"/>
      <c r="S104" s="26"/>
      <c r="T104" s="25" t="s">
        <v>122</v>
      </c>
      <c r="U104" s="25"/>
      <c r="V104" s="25"/>
      <c r="W104" s="25"/>
      <c r="X104" s="25"/>
    </row>
    <row r="105" spans="1:24" ht="15.75">
      <c r="H105" s="36" t="s">
        <v>84</v>
      </c>
      <c r="I105" s="60">
        <f>ONSV_AUX_2014!J28</f>
        <v>982813</v>
      </c>
      <c r="J105" s="9"/>
      <c r="K105" s="9"/>
      <c r="L105" s="9"/>
      <c r="M105" s="9"/>
      <c r="N105" s="9"/>
      <c r="O105" s="9"/>
      <c r="P105" s="20"/>
      <c r="Q105" s="11"/>
      <c r="R105" s="11"/>
      <c r="S105" s="11"/>
    </row>
    <row r="106" spans="1:24" ht="15.75">
      <c r="H106" s="36" t="s">
        <v>85</v>
      </c>
      <c r="I106" s="60">
        <f>ONSV_AUX_2014!J29</f>
        <v>279006</v>
      </c>
      <c r="J106" s="9"/>
      <c r="K106" s="2" t="s">
        <v>123</v>
      </c>
      <c r="L106" s="60">
        <f>I113+I116+I117+I122</f>
        <v>1942863</v>
      </c>
      <c r="N106" s="28" t="s">
        <v>124</v>
      </c>
      <c r="O106" s="60">
        <f>J113+J122</f>
        <v>1573994.8574140328</v>
      </c>
      <c r="P106" s="64"/>
      <c r="Q106" s="65" t="s">
        <v>125</v>
      </c>
      <c r="R106" s="60">
        <f>J116+J117</f>
        <v>368795.1425859672</v>
      </c>
      <c r="S106" s="66"/>
      <c r="T106" s="65" t="s">
        <v>126</v>
      </c>
      <c r="U106" s="67">
        <f>O110</f>
        <v>9827.1684497482292</v>
      </c>
      <c r="V106" s="48"/>
      <c r="W106" s="65" t="s">
        <v>127</v>
      </c>
      <c r="X106" s="68">
        <f>R112</f>
        <v>25616.742725909618</v>
      </c>
    </row>
    <row r="107" spans="1:24" ht="15.75">
      <c r="H107" s="36" t="s">
        <v>101</v>
      </c>
      <c r="I107" s="60">
        <f>ONSV_AUX_2014!J30</f>
        <v>73</v>
      </c>
      <c r="J107" s="9"/>
      <c r="K107" s="27"/>
      <c r="L107" s="62"/>
      <c r="M107" s="20"/>
      <c r="N107" s="28" t="s">
        <v>128</v>
      </c>
      <c r="O107" s="69">
        <f>J113/O106</f>
        <v>0.99000097836541812</v>
      </c>
      <c r="P107" s="64"/>
      <c r="Q107" s="70" t="s">
        <v>129</v>
      </c>
      <c r="R107" s="63">
        <f>J116/R106</f>
        <v>0.79145573996296181</v>
      </c>
      <c r="S107" s="71"/>
      <c r="T107" s="65" t="s">
        <v>130</v>
      </c>
      <c r="U107" s="67">
        <f>I122-J122</f>
        <v>0.59136799661064288</v>
      </c>
      <c r="V107" s="48"/>
      <c r="W107" s="65" t="s">
        <v>131</v>
      </c>
      <c r="X107" s="68">
        <f>I117-J117</f>
        <v>2.8898841554910177</v>
      </c>
    </row>
    <row r="108" spans="1:24" ht="15.75">
      <c r="H108" s="36" t="s">
        <v>16</v>
      </c>
      <c r="I108" s="60">
        <f>ONSV_AUX_2014!J31</f>
        <v>3742</v>
      </c>
      <c r="J108" s="9"/>
      <c r="K108" s="2" t="s">
        <v>132</v>
      </c>
      <c r="L108" s="63">
        <f>I113/L106</f>
        <v>0.80207147904921761</v>
      </c>
      <c r="M108" s="20"/>
      <c r="N108" s="28" t="s">
        <v>133</v>
      </c>
      <c r="O108" s="69">
        <f>J122/O106</f>
        <v>9.9990216345817867E-3</v>
      </c>
      <c r="P108" s="64"/>
      <c r="Q108" s="70" t="s">
        <v>134</v>
      </c>
      <c r="R108" s="63">
        <f>J117/R106</f>
        <v>0.20854426003703816</v>
      </c>
      <c r="S108" s="71"/>
      <c r="T108" s="65" t="s">
        <v>135</v>
      </c>
      <c r="U108" s="72">
        <f>O112</f>
        <v>5911.2401822551601</v>
      </c>
      <c r="V108" s="73"/>
      <c r="W108" s="65" t="s">
        <v>136</v>
      </c>
      <c r="X108" s="72">
        <f>R115</f>
        <v>51293.367389934894</v>
      </c>
    </row>
    <row r="109" spans="1:24" ht="15.75">
      <c r="H109" s="36" t="s">
        <v>94</v>
      </c>
      <c r="I109" s="60">
        <f>ONSV_AUX_2014!J32</f>
        <v>1673063</v>
      </c>
      <c r="J109" s="10"/>
      <c r="K109" s="2" t="s">
        <v>2</v>
      </c>
      <c r="L109" s="63">
        <f>I116/L106</f>
        <v>0.15024013530547445</v>
      </c>
      <c r="M109" s="20"/>
      <c r="N109" s="20"/>
      <c r="O109" s="74"/>
      <c r="P109" s="48"/>
      <c r="Q109" s="48"/>
      <c r="R109" s="48"/>
      <c r="S109" s="48"/>
      <c r="T109" s="48"/>
      <c r="U109" s="62"/>
      <c r="V109" s="75"/>
      <c r="W109" s="48"/>
      <c r="X109" s="62"/>
    </row>
    <row r="110" spans="1:24" ht="15.75">
      <c r="K110" s="2" t="s">
        <v>3</v>
      </c>
      <c r="L110" s="63">
        <f>I117/L106</f>
        <v>3.9587454184880765E-2</v>
      </c>
      <c r="M110" s="20"/>
      <c r="N110" s="28" t="s">
        <v>137</v>
      </c>
      <c r="O110" s="60">
        <f>IF(O108*I105&gt;J122,J122,O108*I105)</f>
        <v>9827.1684497482292</v>
      </c>
      <c r="P110" s="76"/>
      <c r="Q110" s="65" t="s">
        <v>138</v>
      </c>
      <c r="R110" s="60">
        <f>I106-I114-I115-I118-I121</f>
        <v>122836</v>
      </c>
      <c r="S110" s="77"/>
      <c r="T110" s="65" t="s">
        <v>139</v>
      </c>
      <c r="U110" s="67">
        <f>O118</f>
        <v>972985.83155025169</v>
      </c>
      <c r="V110" s="76"/>
      <c r="W110" s="65" t="s">
        <v>140</v>
      </c>
      <c r="X110" s="67">
        <f>I114</f>
        <v>102303</v>
      </c>
    </row>
    <row r="111" spans="1:24" ht="15.75">
      <c r="H111" s="24" t="s">
        <v>141</v>
      </c>
      <c r="K111" s="2" t="s">
        <v>0</v>
      </c>
      <c r="L111" s="63">
        <f>I122/L106</f>
        <v>8.1009314604272142E-3</v>
      </c>
      <c r="O111" s="48"/>
      <c r="P111" s="76"/>
      <c r="Q111" s="65" t="s">
        <v>142</v>
      </c>
      <c r="R111" s="60">
        <f>R107*R110</f>
        <v>97219.257274090371</v>
      </c>
      <c r="S111" s="48"/>
      <c r="T111" s="65" t="s">
        <v>143</v>
      </c>
      <c r="U111" s="67">
        <f>O116</f>
        <v>158539</v>
      </c>
      <c r="V111" s="66"/>
      <c r="W111" s="65" t="s">
        <v>144</v>
      </c>
      <c r="X111" s="67">
        <f>I115</f>
        <v>25697</v>
      </c>
    </row>
    <row r="112" spans="1:24" ht="15.75">
      <c r="K112" s="11"/>
      <c r="L112" s="11"/>
      <c r="M112" s="11"/>
      <c r="N112" s="28" t="s">
        <v>145</v>
      </c>
      <c r="O112" s="60">
        <f>J122-O110</f>
        <v>5911.2401822551601</v>
      </c>
      <c r="P112" s="76"/>
      <c r="Q112" s="65" t="s">
        <v>127</v>
      </c>
      <c r="R112" s="60">
        <f>R108*R110</f>
        <v>25616.742725909618</v>
      </c>
      <c r="S112" s="48"/>
      <c r="T112" s="65" t="s">
        <v>146</v>
      </c>
      <c r="U112" s="67">
        <f>O117</f>
        <v>3742</v>
      </c>
      <c r="V112" s="71"/>
      <c r="W112" s="48"/>
      <c r="X112" s="62"/>
    </row>
    <row r="113" spans="8:24" ht="15.75">
      <c r="H113" s="37" t="s">
        <v>103</v>
      </c>
      <c r="I113" s="60">
        <f>ONSV_AUX_2014!J56</f>
        <v>1558315</v>
      </c>
      <c r="J113" s="61">
        <f>I113-(L108*I107)</f>
        <v>1558256.4487820293</v>
      </c>
      <c r="K113" s="11"/>
      <c r="L113" s="11"/>
      <c r="M113" s="11"/>
      <c r="O113" s="76"/>
      <c r="P113" s="76"/>
      <c r="Q113" s="48"/>
      <c r="R113" s="78"/>
      <c r="S113" s="48"/>
      <c r="T113" s="65" t="s">
        <v>147</v>
      </c>
      <c r="U113" s="68">
        <f>I113-J113</f>
        <v>58.551217970671132</v>
      </c>
      <c r="V113" s="71"/>
      <c r="W113" s="65" t="s">
        <v>148</v>
      </c>
      <c r="X113" s="67">
        <f>I121</f>
        <v>20036</v>
      </c>
    </row>
    <row r="114" spans="8:24" ht="15.75">
      <c r="H114" s="37" t="s">
        <v>104</v>
      </c>
      <c r="I114" s="60">
        <f>ONSV_AUX_2014!J57</f>
        <v>102303</v>
      </c>
      <c r="J114" s="10">
        <f>I114</f>
        <v>102303</v>
      </c>
      <c r="K114" s="11"/>
      <c r="L114" s="11"/>
      <c r="M114" s="11"/>
      <c r="N114" s="26" t="s">
        <v>149</v>
      </c>
      <c r="O114" s="76"/>
      <c r="P114" s="76"/>
      <c r="Q114" s="65" t="s">
        <v>150</v>
      </c>
      <c r="R114" s="60">
        <f>J116-R111</f>
        <v>194665.77519603231</v>
      </c>
      <c r="S114" s="48"/>
      <c r="T114" s="65" t="s">
        <v>151</v>
      </c>
      <c r="U114" s="72">
        <f>O119</f>
        <v>422989.61723177764</v>
      </c>
      <c r="V114" s="48"/>
      <c r="W114" s="65" t="s">
        <v>152</v>
      </c>
      <c r="X114" s="67">
        <f>I118</f>
        <v>8134</v>
      </c>
    </row>
    <row r="115" spans="8:24" ht="15.75">
      <c r="H115" s="37" t="s">
        <v>105</v>
      </c>
      <c r="I115" s="60">
        <f>ONSV_AUX_2014!J58</f>
        <v>25697</v>
      </c>
      <c r="J115" s="10">
        <f>I115</f>
        <v>25697</v>
      </c>
      <c r="K115" s="11"/>
      <c r="L115" s="11"/>
      <c r="M115" s="11"/>
      <c r="O115" s="73"/>
      <c r="P115" s="76"/>
      <c r="Q115" s="65" t="s">
        <v>136</v>
      </c>
      <c r="R115" s="60">
        <f>J117-R112</f>
        <v>51293.367389934894</v>
      </c>
      <c r="S115" s="48"/>
      <c r="T115" s="48"/>
      <c r="U115" s="62"/>
      <c r="V115" s="77"/>
      <c r="W115" s="48"/>
      <c r="X115" s="62"/>
    </row>
    <row r="116" spans="8:24" ht="15.75">
      <c r="H116" s="37" t="s">
        <v>106</v>
      </c>
      <c r="I116" s="60">
        <f>ONSV_AUX_2014!J59</f>
        <v>291896</v>
      </c>
      <c r="J116" s="61">
        <f>I116-(L109*I107)</f>
        <v>291885.03247012268</v>
      </c>
      <c r="K116" s="11"/>
      <c r="L116" s="11"/>
      <c r="M116" s="11"/>
      <c r="N116" s="28" t="s">
        <v>143</v>
      </c>
      <c r="O116" s="60">
        <f>I104</f>
        <v>158539</v>
      </c>
      <c r="P116" s="76"/>
      <c r="Q116" s="48"/>
      <c r="R116" s="48"/>
      <c r="S116" s="77"/>
      <c r="T116" s="65" t="s">
        <v>142</v>
      </c>
      <c r="U116" s="68">
        <f>R111</f>
        <v>97219.257274090371</v>
      </c>
      <c r="V116" s="48"/>
      <c r="W116" s="65" t="s">
        <v>153</v>
      </c>
      <c r="X116" s="67">
        <f>I119</f>
        <v>762218</v>
      </c>
    </row>
    <row r="117" spans="8:24" ht="15.75">
      <c r="H117" s="37" t="s">
        <v>107</v>
      </c>
      <c r="I117" s="60">
        <f>ONSV_AUX_2014!J60</f>
        <v>76913</v>
      </c>
      <c r="J117" s="61">
        <f>I117-(L110*I107)</f>
        <v>76910.110115844509</v>
      </c>
      <c r="K117" s="11"/>
      <c r="L117" s="11"/>
      <c r="M117" s="11"/>
      <c r="N117" s="28" t="s">
        <v>146</v>
      </c>
      <c r="O117" s="60">
        <f>I108</f>
        <v>3742</v>
      </c>
      <c r="P117" s="76"/>
      <c r="Q117" s="48"/>
      <c r="R117" s="48"/>
      <c r="S117" s="48"/>
      <c r="T117" s="65" t="s">
        <v>154</v>
      </c>
      <c r="U117" s="68">
        <f>I116-J116</f>
        <v>10.967529877321795</v>
      </c>
      <c r="V117" s="48"/>
      <c r="W117" s="65" t="s">
        <v>155</v>
      </c>
      <c r="X117" s="67">
        <f>I120</f>
        <v>227376</v>
      </c>
    </row>
    <row r="118" spans="8:24" ht="15.75">
      <c r="H118" s="37" t="s">
        <v>108</v>
      </c>
      <c r="I118" s="60">
        <f>ONSV_AUX_2014!J61</f>
        <v>8134</v>
      </c>
      <c r="J118" s="10">
        <f>I118</f>
        <v>8134</v>
      </c>
      <c r="K118" s="11"/>
      <c r="L118" s="11"/>
      <c r="M118" s="11"/>
      <c r="N118" s="28" t="s">
        <v>139</v>
      </c>
      <c r="O118" s="60">
        <f>IF(OR((O107*I105&gt;J113),((O116+O117+(O107*I105))&gt;J113)),(J113-O116-O117),(O107*I105))</f>
        <v>972985.83155025169</v>
      </c>
      <c r="P118" s="76"/>
      <c r="Q118" s="48"/>
      <c r="R118" s="78"/>
      <c r="S118" s="48"/>
      <c r="T118" s="65" t="s">
        <v>150</v>
      </c>
      <c r="U118" s="72">
        <f>R114</f>
        <v>194665.77519603231</v>
      </c>
      <c r="V118" s="48"/>
      <c r="W118" s="48"/>
      <c r="X118" s="48"/>
    </row>
    <row r="119" spans="8:24" ht="15.75">
      <c r="H119" s="37" t="s">
        <v>109</v>
      </c>
      <c r="I119" s="60">
        <f>ONSV_AUX_2014!J62</f>
        <v>762218</v>
      </c>
      <c r="J119" s="10">
        <f>I119</f>
        <v>762218</v>
      </c>
      <c r="K119" s="11"/>
      <c r="L119" s="11"/>
      <c r="M119" s="11"/>
      <c r="N119" s="28" t="s">
        <v>151</v>
      </c>
      <c r="O119" s="60">
        <f>IF((J113-O116-O118-O117)&lt;0,0,(J113-O116-O118-O117))</f>
        <v>422989.61723177764</v>
      </c>
      <c r="P119" s="48"/>
      <c r="Q119" s="48"/>
      <c r="R119" s="48"/>
      <c r="S119" s="48"/>
      <c r="T119" s="48"/>
      <c r="U119" s="62"/>
      <c r="V119" s="48"/>
      <c r="W119" s="48"/>
      <c r="X119" s="48"/>
    </row>
    <row r="120" spans="8:24" ht="15.75">
      <c r="H120" s="37" t="s">
        <v>110</v>
      </c>
      <c r="I120" s="60">
        <f>ONSV_AUX_2014!J63</f>
        <v>227376</v>
      </c>
      <c r="J120" s="10">
        <f>I120</f>
        <v>227376</v>
      </c>
      <c r="K120" s="11"/>
      <c r="L120" s="11"/>
      <c r="M120" s="11"/>
      <c r="O120" s="48"/>
      <c r="P120" s="76"/>
      <c r="Q120" s="48"/>
      <c r="R120" s="48"/>
      <c r="S120" s="48"/>
      <c r="T120" s="79" t="s">
        <v>156</v>
      </c>
      <c r="U120" s="80">
        <f>(SUM(U106:U118,X106:X117)/SUM(I113:I122))-1</f>
        <v>0</v>
      </c>
      <c r="V120" s="48"/>
      <c r="W120" s="79" t="s">
        <v>10</v>
      </c>
      <c r="X120" s="67">
        <f>SUM(U106:U118,X106:X117)</f>
        <v>3088627</v>
      </c>
    </row>
    <row r="121" spans="8:24" ht="15.75">
      <c r="H121" s="37" t="s">
        <v>111</v>
      </c>
      <c r="I121" s="60">
        <f>ONSV_AUX_2014!J64</f>
        <v>20036</v>
      </c>
      <c r="J121" s="10">
        <f>I121</f>
        <v>20036</v>
      </c>
      <c r="K121" s="11"/>
      <c r="L121" s="11"/>
      <c r="M121" s="11"/>
      <c r="O121" s="48"/>
      <c r="P121" s="76"/>
      <c r="Q121" s="48"/>
      <c r="R121" s="48"/>
      <c r="S121" s="48"/>
      <c r="T121" s="48"/>
      <c r="U121" s="48"/>
      <c r="V121" s="48"/>
      <c r="W121" s="48"/>
      <c r="X121" s="48"/>
    </row>
    <row r="122" spans="8:24" ht="15.75">
      <c r="H122" s="37" t="s">
        <v>112</v>
      </c>
      <c r="I122" s="60">
        <f>ONSV_AUX_2014!J65</f>
        <v>15739</v>
      </c>
      <c r="J122" s="61">
        <f>I122-(L111*I107)</f>
        <v>15738.408632003389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A1:F1"/>
    <mergeCell ref="Q4:R4"/>
    <mergeCell ref="T4:X4"/>
    <mergeCell ref="K5:L5"/>
    <mergeCell ref="K29:L29"/>
    <mergeCell ref="A25:F25"/>
    <mergeCell ref="A50:F50"/>
    <mergeCell ref="T27:X27"/>
    <mergeCell ref="T52:X52"/>
    <mergeCell ref="K104:L104"/>
    <mergeCell ref="K54:L54"/>
    <mergeCell ref="A75:F75"/>
    <mergeCell ref="K79:L79"/>
    <mergeCell ref="A100:F10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59999389629810485"/>
  </sheetPr>
  <dimension ref="A1:AM36"/>
  <sheetViews>
    <sheetView showGridLines="0" workbookViewId="0">
      <pane xSplit="1" topLeftCell="B1" activePane="topRight" state="frozen"/>
      <selection pane="topRight" activeCell="A4" sqref="A4"/>
    </sheetView>
  </sheetViews>
  <sheetFormatPr defaultRowHeight="15"/>
  <cols>
    <col min="1" max="1" width="32.85546875" style="4" customWidth="1"/>
    <col min="2" max="2" width="2.5703125" customWidth="1"/>
    <col min="7" max="7" width="5.5703125" customWidth="1"/>
    <col min="8" max="8" width="10.140625" bestFit="1" customWidth="1"/>
    <col min="12" max="13" width="10.140625" bestFit="1" customWidth="1"/>
    <col min="14" max="14" width="5.140625" customWidth="1"/>
    <col min="15" max="15" width="11" bestFit="1" customWidth="1"/>
    <col min="19" max="19" width="5.140625" customWidth="1"/>
    <col min="24" max="24" width="5.140625" customWidth="1"/>
    <col min="25" max="25" width="10.28515625" bestFit="1" customWidth="1"/>
    <col min="26" max="26" width="5.140625" customWidth="1"/>
    <col min="27" max="27" width="17.28515625" bestFit="1" customWidth="1"/>
    <col min="28" max="28" width="5.140625" customWidth="1"/>
    <col min="29" max="29" width="7.5703125" bestFit="1" customWidth="1"/>
    <col min="30" max="30" width="5.140625" customWidth="1"/>
    <col min="31" max="31" width="13.140625" bestFit="1" customWidth="1"/>
    <col min="32" max="32" width="5.140625" customWidth="1"/>
    <col min="33" max="33" width="12" bestFit="1" customWidth="1"/>
    <col min="34" max="34" width="5.140625" customWidth="1"/>
    <col min="35" max="35" width="10" bestFit="1" customWidth="1"/>
    <col min="37" max="37" width="11.140625" bestFit="1" customWidth="1"/>
  </cols>
  <sheetData>
    <row r="1" spans="1:39" ht="15.75">
      <c r="A1" s="23"/>
    </row>
    <row r="2" spans="1:39" ht="15.75" customHeight="1">
      <c r="A2" s="89" t="str">
        <f>"Frota por tipo de veículo e combustível - Junho/"&amp;ONSV_AUX_2017!A1&amp;""</f>
        <v>Frota por tipo de veículo e combustível - Junho/2017</v>
      </c>
      <c r="C2" s="93" t="s">
        <v>0</v>
      </c>
      <c r="D2" s="93"/>
      <c r="E2" s="93"/>
      <c r="F2" s="93"/>
      <c r="H2" s="93" t="s">
        <v>1</v>
      </c>
      <c r="I2" s="93"/>
      <c r="J2" s="93"/>
      <c r="K2" s="93"/>
      <c r="L2" s="93"/>
      <c r="M2" s="93"/>
      <c r="O2" s="94" t="s">
        <v>2</v>
      </c>
      <c r="P2" s="95"/>
      <c r="Q2" s="95"/>
      <c r="R2" s="96"/>
      <c r="T2" s="94" t="s">
        <v>3</v>
      </c>
      <c r="U2" s="95"/>
      <c r="V2" s="95"/>
      <c r="W2" s="96"/>
      <c r="Y2" s="28" t="s">
        <v>4</v>
      </c>
      <c r="AA2" s="28" t="s">
        <v>5</v>
      </c>
      <c r="AC2" s="28" t="s">
        <v>6</v>
      </c>
      <c r="AE2" s="28" t="s">
        <v>7</v>
      </c>
      <c r="AG2" s="28" t="s">
        <v>8</v>
      </c>
      <c r="AI2" s="28" t="s">
        <v>9</v>
      </c>
      <c r="AK2" s="91" t="s">
        <v>10</v>
      </c>
    </row>
    <row r="3" spans="1:39" ht="15.75">
      <c r="A3" s="90"/>
      <c r="C3" s="28" t="s">
        <v>11</v>
      </c>
      <c r="D3" s="28" t="s">
        <v>12</v>
      </c>
      <c r="E3" s="28" t="s">
        <v>13</v>
      </c>
      <c r="F3" s="28" t="s">
        <v>14</v>
      </c>
      <c r="H3" s="28" t="s">
        <v>11</v>
      </c>
      <c r="I3" s="28" t="s">
        <v>15</v>
      </c>
      <c r="J3" s="28" t="s">
        <v>16</v>
      </c>
      <c r="K3" s="28" t="s">
        <v>12</v>
      </c>
      <c r="L3" s="28" t="s">
        <v>13</v>
      </c>
      <c r="M3" s="28" t="s">
        <v>14</v>
      </c>
      <c r="O3" s="28" t="s">
        <v>17</v>
      </c>
      <c r="P3" s="28" t="s">
        <v>12</v>
      </c>
      <c r="Q3" s="28" t="s">
        <v>13</v>
      </c>
      <c r="R3" s="28" t="s">
        <v>14</v>
      </c>
      <c r="T3" s="28" t="s">
        <v>17</v>
      </c>
      <c r="U3" s="28" t="s">
        <v>12</v>
      </c>
      <c r="V3" s="28" t="s">
        <v>13</v>
      </c>
      <c r="W3" s="28" t="s">
        <v>14</v>
      </c>
      <c r="Y3" s="28" t="s">
        <v>17</v>
      </c>
      <c r="AA3" s="28" t="s">
        <v>17</v>
      </c>
      <c r="AC3" s="28" t="s">
        <v>17</v>
      </c>
      <c r="AE3" s="28" t="s">
        <v>17</v>
      </c>
      <c r="AG3" s="28" t="s">
        <v>13</v>
      </c>
      <c r="AI3" s="28" t="s">
        <v>13</v>
      </c>
      <c r="AK3" s="92"/>
      <c r="AM3" t="s">
        <v>18</v>
      </c>
    </row>
    <row r="4" spans="1:39">
      <c r="A4" s="42" t="s">
        <v>19</v>
      </c>
      <c r="C4" s="46">
        <f>SUM(C5,C13,C32,C28,C23)</f>
        <v>488179.72072217957</v>
      </c>
      <c r="D4" s="46">
        <f>SUM(D5,D13,D32,D28,D23)</f>
        <v>90.697134918194934</v>
      </c>
      <c r="E4" s="46">
        <f t="shared" ref="E4:F4" si="0">SUM(E5,E13,E32,E28,E23)</f>
        <v>259691.58214290225</v>
      </c>
      <c r="F4" s="46">
        <f t="shared" si="0"/>
        <v>747962</v>
      </c>
      <c r="H4" s="46">
        <f>SUM(H5,H13,H32,H28,H23)</f>
        <v>32637613.183867816</v>
      </c>
      <c r="I4" s="46">
        <f t="shared" ref="I4:L4" si="1">SUM(I5,I13,I32,I28,I23)</f>
        <v>4156921</v>
      </c>
      <c r="J4" s="46">
        <f t="shared" si="1"/>
        <v>1993667</v>
      </c>
      <c r="K4" s="46">
        <f t="shared" ref="K4" si="2">SUM(K5,K13,K32,K28,K23)</f>
        <v>6244.4592700616922</v>
      </c>
      <c r="L4" s="46">
        <f t="shared" si="1"/>
        <v>13337622.35686212</v>
      </c>
      <c r="M4" s="46">
        <f>SUM(M5,M13,M32,M28,M23)</f>
        <v>52132068</v>
      </c>
      <c r="O4" s="46">
        <f>SUM(O5,O13,O32,O28,O23)</f>
        <v>1995798.7376319834</v>
      </c>
      <c r="P4" s="46">
        <f>SUM(P5,P13,P32,P28,P23)</f>
        <v>841.8446548559732</v>
      </c>
      <c r="Q4" s="46">
        <f t="shared" ref="Q4:R4" si="3">SUM(Q5,Q13,Q32,Q28,Q23)</f>
        <v>5038172.4177131606</v>
      </c>
      <c r="R4" s="46">
        <f t="shared" si="3"/>
        <v>7034813</v>
      </c>
      <c r="T4" s="46">
        <f>SUM(T5,T13,T32,T28,T23)</f>
        <v>805434.26236801676</v>
      </c>
      <c r="U4" s="46">
        <f>SUM(U5,U13,U32,U28,U23)</f>
        <v>380.99894016522967</v>
      </c>
      <c r="V4" s="46">
        <f t="shared" ref="V4" si="4">SUM(V5,V13,V32,V28,V23)</f>
        <v>2321825.738691818</v>
      </c>
      <c r="W4" s="46">
        <f>SUM(W5,W13,W32,W28,W23)</f>
        <v>3127641</v>
      </c>
      <c r="Y4" s="46">
        <f>SUM(Y5,Y13,Y32,Y28,Y23)</f>
        <v>2704531</v>
      </c>
      <c r="AA4" s="46">
        <f>SUM(AA5,AA13,AA32,AA28,AA23)</f>
        <v>614264</v>
      </c>
      <c r="AC4" s="46">
        <f>SUM(AC5,AC13,AC32,AC28,AC23)</f>
        <v>607173</v>
      </c>
      <c r="AE4" s="46">
        <f>SUM(AE5,AE13,AE32,AE28,AE23)</f>
        <v>387411</v>
      </c>
      <c r="AG4" s="46">
        <f>SUM(AG5,AG13,AG32,AG28,AG23)</f>
        <v>21314474</v>
      </c>
      <c r="AI4" s="46">
        <f>SUM(AI5,AI13,AI32,AI28,AI23)</f>
        <v>4076362</v>
      </c>
      <c r="AK4" s="46">
        <f>SUM(F4,M4,R4,W4,Y4,AA4,AC4,AE4,AG4,AI4)</f>
        <v>92746699</v>
      </c>
    </row>
    <row r="5" spans="1:39">
      <c r="A5" s="42" t="s">
        <v>20</v>
      </c>
      <c r="C5" s="46">
        <f>SUM(C6:C12)</f>
        <v>26936.637864440247</v>
      </c>
      <c r="D5" s="46">
        <f>SUM(D6:D12)</f>
        <v>4.0296699946516128</v>
      </c>
      <c r="E5" s="46">
        <f t="shared" ref="E5:AG5" si="5">SUM(E6:E12)</f>
        <v>318.33246556510221</v>
      </c>
      <c r="F5" s="46">
        <f>SUM(C5:E5)</f>
        <v>27259</v>
      </c>
      <c r="H5" s="46">
        <f t="shared" si="5"/>
        <v>1540612.3354746203</v>
      </c>
      <c r="I5" s="46">
        <f t="shared" si="5"/>
        <v>67728</v>
      </c>
      <c r="J5" s="46">
        <f t="shared" si="5"/>
        <v>2821</v>
      </c>
      <c r="K5" s="46">
        <f t="shared" ref="K5" si="6">SUM(K6:K12)</f>
        <v>240.07137477659853</v>
      </c>
      <c r="L5" s="46">
        <f t="shared" si="5"/>
        <v>5549.5931506031775</v>
      </c>
      <c r="M5" s="46">
        <f>SUM(H5:L5)</f>
        <v>1616951</v>
      </c>
      <c r="O5" s="46">
        <f t="shared" si="5"/>
        <v>178318.18849453997</v>
      </c>
      <c r="P5" s="46">
        <f t="shared" ref="P5" si="7">SUM(P6:P12)</f>
        <v>63.760719224796048</v>
      </c>
      <c r="Q5" s="46">
        <f t="shared" si="5"/>
        <v>255802.05078623525</v>
      </c>
      <c r="R5" s="46">
        <f>SUM(O5:Q5)</f>
        <v>434184</v>
      </c>
      <c r="T5" s="46">
        <f t="shared" si="5"/>
        <v>39416.81150546002</v>
      </c>
      <c r="U5" s="46">
        <f t="shared" ref="U5" si="8">SUM(U6:U12)</f>
        <v>15.138236003917427</v>
      </c>
      <c r="V5" s="46">
        <f t="shared" si="5"/>
        <v>60164.050258536059</v>
      </c>
      <c r="W5" s="46">
        <f>SUM(T5:V5)</f>
        <v>99596</v>
      </c>
      <c r="Y5" s="46">
        <f t="shared" si="5"/>
        <v>147850</v>
      </c>
      <c r="AA5" s="46">
        <f t="shared" si="5"/>
        <v>23402</v>
      </c>
      <c r="AC5" s="46">
        <f t="shared" si="5"/>
        <v>40988</v>
      </c>
      <c r="AE5" s="46">
        <f t="shared" si="5"/>
        <v>14486</v>
      </c>
      <c r="AG5" s="46">
        <f t="shared" si="5"/>
        <v>1899149</v>
      </c>
      <c r="AI5" s="46">
        <f>SUM(AI6:AI12)</f>
        <v>491613</v>
      </c>
      <c r="AK5" s="46">
        <f t="shared" ref="AK5:AK36" si="9">SUM(F5,M5,R5,W5,Y5,AA5,AC5,AE5,AG5,AI5)</f>
        <v>4795478</v>
      </c>
    </row>
    <row r="6" spans="1:39">
      <c r="A6" s="43" t="s">
        <v>21</v>
      </c>
      <c r="C6" s="45">
        <f>AC!$U$31</f>
        <v>1176.7793538711492</v>
      </c>
      <c r="D6" s="45">
        <f>AC!$U$32</f>
        <v>0.22064612885083079</v>
      </c>
      <c r="E6" s="45">
        <f>AC!$U$33</f>
        <v>0</v>
      </c>
      <c r="F6" s="46">
        <f>SUM(C6:E6)</f>
        <v>1177</v>
      </c>
      <c r="H6" s="45">
        <f>AC!$U$35</f>
        <v>78295.641004811594</v>
      </c>
      <c r="I6" s="45">
        <f>AC!$U$36</f>
        <v>3604</v>
      </c>
      <c r="J6" s="45">
        <f>AC!$U$37</f>
        <v>15</v>
      </c>
      <c r="K6" s="45">
        <f>AC!$U$38</f>
        <v>15.35899518840597</v>
      </c>
      <c r="L6" s="45">
        <f>AC!$U$39</f>
        <v>0</v>
      </c>
      <c r="M6" s="46">
        <f t="shared" ref="M6:M36" si="10">SUM(H6:L6)</f>
        <v>81930</v>
      </c>
      <c r="O6" s="45">
        <f>AC!$U$41</f>
        <v>12834.755343432247</v>
      </c>
      <c r="P6" s="45">
        <f>AC!$U$42</f>
        <v>4.6543773042540124</v>
      </c>
      <c r="Q6" s="45">
        <f>AC!$U$43</f>
        <v>11988.590279263499</v>
      </c>
      <c r="R6" s="46">
        <f t="shared" ref="R6:R36" si="11">SUM(O6:Q6)</f>
        <v>24828</v>
      </c>
      <c r="T6" s="45">
        <f>AC!$X$31</f>
        <v>2112.2446565677524</v>
      </c>
      <c r="U6" s="45">
        <f>AC!$X$32</f>
        <v>0.76598137849168779</v>
      </c>
      <c r="V6" s="45">
        <f>AC!$X$33</f>
        <v>1972.9893620537559</v>
      </c>
      <c r="W6" s="46">
        <f t="shared" ref="W6:W36" si="12">SUM(T6:V6)</f>
        <v>4086</v>
      </c>
      <c r="Y6" s="45">
        <f>AC!$X$35</f>
        <v>7008</v>
      </c>
      <c r="AA6" s="45">
        <f>AC!$X$36</f>
        <v>811</v>
      </c>
      <c r="AC6" s="45">
        <f>AC!$X$38</f>
        <v>1102</v>
      </c>
      <c r="AE6" s="45">
        <f>AC!$X$39</f>
        <v>355</v>
      </c>
      <c r="AG6" s="45">
        <f>AC!$X$41</f>
        <v>108632</v>
      </c>
      <c r="AI6" s="45">
        <f>AC!$X$42</f>
        <v>22922</v>
      </c>
      <c r="AK6" s="45">
        <f>SUM(F6,M6,R6,W6,Y6,AA6,AC6,AE6,AG6,AI6)</f>
        <v>252851</v>
      </c>
      <c r="AM6" t="str">
        <f>IF((AK6=AC!X45),"ok","erro")</f>
        <v>ok</v>
      </c>
    </row>
    <row r="7" spans="1:39">
      <c r="A7" s="43" t="s">
        <v>22</v>
      </c>
      <c r="C7" s="45">
        <f>AP!$U$31</f>
        <v>873.87861592793934</v>
      </c>
      <c r="D7" s="45">
        <f>AP!$U$32</f>
        <v>0.12138407206066404</v>
      </c>
      <c r="E7" s="45">
        <f>AP!$U$33</f>
        <v>0</v>
      </c>
      <c r="F7" s="46">
        <f t="shared" ref="F7:F36" si="13">SUM(C7:E7)</f>
        <v>874</v>
      </c>
      <c r="H7" s="45">
        <f>AP!$U$35</f>
        <v>73987.522360223797</v>
      </c>
      <c r="I7" s="45">
        <f>AP!$U$36</f>
        <v>1435</v>
      </c>
      <c r="J7" s="45">
        <f>AP!$U$37</f>
        <v>9</v>
      </c>
      <c r="K7" s="45">
        <f>AP!$U$38</f>
        <v>10.477639776203432</v>
      </c>
      <c r="L7" s="45">
        <f>AP!$U$39</f>
        <v>0</v>
      </c>
      <c r="M7" s="46">
        <f t="shared" si="10"/>
        <v>75442</v>
      </c>
      <c r="O7" s="45">
        <f>AP!$U$41</f>
        <v>5740.4636556680825</v>
      </c>
      <c r="P7" s="45">
        <f>AP!$U$42</f>
        <v>2.8058608785358956</v>
      </c>
      <c r="Q7" s="45">
        <f>AP!$U$43</f>
        <v>14459.730483453382</v>
      </c>
      <c r="R7" s="46">
        <f t="shared" si="11"/>
        <v>20203</v>
      </c>
      <c r="T7" s="45">
        <f>AP!$X$31</f>
        <v>1217.5363443319177</v>
      </c>
      <c r="U7" s="45">
        <f>AP!$X$32</f>
        <v>0.59511527320319146</v>
      </c>
      <c r="V7" s="45">
        <f>AP!$X$33</f>
        <v>3066.8685403948793</v>
      </c>
      <c r="W7" s="46">
        <f t="shared" si="12"/>
        <v>4285</v>
      </c>
      <c r="Y7" s="45">
        <f>AP!$X$35</f>
        <v>4018</v>
      </c>
      <c r="AA7" s="45">
        <f>AP!$X$36</f>
        <v>315</v>
      </c>
      <c r="AC7" s="45">
        <f>AP!$X$38</f>
        <v>1183</v>
      </c>
      <c r="AE7" s="45">
        <f>AP!$X$39</f>
        <v>465</v>
      </c>
      <c r="AG7" s="45">
        <f>AP!$X$41</f>
        <v>60850</v>
      </c>
      <c r="AI7" s="45">
        <f>AP!$X$42</f>
        <v>11781</v>
      </c>
      <c r="AK7" s="45">
        <f t="shared" si="9"/>
        <v>179416</v>
      </c>
      <c r="AM7" t="str">
        <f>IF((AK7=AP!X45),"ok","erro")</f>
        <v>ok</v>
      </c>
    </row>
    <row r="8" spans="1:39">
      <c r="A8" s="43" t="s">
        <v>23</v>
      </c>
      <c r="C8" s="45">
        <f>AM!$U$31</f>
        <v>4643.7705084736754</v>
      </c>
      <c r="D8" s="45">
        <f>AM!$U$32</f>
        <v>0.89702596122242539</v>
      </c>
      <c r="E8" s="45">
        <f>AM!$U$33</f>
        <v>318.33246556510221</v>
      </c>
      <c r="F8" s="46">
        <f t="shared" si="13"/>
        <v>4963</v>
      </c>
      <c r="H8" s="45">
        <f>AM!$U$35</f>
        <v>347767.22949152632</v>
      </c>
      <c r="I8" s="45">
        <f>AM!$U$36</f>
        <v>16190</v>
      </c>
      <c r="J8" s="45">
        <f>AM!$U$37</f>
        <v>2100</v>
      </c>
      <c r="K8" s="45">
        <f>AM!$U$38</f>
        <v>67.177357870503329</v>
      </c>
      <c r="L8" s="45">
        <f>AM!$U$39</f>
        <v>5549.5931506031775</v>
      </c>
      <c r="M8" s="46">
        <f t="shared" si="10"/>
        <v>371674</v>
      </c>
      <c r="O8" s="45">
        <f>AM!$U$41</f>
        <v>21147.242673004181</v>
      </c>
      <c r="P8" s="45">
        <f>AM!$U$42</f>
        <v>15.030742688133614</v>
      </c>
      <c r="Q8" s="45">
        <f>AM!$U$43</f>
        <v>61998.726584307689</v>
      </c>
      <c r="R8" s="46">
        <f t="shared" si="11"/>
        <v>83161</v>
      </c>
      <c r="T8" s="45">
        <f>AM!$X$31</f>
        <v>6886.7573269958184</v>
      </c>
      <c r="U8" s="45">
        <f>AM!$X$32</f>
        <v>4.8948734801197133</v>
      </c>
      <c r="V8" s="45">
        <f>AM!$X$33</f>
        <v>20190.347799524061</v>
      </c>
      <c r="W8" s="46">
        <f t="shared" si="12"/>
        <v>27082</v>
      </c>
      <c r="Y8" s="45">
        <f>AM!$X$35</f>
        <v>19915</v>
      </c>
      <c r="AA8" s="45">
        <f>AM!$X$36</f>
        <v>3026</v>
      </c>
      <c r="AC8" s="45">
        <f>AM!$X$38</f>
        <v>8812</v>
      </c>
      <c r="AE8" s="45">
        <f>AM!$X$39</f>
        <v>3528</v>
      </c>
      <c r="AG8" s="45">
        <f>AM!$X$41</f>
        <v>238875</v>
      </c>
      <c r="AI8" s="45">
        <f>AM!$X$42</f>
        <v>53189</v>
      </c>
      <c r="AK8" s="45">
        <f t="shared" si="9"/>
        <v>814225</v>
      </c>
      <c r="AM8" t="str">
        <f>IF((AK8=AM!X45),"ok","erro")</f>
        <v>ok</v>
      </c>
    </row>
    <row r="9" spans="1:39">
      <c r="A9" s="43" t="s">
        <v>24</v>
      </c>
      <c r="C9" s="45">
        <f>PA!$U$31</f>
        <v>12620.189098554421</v>
      </c>
      <c r="D9" s="45">
        <f>PA!$U$32</f>
        <v>1.8109014455785655</v>
      </c>
      <c r="E9" s="45">
        <f>PA!$U$33</f>
        <v>0</v>
      </c>
      <c r="F9" s="46">
        <f t="shared" si="13"/>
        <v>12622</v>
      </c>
      <c r="H9" s="45">
        <f>PA!$U$35</f>
        <v>535979.62779786834</v>
      </c>
      <c r="I9" s="45">
        <f>PA!$U$36</f>
        <v>23811</v>
      </c>
      <c r="J9" s="45">
        <f>PA!$U$37</f>
        <v>324</v>
      </c>
      <c r="K9" s="45">
        <f>PA!$U$38</f>
        <v>80.37220213166438</v>
      </c>
      <c r="L9" s="45">
        <f>PA!$U$39</f>
        <v>0</v>
      </c>
      <c r="M9" s="46">
        <f t="shared" si="10"/>
        <v>560195</v>
      </c>
      <c r="O9" s="45">
        <f>PA!$U$41</f>
        <v>63074.07645079607</v>
      </c>
      <c r="P9" s="45">
        <f>PA!$U$42</f>
        <v>19.432685564708663</v>
      </c>
      <c r="Q9" s="45">
        <f>PA!$U$43</f>
        <v>72352.490863639221</v>
      </c>
      <c r="R9" s="46">
        <f t="shared" si="11"/>
        <v>135446</v>
      </c>
      <c r="T9" s="45">
        <f>PA!$X$31</f>
        <v>17475.923549203926</v>
      </c>
      <c r="U9" s="45">
        <f>PA!$X$32</f>
        <v>5.3842108579992782</v>
      </c>
      <c r="V9" s="45">
        <f>PA!$X$33</f>
        <v>20046.692239938075</v>
      </c>
      <c r="W9" s="46">
        <f t="shared" si="12"/>
        <v>37528</v>
      </c>
      <c r="Y9" s="45">
        <f>PA!$X$35</f>
        <v>59623</v>
      </c>
      <c r="AA9" s="45">
        <f>PA!$X$36</f>
        <v>7677</v>
      </c>
      <c r="AC9" s="45">
        <f>PA!$X$38</f>
        <v>17696</v>
      </c>
      <c r="AE9" s="45">
        <f>PA!$X$39</f>
        <v>6651</v>
      </c>
      <c r="AG9" s="45">
        <f>PA!$X$41</f>
        <v>814618</v>
      </c>
      <c r="AI9" s="45">
        <f>PA!$X$42</f>
        <v>178483</v>
      </c>
      <c r="AK9" s="45">
        <f t="shared" si="9"/>
        <v>1830539</v>
      </c>
      <c r="AM9" t="str">
        <f>IF((AK9=PA!$X45),"ok","erro")</f>
        <v>ok</v>
      </c>
    </row>
    <row r="10" spans="1:39">
      <c r="A10" s="43" t="s">
        <v>25</v>
      </c>
      <c r="C10" s="45">
        <f>RO!$U$31</f>
        <v>3253.6219523664627</v>
      </c>
      <c r="D10" s="45">
        <f>RO!$U$32</f>
        <v>0.37804763353733506</v>
      </c>
      <c r="E10" s="45">
        <f>RO!$U$33</f>
        <v>0</v>
      </c>
      <c r="F10" s="46">
        <f t="shared" si="13"/>
        <v>3254</v>
      </c>
      <c r="H10" s="45">
        <f>RO!$U$35</f>
        <v>250534.67707117368</v>
      </c>
      <c r="I10" s="45">
        <f>RO!$U$36</f>
        <v>10356</v>
      </c>
      <c r="J10" s="45">
        <f>RO!$U$37</f>
        <v>80</v>
      </c>
      <c r="K10" s="45">
        <f>RO!$U$38</f>
        <v>30.322928826324642</v>
      </c>
      <c r="L10" s="45">
        <f>RO!$U$39</f>
        <v>0</v>
      </c>
      <c r="M10" s="46">
        <f t="shared" si="10"/>
        <v>261001</v>
      </c>
      <c r="O10" s="45">
        <f>RO!$U$41</f>
        <v>38241.015094339622</v>
      </c>
      <c r="P10" s="45">
        <f>RO!$U$42</f>
        <v>9.9346131503989454</v>
      </c>
      <c r="Q10" s="45">
        <f>RO!$U$43</f>
        <v>47260.050292509979</v>
      </c>
      <c r="R10" s="46">
        <f t="shared" si="11"/>
        <v>85511</v>
      </c>
      <c r="T10" s="45">
        <f>RO!$X$31</f>
        <v>5251.9849056603771</v>
      </c>
      <c r="U10" s="45">
        <f>RO!$X$32</f>
        <v>1.364410389754994</v>
      </c>
      <c r="V10" s="45">
        <f>RO!$X$33</f>
        <v>6490.6506839498679</v>
      </c>
      <c r="W10" s="46">
        <f t="shared" si="12"/>
        <v>11744</v>
      </c>
      <c r="Y10" s="45">
        <f>RO!$X$35</f>
        <v>30300</v>
      </c>
      <c r="AA10" s="45">
        <f>RO!$X$36</f>
        <v>6256</v>
      </c>
      <c r="AC10" s="45">
        <f>RO!$X$38</f>
        <v>5855</v>
      </c>
      <c r="AE10" s="45">
        <f>RO!$X$39</f>
        <v>1206</v>
      </c>
      <c r="AG10" s="45">
        <f>RO!$X$41</f>
        <v>376828</v>
      </c>
      <c r="AI10" s="45">
        <f>RO!$X$42</f>
        <v>114909</v>
      </c>
      <c r="AK10" s="45">
        <f t="shared" si="9"/>
        <v>896864</v>
      </c>
      <c r="AM10" t="str">
        <f>IF((AK10=RO!$X45),"ok","erro")</f>
        <v>ok</v>
      </c>
    </row>
    <row r="11" spans="1:39">
      <c r="A11" s="43" t="s">
        <v>26</v>
      </c>
      <c r="C11" s="45">
        <f>RR!$U$31</f>
        <v>1169.7389055130091</v>
      </c>
      <c r="D11" s="45">
        <f>RR!$U$32</f>
        <v>0.26109448699094173</v>
      </c>
      <c r="E11" s="45">
        <f>RR!$U$33</f>
        <v>0</v>
      </c>
      <c r="F11" s="46">
        <f t="shared" si="13"/>
        <v>1170</v>
      </c>
      <c r="H11" s="45">
        <f>RR!$U$35</f>
        <v>66777.762793528425</v>
      </c>
      <c r="I11" s="45">
        <f>RR!$U$36</f>
        <v>1444</v>
      </c>
      <c r="J11" s="45">
        <f>RR!$U$37</f>
        <v>43</v>
      </c>
      <c r="K11" s="45">
        <f>RR!$U$38</f>
        <v>15.237206471574609</v>
      </c>
      <c r="L11" s="45">
        <f>RR!$U$39</f>
        <v>0</v>
      </c>
      <c r="M11" s="46">
        <f t="shared" si="10"/>
        <v>68280</v>
      </c>
      <c r="O11" s="45">
        <f>RR!$U$41</f>
        <v>8862.0536124935643</v>
      </c>
      <c r="P11" s="45">
        <f>RR!$U$42</f>
        <v>5.4490642592681979</v>
      </c>
      <c r="Q11" s="45">
        <f>RR!$U$43</f>
        <v>15550.497323247168</v>
      </c>
      <c r="R11" s="46">
        <f t="shared" si="11"/>
        <v>24418</v>
      </c>
      <c r="T11" s="45">
        <f>RR!$X$31</f>
        <v>1711.9463875064355</v>
      </c>
      <c r="U11" s="45">
        <f>RR!$X$32</f>
        <v>1.0526347821678428</v>
      </c>
      <c r="V11" s="45">
        <f>RR!$X$33</f>
        <v>3004.0009777113964</v>
      </c>
      <c r="W11" s="46">
        <f t="shared" si="12"/>
        <v>4717</v>
      </c>
      <c r="Y11" s="45">
        <f>RR!$X$35</f>
        <v>4741</v>
      </c>
      <c r="AA11" s="45">
        <f>RR!$X$36</f>
        <v>674</v>
      </c>
      <c r="AC11" s="45">
        <f>RR!$X$38</f>
        <v>1048</v>
      </c>
      <c r="AE11" s="45">
        <f>RR!$X$39</f>
        <v>665</v>
      </c>
      <c r="AG11" s="45">
        <f>RR!$X$41</f>
        <v>76868</v>
      </c>
      <c r="AI11" s="45">
        <f>RR!$X$42</f>
        <v>19568</v>
      </c>
      <c r="AK11" s="45">
        <f t="shared" si="9"/>
        <v>202149</v>
      </c>
      <c r="AM11" t="str">
        <f>IF((AK11=RR!$X45),"ok","erro")</f>
        <v>ok</v>
      </c>
    </row>
    <row r="12" spans="1:39">
      <c r="A12" s="43" t="s">
        <v>27</v>
      </c>
      <c r="C12" s="45">
        <f>TO!$U$31</f>
        <v>3198.6594297335891</v>
      </c>
      <c r="D12" s="45">
        <f>TO!$U$32</f>
        <v>0.34057026641085031</v>
      </c>
      <c r="E12" s="45">
        <f>TO!$U$33</f>
        <v>0</v>
      </c>
      <c r="F12" s="46">
        <f t="shared" si="13"/>
        <v>3199</v>
      </c>
      <c r="H12" s="45">
        <f>TO!$U$35</f>
        <v>187269.87495548808</v>
      </c>
      <c r="I12" s="45">
        <f>TO!$U$36</f>
        <v>10888</v>
      </c>
      <c r="J12" s="45">
        <f>TO!$U$37</f>
        <v>250</v>
      </c>
      <c r="K12" s="45">
        <f>TO!$U$38</f>
        <v>21.125044511922169</v>
      </c>
      <c r="L12" s="45">
        <f>TO!$U$39</f>
        <v>0</v>
      </c>
      <c r="M12" s="46">
        <f t="shared" si="10"/>
        <v>198429</v>
      </c>
      <c r="O12" s="45">
        <f>TO!$U$41</f>
        <v>28418.581664806206</v>
      </c>
      <c r="P12" s="45">
        <f>TO!$U$42</f>
        <v>6.4533753794967197</v>
      </c>
      <c r="Q12" s="45">
        <f>TO!$U$43</f>
        <v>32191.964959814297</v>
      </c>
      <c r="R12" s="46">
        <f t="shared" si="11"/>
        <v>60617</v>
      </c>
      <c r="T12" s="45">
        <f>TO!$X$31</f>
        <v>4760.4183351937936</v>
      </c>
      <c r="U12" s="45">
        <f>TO!$X$32</f>
        <v>1.0810098421807197</v>
      </c>
      <c r="V12" s="45">
        <f>TO!$X$33</f>
        <v>5392.5006549640257</v>
      </c>
      <c r="W12" s="46">
        <f t="shared" si="12"/>
        <v>10154</v>
      </c>
      <c r="Y12" s="45">
        <f>TO!$X$35</f>
        <v>22245</v>
      </c>
      <c r="AA12" s="45">
        <f>TO!$X$36</f>
        <v>4643</v>
      </c>
      <c r="AC12" s="45">
        <f>TO!$X$38</f>
        <v>5292</v>
      </c>
      <c r="AE12" s="45">
        <f>TO!$X$39</f>
        <v>1616</v>
      </c>
      <c r="AG12" s="45">
        <f>TO!$X$41</f>
        <v>222478</v>
      </c>
      <c r="AI12" s="45">
        <f>TO!$X$42</f>
        <v>90761</v>
      </c>
      <c r="AK12" s="45">
        <f t="shared" si="9"/>
        <v>619434</v>
      </c>
      <c r="AM12" t="str">
        <f>IF((AK12=TO!$X45),"ok","erro")</f>
        <v>ok</v>
      </c>
    </row>
    <row r="13" spans="1:39">
      <c r="A13" s="42" t="s">
        <v>28</v>
      </c>
      <c r="C13" s="46">
        <f>SUM(C14:C22)</f>
        <v>111469.17093662194</v>
      </c>
      <c r="D13" s="46">
        <f>SUM(D14:D22)</f>
        <v>9.8981750296484279</v>
      </c>
      <c r="E13" s="46">
        <f t="shared" ref="E13:AI13" si="14">SUM(E14:E22)</f>
        <v>9688.9308883484118</v>
      </c>
      <c r="F13" s="46">
        <f t="shared" si="13"/>
        <v>121168</v>
      </c>
      <c r="H13" s="46">
        <f>SUM(H14:H22)</f>
        <v>5717994.9542677663</v>
      </c>
      <c r="I13" s="46">
        <f t="shared" ref="I13:J13" si="15">SUM(I14:I22)</f>
        <v>389535</v>
      </c>
      <c r="J13" s="46">
        <f t="shared" si="15"/>
        <v>249128</v>
      </c>
      <c r="K13" s="46">
        <f t="shared" ref="K13" si="16">SUM(K14:K22)</f>
        <v>544.16955429973314</v>
      </c>
      <c r="L13" s="46">
        <f t="shared" si="14"/>
        <v>97888.876177933766</v>
      </c>
      <c r="M13" s="46">
        <f t="shared" si="10"/>
        <v>6455091</v>
      </c>
      <c r="O13" s="46">
        <f>SUM(O14:O22)</f>
        <v>414241.79422860948</v>
      </c>
      <c r="P13" s="46">
        <f>SUM(P14:P22)</f>
        <v>100.66295638684824</v>
      </c>
      <c r="Q13" s="46">
        <f t="shared" si="14"/>
        <v>707875.54281500378</v>
      </c>
      <c r="R13" s="46">
        <f t="shared" si="11"/>
        <v>1122218</v>
      </c>
      <c r="T13" s="46">
        <f t="shared" si="14"/>
        <v>136007.20577139055</v>
      </c>
      <c r="U13" s="46">
        <f>SUM(U14:U22)</f>
        <v>32.269314283896165</v>
      </c>
      <c r="V13" s="46">
        <f>SUM(V14:V22)</f>
        <v>243579.52491432554</v>
      </c>
      <c r="W13" s="46">
        <f t="shared" si="12"/>
        <v>379619</v>
      </c>
      <c r="Y13" s="46">
        <f t="shared" ref="Y13" si="17">SUM(Y14:Y22)</f>
        <v>449477</v>
      </c>
      <c r="AA13" s="46">
        <f>SUM(AA14:AA22)</f>
        <v>56948</v>
      </c>
      <c r="AC13" s="46">
        <f t="shared" ref="AC13" si="18">SUM(AC14:AC22)</f>
        <v>118393</v>
      </c>
      <c r="AE13" s="46">
        <f t="shared" si="14"/>
        <v>85870</v>
      </c>
      <c r="AG13" s="46">
        <f t="shared" ref="AG13" si="19">SUM(AG14:AG22)</f>
        <v>6238046</v>
      </c>
      <c r="AI13" s="46">
        <f t="shared" si="14"/>
        <v>875413</v>
      </c>
      <c r="AK13" s="46">
        <f t="shared" si="9"/>
        <v>15902243</v>
      </c>
    </row>
    <row r="14" spans="1:39">
      <c r="A14" s="43" t="s">
        <v>29</v>
      </c>
      <c r="C14" s="45">
        <f>AL!$U$31</f>
        <v>5081.8777236810602</v>
      </c>
      <c r="D14" s="45">
        <f>AL!$U$32</f>
        <v>7.8814193302605418E-2</v>
      </c>
      <c r="E14" s="45">
        <f>AL!$U$33</f>
        <v>291.04346212563723</v>
      </c>
      <c r="F14" s="46">
        <f t="shared" si="13"/>
        <v>5373</v>
      </c>
      <c r="H14" s="45">
        <f>AL!$U$35</f>
        <v>289846.11668842501</v>
      </c>
      <c r="I14" s="45">
        <f>AL!$U$36</f>
        <v>24057</v>
      </c>
      <c r="J14" s="45">
        <f>AL!$U$37</f>
        <v>19002</v>
      </c>
      <c r="K14" s="45">
        <f>AL!$U$38</f>
        <v>4.8833115749876015</v>
      </c>
      <c r="L14" s="45">
        <f>AL!$U$39</f>
        <v>0</v>
      </c>
      <c r="M14" s="46">
        <f t="shared" si="10"/>
        <v>332910</v>
      </c>
      <c r="O14" s="45">
        <f>AL!$U$41</f>
        <v>17579.642654229385</v>
      </c>
      <c r="P14" s="45">
        <f>AL!$U$42</f>
        <v>0.74580845789751038</v>
      </c>
      <c r="Q14" s="45">
        <f>AL!$U$43</f>
        <v>33263.611537312718</v>
      </c>
      <c r="R14" s="46">
        <f t="shared" si="11"/>
        <v>50844</v>
      </c>
      <c r="T14" s="45">
        <f>AL!$X$31</f>
        <v>6884.357345770617</v>
      </c>
      <c r="U14" s="45">
        <f>AL!$X$32</f>
        <v>0.29206577383956756</v>
      </c>
      <c r="V14" s="45">
        <f>AL!$X$33</f>
        <v>13026.350588455543</v>
      </c>
      <c r="W14" s="46">
        <f t="shared" si="12"/>
        <v>19911</v>
      </c>
      <c r="Y14" s="45">
        <f>AL!$X$35</f>
        <v>20814</v>
      </c>
      <c r="AA14" s="45">
        <f>AL!$X$36</f>
        <v>2311</v>
      </c>
      <c r="AC14" s="45">
        <f>AL!$X$38</f>
        <v>7258</v>
      </c>
      <c r="AE14" s="45">
        <f>AL!$X$39</f>
        <v>6316</v>
      </c>
      <c r="AG14" s="45">
        <f>AL!$X$41</f>
        <v>266544</v>
      </c>
      <c r="AI14" s="45">
        <f>AL!$X$42</f>
        <v>37565</v>
      </c>
      <c r="AK14" s="45">
        <f t="shared" si="9"/>
        <v>749846</v>
      </c>
      <c r="AM14" t="str">
        <f>IF((AK14=AL!$X45),"ok","erro")</f>
        <v>ok</v>
      </c>
    </row>
    <row r="15" spans="1:39">
      <c r="A15" s="43" t="s">
        <v>30</v>
      </c>
      <c r="C15" s="45">
        <f>BA!$U$31</f>
        <v>22884.104138094925</v>
      </c>
      <c r="D15" s="45">
        <f>BA!$U$32</f>
        <v>2.4316243035027583</v>
      </c>
      <c r="E15" s="45">
        <f>BA!$U$33</f>
        <v>3267.4642376015727</v>
      </c>
      <c r="F15" s="46">
        <f t="shared" si="13"/>
        <v>26154</v>
      </c>
      <c r="H15" s="45">
        <f>BA!$U$35</f>
        <v>1505115.8958619051</v>
      </c>
      <c r="I15" s="45">
        <f>BA!$U$36</f>
        <v>98878</v>
      </c>
      <c r="J15" s="45">
        <f>BA!$U$37</f>
        <v>49827</v>
      </c>
      <c r="K15" s="45">
        <f>BA!$U$38</f>
        <v>159.93094463646412</v>
      </c>
      <c r="L15" s="45">
        <f>BA!$U$39</f>
        <v>66200.173193458468</v>
      </c>
      <c r="M15" s="46">
        <f t="shared" si="10"/>
        <v>1720181</v>
      </c>
      <c r="O15" s="45">
        <f>BA!$U$41</f>
        <v>96048.289333702443</v>
      </c>
      <c r="P15" s="45">
        <f>BA!$U$42</f>
        <v>30.617788956966251</v>
      </c>
      <c r="Q15" s="45">
        <f>BA!$U$43</f>
        <v>233239.09287734059</v>
      </c>
      <c r="R15" s="46">
        <f t="shared" si="11"/>
        <v>329318</v>
      </c>
      <c r="T15" s="45">
        <f>BA!$X$31</f>
        <v>31431.71066629756</v>
      </c>
      <c r="U15" s="45">
        <f>BA!$X$32</f>
        <v>10.019642103085062</v>
      </c>
      <c r="V15" s="45">
        <f>BA!$X$33</f>
        <v>76327.269691599358</v>
      </c>
      <c r="W15" s="46">
        <f t="shared" si="12"/>
        <v>107769</v>
      </c>
      <c r="Y15" s="45">
        <f>BA!$X$35</f>
        <v>116036</v>
      </c>
      <c r="AA15" s="45">
        <f>BA!$X$36</f>
        <v>20061</v>
      </c>
      <c r="AC15" s="45">
        <f>BA!$X$38</f>
        <v>38777</v>
      </c>
      <c r="AE15" s="45">
        <f>BA!$X$39</f>
        <v>28082</v>
      </c>
      <c r="AG15" s="45">
        <f>BA!$X$41</f>
        <v>1230033</v>
      </c>
      <c r="AI15" s="45">
        <f>BA!$X$42</f>
        <v>178830</v>
      </c>
      <c r="AK15" s="45">
        <f t="shared" si="9"/>
        <v>3795241</v>
      </c>
      <c r="AM15" t="str">
        <f>IF((AK15=BA!$X45),"ok","erro")</f>
        <v>ok</v>
      </c>
    </row>
    <row r="16" spans="1:39">
      <c r="A16" s="43" t="s">
        <v>31</v>
      </c>
      <c r="C16" s="45">
        <f>CE!$U$31</f>
        <v>28964.148073750657</v>
      </c>
      <c r="D16" s="45">
        <f>CE!$U$32</f>
        <v>1.8519262493427959</v>
      </c>
      <c r="E16" s="45">
        <f>CE!$U$33</f>
        <v>0</v>
      </c>
      <c r="F16" s="46">
        <f t="shared" si="13"/>
        <v>28966</v>
      </c>
      <c r="H16" s="45">
        <f>CE!$U$35</f>
        <v>973790.12306124251</v>
      </c>
      <c r="I16" s="45">
        <f>CE!$U$36</f>
        <v>62694</v>
      </c>
      <c r="J16" s="45">
        <f>CE!$U$37</f>
        <v>40752</v>
      </c>
      <c r="K16" s="45">
        <f>CE!$U$38</f>
        <v>68.876938757486641</v>
      </c>
      <c r="L16" s="45">
        <f>CE!$U$39</f>
        <v>0</v>
      </c>
      <c r="M16" s="46">
        <f t="shared" si="10"/>
        <v>1077305</v>
      </c>
      <c r="O16" s="45">
        <f>CE!$U$41</f>
        <v>85484.077486016671</v>
      </c>
      <c r="P16" s="45">
        <f>CE!$U$42</f>
        <v>11.589787432720186</v>
      </c>
      <c r="Q16" s="45">
        <f>CE!$U$43</f>
        <v>95780.332726550609</v>
      </c>
      <c r="R16" s="46">
        <f t="shared" si="11"/>
        <v>181276</v>
      </c>
      <c r="T16" s="45">
        <f>CE!$X$31</f>
        <v>27152.922513983318</v>
      </c>
      <c r="U16" s="45">
        <f>CE!$X$32</f>
        <v>3.6813475604940322</v>
      </c>
      <c r="V16" s="45">
        <f>CE!$X$33</f>
        <v>30423.396138456188</v>
      </c>
      <c r="W16" s="46">
        <f t="shared" si="12"/>
        <v>57580</v>
      </c>
      <c r="Y16" s="45">
        <f>CE!$X$35</f>
        <v>71409</v>
      </c>
      <c r="AA16" s="45">
        <f>CE!$X$36</f>
        <v>8077</v>
      </c>
      <c r="AC16" s="45">
        <f>CE!$X$38</f>
        <v>16971</v>
      </c>
      <c r="AE16" s="45">
        <f>CE!$X$39</f>
        <v>11772</v>
      </c>
      <c r="AG16" s="45">
        <f>CE!$X$41</f>
        <v>1306125</v>
      </c>
      <c r="AI16" s="45">
        <f>CE!$X$42</f>
        <v>154473</v>
      </c>
      <c r="AK16" s="45">
        <f t="shared" si="9"/>
        <v>2913954</v>
      </c>
      <c r="AM16" t="str">
        <f>IF((AK16=CE!$X45),"ok","erro")</f>
        <v>ok</v>
      </c>
    </row>
    <row r="17" spans="1:39">
      <c r="A17" s="43" t="s">
        <v>32</v>
      </c>
      <c r="C17" s="45">
        <f>MA!$U$31</f>
        <v>8930.2532847182247</v>
      </c>
      <c r="D17" s="45">
        <f>MA!$U$32</f>
        <v>1.7467152817753231</v>
      </c>
      <c r="E17" s="45">
        <f>MA!$U$33</f>
        <v>0</v>
      </c>
      <c r="F17" s="46">
        <f t="shared" si="13"/>
        <v>8932</v>
      </c>
      <c r="H17" s="45">
        <f>MA!$U$35</f>
        <v>392578.47517431073</v>
      </c>
      <c r="I17" s="45">
        <f>MA!$U$36</f>
        <v>13757</v>
      </c>
      <c r="J17" s="45">
        <f>MA!$U$37</f>
        <v>243</v>
      </c>
      <c r="K17" s="45">
        <f>MA!$U$38</f>
        <v>79.524825689266436</v>
      </c>
      <c r="L17" s="45">
        <f>MA!$U$39</f>
        <v>0</v>
      </c>
      <c r="M17" s="46">
        <f t="shared" si="10"/>
        <v>406658</v>
      </c>
      <c r="O17" s="45">
        <f>MA!$U$41</f>
        <v>48983.096446623349</v>
      </c>
      <c r="P17" s="45">
        <f>MA!$U$42</f>
        <v>21.346221820145729</v>
      </c>
      <c r="Q17" s="45">
        <f>MA!$U$43</f>
        <v>60151.557331556505</v>
      </c>
      <c r="R17" s="46">
        <f t="shared" si="11"/>
        <v>109156</v>
      </c>
      <c r="T17" s="45">
        <f>MA!$X$31</f>
        <v>10055.903553376658</v>
      </c>
      <c r="U17" s="45">
        <f>MA!$X$32</f>
        <v>4.382237208836159</v>
      </c>
      <c r="V17" s="45">
        <f>MA!$X$33</f>
        <v>12348.714209414506</v>
      </c>
      <c r="W17" s="46">
        <f t="shared" si="12"/>
        <v>22409</v>
      </c>
      <c r="Y17" s="45">
        <f>MA!$X$35</f>
        <v>39518</v>
      </c>
      <c r="AA17" s="45">
        <f>MA!$X$36</f>
        <v>4253</v>
      </c>
      <c r="AC17" s="45">
        <f>MA!$X$38</f>
        <v>8643</v>
      </c>
      <c r="AE17" s="45">
        <f>MA!$X$39</f>
        <v>4712</v>
      </c>
      <c r="AG17" s="45">
        <f>MA!$X$41</f>
        <v>803456</v>
      </c>
      <c r="AI17" s="45">
        <f>MA!$X$42</f>
        <v>147234</v>
      </c>
      <c r="AK17" s="45">
        <f>SUM(F17,M17,R17,W17,Y17,AA17,AC17,AE17,AG17,AI17)</f>
        <v>1554971</v>
      </c>
      <c r="AM17" t="str">
        <f>IF((AK17=MA!$X45),"ok","erro")</f>
        <v>ok</v>
      </c>
    </row>
    <row r="18" spans="1:39">
      <c r="A18" s="43" t="s">
        <v>33</v>
      </c>
      <c r="C18" s="45">
        <f>PB!$U$31</f>
        <v>8421.4937747465483</v>
      </c>
      <c r="D18" s="45">
        <f>PB!$U$32</f>
        <v>0.40095659057988087</v>
      </c>
      <c r="E18" s="45">
        <f>PB!$U$33</f>
        <v>582.10526866287182</v>
      </c>
      <c r="F18" s="46">
        <f t="shared" si="13"/>
        <v>9004</v>
      </c>
      <c r="H18" s="45">
        <f>PB!$U$35</f>
        <v>442679.98617396754</v>
      </c>
      <c r="I18" s="45">
        <f>PB!$U$36</f>
        <v>29294</v>
      </c>
      <c r="J18" s="45">
        <f>PB!$U$37</f>
        <v>22353</v>
      </c>
      <c r="K18" s="45">
        <f>PB!$U$38</f>
        <v>22.013826032460202</v>
      </c>
      <c r="L18" s="45">
        <f>PB!$U$39</f>
        <v>0</v>
      </c>
      <c r="M18" s="46">
        <f t="shared" si="10"/>
        <v>494349</v>
      </c>
      <c r="O18" s="45">
        <f>PB!$U$41</f>
        <v>29420.700535122902</v>
      </c>
      <c r="P18" s="45">
        <f>PB!$U$42</f>
        <v>3.4193528169998899</v>
      </c>
      <c r="Q18" s="45">
        <f>PB!$U$43</f>
        <v>47361.880112060098</v>
      </c>
      <c r="R18" s="46">
        <f t="shared" si="11"/>
        <v>76786</v>
      </c>
      <c r="T18" s="45">
        <f>PB!$X$31</f>
        <v>10031.299464877098</v>
      </c>
      <c r="U18" s="45">
        <f>PB!$X$32</f>
        <v>1.1658645599673036</v>
      </c>
      <c r="V18" s="45">
        <f>PB!$X$33</f>
        <v>16148.534670562934</v>
      </c>
      <c r="W18" s="46">
        <f t="shared" si="12"/>
        <v>26181</v>
      </c>
      <c r="Y18" s="45">
        <f>PB!$X$35</f>
        <v>28645</v>
      </c>
      <c r="AA18" s="45">
        <f>PB!$X$36</f>
        <v>2645</v>
      </c>
      <c r="AC18" s="45">
        <f>PB!$X$38</f>
        <v>7194</v>
      </c>
      <c r="AE18" s="45">
        <f>PB!$X$39</f>
        <v>4605</v>
      </c>
      <c r="AG18" s="45">
        <f>PB!$X$41</f>
        <v>460132</v>
      </c>
      <c r="AI18" s="45">
        <f>PB!$X$42</f>
        <v>63680</v>
      </c>
      <c r="AK18" s="45">
        <f t="shared" si="9"/>
        <v>1173221</v>
      </c>
      <c r="AM18" t="str">
        <f>IF((AK18=PB!$X45),"ok","erro")</f>
        <v>ok</v>
      </c>
    </row>
    <row r="19" spans="1:39">
      <c r="A19" s="43" t="s">
        <v>34</v>
      </c>
      <c r="C19" s="45">
        <f>PE!$U$31</f>
        <v>15990.197398213557</v>
      </c>
      <c r="D19" s="45">
        <f>PE!$U$32</f>
        <v>1.7378928477191948</v>
      </c>
      <c r="E19" s="45">
        <f>PE!$U$33</f>
        <v>2034.0647089387239</v>
      </c>
      <c r="F19" s="46">
        <f t="shared" si="13"/>
        <v>18026</v>
      </c>
      <c r="H19" s="45">
        <f>PE!$U$35</f>
        <v>1115056.8026017866</v>
      </c>
      <c r="I19" s="45">
        <f>PE!$U$36</f>
        <v>93933</v>
      </c>
      <c r="J19" s="45">
        <f>PE!$U$37</f>
        <v>47226</v>
      </c>
      <c r="K19" s="45">
        <f>PE!$U$38</f>
        <v>121.18982610316016</v>
      </c>
      <c r="L19" s="45">
        <f>PE!$U$39</f>
        <v>684.00757211027667</v>
      </c>
      <c r="M19" s="46">
        <f t="shared" si="10"/>
        <v>1257021</v>
      </c>
      <c r="O19" s="45">
        <f>PE!$U$41</f>
        <v>54217.936298825647</v>
      </c>
      <c r="P19" s="45">
        <f>PE!$U$42</f>
        <v>16.673011943814345</v>
      </c>
      <c r="Q19" s="45">
        <f>PE!$U$43</f>
        <v>118703.39068923054</v>
      </c>
      <c r="R19" s="46">
        <f t="shared" si="11"/>
        <v>172938</v>
      </c>
      <c r="T19" s="45">
        <f>PE!$X$31</f>
        <v>27313.063701174353</v>
      </c>
      <c r="U19" s="45">
        <f>PE!$X$32</f>
        <v>8.3992691053717863</v>
      </c>
      <c r="V19" s="45">
        <f>PE!$X$33</f>
        <v>59798.537029720275</v>
      </c>
      <c r="W19" s="46">
        <f t="shared" si="12"/>
        <v>87120</v>
      </c>
      <c r="Y19" s="45">
        <f>PE!$X$35</f>
        <v>92019</v>
      </c>
      <c r="AA19" s="45">
        <f>PE!$X$36</f>
        <v>11583</v>
      </c>
      <c r="AC19" s="45">
        <f>PE!$X$38</f>
        <v>19365</v>
      </c>
      <c r="AE19" s="45">
        <f>PE!$X$39</f>
        <v>18417</v>
      </c>
      <c r="AG19" s="45">
        <f>PE!$X$41</f>
        <v>991412</v>
      </c>
      <c r="AI19" s="45">
        <f>PE!$X$42</f>
        <v>101588</v>
      </c>
      <c r="AK19" s="45">
        <f t="shared" si="9"/>
        <v>2769489</v>
      </c>
      <c r="AM19" t="str">
        <f>IF((AK19=PE!$X45),"ok","erro")</f>
        <v>ok</v>
      </c>
    </row>
    <row r="20" spans="1:39">
      <c r="A20" s="43" t="s">
        <v>35</v>
      </c>
      <c r="C20" s="45">
        <f>PI!$U$31</f>
        <v>6224.2711509146338</v>
      </c>
      <c r="D20" s="45">
        <f>PI!$U$32</f>
        <v>0.72884908536616422</v>
      </c>
      <c r="E20" s="45">
        <f>PI!$U$33</f>
        <v>0</v>
      </c>
      <c r="F20" s="46">
        <f t="shared" si="13"/>
        <v>6225</v>
      </c>
      <c r="H20" s="45">
        <f>PI!$U$35</f>
        <v>312791.13846927346</v>
      </c>
      <c r="I20" s="45">
        <f>PI!$U$36</f>
        <v>18406</v>
      </c>
      <c r="J20" s="45">
        <f>PI!$U$37</f>
        <v>675</v>
      </c>
      <c r="K20" s="45">
        <f>PI!$U$38</f>
        <v>38.861530726542696</v>
      </c>
      <c r="L20" s="45">
        <f>PI!$U$39</f>
        <v>0</v>
      </c>
      <c r="M20" s="46">
        <f t="shared" si="10"/>
        <v>331911</v>
      </c>
      <c r="O20" s="45">
        <f>PI!$U$41</f>
        <v>38582.444596092275</v>
      </c>
      <c r="P20" s="45">
        <f>PI!$U$42</f>
        <v>9.4895565493643517</v>
      </c>
      <c r="Q20" s="45">
        <f>PI!$U$43</f>
        <v>42457.065847358361</v>
      </c>
      <c r="R20" s="46">
        <f t="shared" si="11"/>
        <v>81049</v>
      </c>
      <c r="T20" s="45">
        <f>PI!$X$31</f>
        <v>7806.5554039077251</v>
      </c>
      <c r="U20" s="45">
        <f>PI!$X$32</f>
        <v>1.9200636386995029</v>
      </c>
      <c r="V20" s="45">
        <f>PI!$X$33</f>
        <v>8590.5245324535754</v>
      </c>
      <c r="W20" s="46">
        <f t="shared" si="12"/>
        <v>16399</v>
      </c>
      <c r="Y20" s="45">
        <f>PI!$X$35</f>
        <v>28037</v>
      </c>
      <c r="AA20" s="45">
        <f>PI!$X$36</f>
        <v>2436</v>
      </c>
      <c r="AC20" s="45">
        <f>PI!$X$38</f>
        <v>6748</v>
      </c>
      <c r="AE20" s="45">
        <f>PI!$X$39</f>
        <v>3568</v>
      </c>
      <c r="AG20" s="45">
        <f>PI!$X$41</f>
        <v>526935</v>
      </c>
      <c r="AI20" s="45">
        <f>PI!$X$42</f>
        <v>93281</v>
      </c>
      <c r="AK20" s="45">
        <f t="shared" si="9"/>
        <v>1096589</v>
      </c>
      <c r="AM20" t="str">
        <f>IF((AK20=PI!$X45),"ok","erro")</f>
        <v>ok</v>
      </c>
    </row>
    <row r="21" spans="1:39">
      <c r="A21" s="43" t="s">
        <v>36</v>
      </c>
      <c r="C21" s="45">
        <f>RN!$U$31</f>
        <v>11387.125868973608</v>
      </c>
      <c r="D21" s="45">
        <f>RN!$U$32</f>
        <v>0.53603134577315359</v>
      </c>
      <c r="E21" s="45">
        <f>RN!$U$33</f>
        <v>3005.3380996806191</v>
      </c>
      <c r="F21" s="46">
        <f t="shared" si="13"/>
        <v>14393</v>
      </c>
      <c r="H21" s="45">
        <f>RN!$U$35</f>
        <v>412768.87413102639</v>
      </c>
      <c r="I21" s="45">
        <f>RN!$U$36</f>
        <v>30063</v>
      </c>
      <c r="J21" s="45">
        <f>RN!$U$37</f>
        <v>47872</v>
      </c>
      <c r="K21" s="45">
        <f>RN!$U$38</f>
        <v>19.430456608592067</v>
      </c>
      <c r="L21" s="45">
        <f>RN!$U$39</f>
        <v>31004.695412365021</v>
      </c>
      <c r="M21" s="46">
        <f t="shared" si="10"/>
        <v>521728</v>
      </c>
      <c r="O21" s="45">
        <f>RN!$U$41</f>
        <v>30357.280765253363</v>
      </c>
      <c r="P21" s="45">
        <f>RN!$U$42</f>
        <v>3.0071086627576733</v>
      </c>
      <c r="Q21" s="45">
        <f>RN!$U$43</f>
        <v>50383.712126083876</v>
      </c>
      <c r="R21" s="46">
        <f t="shared" si="11"/>
        <v>80744</v>
      </c>
      <c r="T21" s="45">
        <f>RN!$X$31</f>
        <v>10361.719234746639</v>
      </c>
      <c r="U21" s="45">
        <f>RN!$X$32</f>
        <v>1.0264033828607353</v>
      </c>
      <c r="V21" s="45">
        <f>RN!$X$33</f>
        <v>17197.254361870502</v>
      </c>
      <c r="W21" s="46">
        <f t="shared" si="12"/>
        <v>27560</v>
      </c>
      <c r="Y21" s="45">
        <f>RN!$X$35</f>
        <v>32103</v>
      </c>
      <c r="AA21" s="45">
        <f>RN!$X$36</f>
        <v>3172</v>
      </c>
      <c r="AC21" s="45">
        <f>RN!$X$38</f>
        <v>6653</v>
      </c>
      <c r="AE21" s="45">
        <f>RN!$X$39</f>
        <v>4987</v>
      </c>
      <c r="AG21" s="45">
        <f>RN!$X$41</f>
        <v>416343</v>
      </c>
      <c r="AI21" s="45">
        <f>RN!$X$42</f>
        <v>58003</v>
      </c>
      <c r="AK21" s="45">
        <f t="shared" si="9"/>
        <v>1165686</v>
      </c>
      <c r="AM21" t="str">
        <f>IF((AK21=RN!$X45),"ok","erro")</f>
        <v>ok</v>
      </c>
    </row>
    <row r="22" spans="1:39">
      <c r="A22" s="43" t="s">
        <v>37</v>
      </c>
      <c r="C22" s="45">
        <f>SE!$U$31</f>
        <v>3585.6995235287254</v>
      </c>
      <c r="D22" s="45">
        <f>SE!$U$32</f>
        <v>0.38536513228655167</v>
      </c>
      <c r="E22" s="45">
        <f>SE!$U$33</f>
        <v>508.91511133898803</v>
      </c>
      <c r="F22" s="46">
        <f t="shared" si="13"/>
        <v>4095</v>
      </c>
      <c r="H22" s="45">
        <f>SE!$U$35</f>
        <v>273367.54210582923</v>
      </c>
      <c r="I22" s="45">
        <f>SE!$U$36</f>
        <v>18453</v>
      </c>
      <c r="J22" s="45">
        <f>SE!$U$37</f>
        <v>21178</v>
      </c>
      <c r="K22" s="45">
        <f>SE!$U$38</f>
        <v>29.457894170773216</v>
      </c>
      <c r="L22" s="45">
        <f>SE!$U$39</f>
        <v>0</v>
      </c>
      <c r="M22" s="46">
        <f t="shared" si="10"/>
        <v>313028</v>
      </c>
      <c r="O22" s="45">
        <f>SE!$U$41</f>
        <v>13568.3261127434</v>
      </c>
      <c r="P22" s="45">
        <f>SE!$U$42</f>
        <v>3.7743197461823002</v>
      </c>
      <c r="Q22" s="45">
        <f>SE!$U$43</f>
        <v>26534.899567510416</v>
      </c>
      <c r="R22" s="46">
        <f t="shared" si="11"/>
        <v>40107</v>
      </c>
      <c r="T22" s="45">
        <f>SE!$X$31</f>
        <v>4969.673887256602</v>
      </c>
      <c r="U22" s="45">
        <f>SE!$X$32</f>
        <v>1.3824209507420164</v>
      </c>
      <c r="V22" s="45">
        <f>SE!$X$33</f>
        <v>9718.943691792656</v>
      </c>
      <c r="W22" s="46">
        <f t="shared" si="12"/>
        <v>14690</v>
      </c>
      <c r="Y22" s="45">
        <f>SE!$X$35</f>
        <v>20896</v>
      </c>
      <c r="AA22" s="45">
        <f>SE!$X$36</f>
        <v>2410</v>
      </c>
      <c r="AC22" s="45">
        <f>SE!$X$38</f>
        <v>6784</v>
      </c>
      <c r="AE22" s="45">
        <f>SE!$X$39</f>
        <v>3411</v>
      </c>
      <c r="AG22" s="45">
        <f>SE!$X$41</f>
        <v>237066</v>
      </c>
      <c r="AI22" s="45">
        <f>SE!$X$42</f>
        <v>40759</v>
      </c>
      <c r="AK22" s="45">
        <f t="shared" si="9"/>
        <v>683246</v>
      </c>
      <c r="AM22" t="str">
        <f>IF((AK22=SE!$X45),"ok","erro")</f>
        <v>ok</v>
      </c>
    </row>
    <row r="23" spans="1:39">
      <c r="A23" s="44" t="s">
        <v>38</v>
      </c>
      <c r="C23" s="46">
        <f>SUM(C24:C27)</f>
        <v>209816.49418472295</v>
      </c>
      <c r="D23" s="46">
        <f>SUM(D24:D27)</f>
        <v>48.63409593223696</v>
      </c>
      <c r="E23" s="46">
        <f t="shared" ref="E23:AI23" si="20">SUM(E24:E27)</f>
        <v>164526.87171934481</v>
      </c>
      <c r="F23" s="46">
        <f t="shared" si="13"/>
        <v>374392</v>
      </c>
      <c r="H23" s="46">
        <f t="shared" ref="H23:J23" si="21">SUM(H24:H27)</f>
        <v>16035056.505815279</v>
      </c>
      <c r="I23" s="46">
        <f t="shared" si="21"/>
        <v>2631800</v>
      </c>
      <c r="J23" s="46">
        <f t="shared" si="21"/>
        <v>1536307</v>
      </c>
      <c r="K23" s="46">
        <f t="shared" ref="K23" si="22">SUM(K24:K27)</f>
        <v>3623.4407810992561</v>
      </c>
      <c r="L23" s="46">
        <f t="shared" si="20"/>
        <v>8342075.0534036215</v>
      </c>
      <c r="M23" s="46">
        <f t="shared" si="10"/>
        <v>28548862</v>
      </c>
      <c r="O23" s="46">
        <f t="shared" si="20"/>
        <v>671050.17533431808</v>
      </c>
      <c r="P23" s="46">
        <f t="shared" ref="P23" si="23">SUM(P24:P27)</f>
        <v>398.22249541798374</v>
      </c>
      <c r="Q23" s="46">
        <f t="shared" si="20"/>
        <v>2523256.6021702639</v>
      </c>
      <c r="R23" s="46">
        <f t="shared" si="11"/>
        <v>3194705</v>
      </c>
      <c r="T23" s="46">
        <f t="shared" si="20"/>
        <v>357542.82466568204</v>
      </c>
      <c r="U23" s="46">
        <f t="shared" ref="U23" si="24">SUM(U24:U27)</f>
        <v>228.70262755123986</v>
      </c>
      <c r="V23" s="46">
        <f t="shared" si="20"/>
        <v>1414167.4727067668</v>
      </c>
      <c r="W23" s="46">
        <f t="shared" si="12"/>
        <v>1771939</v>
      </c>
      <c r="Y23" s="46">
        <f t="shared" ref="Y23" si="25">SUM(Y24:Y27)</f>
        <v>1213710</v>
      </c>
      <c r="AA23" s="46">
        <f t="shared" si="20"/>
        <v>263619</v>
      </c>
      <c r="AC23" s="46">
        <f t="shared" ref="AC23" si="26">SUM(AC24:AC27)</f>
        <v>291337</v>
      </c>
      <c r="AE23" s="46">
        <f t="shared" si="20"/>
        <v>210561</v>
      </c>
      <c r="AG23" s="46">
        <f t="shared" ref="AG23" si="27">SUM(AG24:AG27)</f>
        <v>8197558</v>
      </c>
      <c r="AI23" s="46">
        <f t="shared" si="20"/>
        <v>1383603</v>
      </c>
      <c r="AK23" s="46">
        <f t="shared" si="9"/>
        <v>45450286</v>
      </c>
    </row>
    <row r="24" spans="1:39">
      <c r="A24" s="43" t="s">
        <v>39</v>
      </c>
      <c r="C24" s="45">
        <f>ES!$U$31</f>
        <v>12531.202836777322</v>
      </c>
      <c r="D24" s="45">
        <f>ES!$U$32</f>
        <v>2.2517276854305237</v>
      </c>
      <c r="E24" s="45">
        <f>ES!$U$33</f>
        <v>4275.5454355372476</v>
      </c>
      <c r="F24" s="46">
        <f t="shared" si="13"/>
        <v>16809</v>
      </c>
      <c r="H24" s="45">
        <f>ES!$U$35</f>
        <v>681313.79716322268</v>
      </c>
      <c r="I24" s="45">
        <f>ES!$U$36</f>
        <v>53180</v>
      </c>
      <c r="J24" s="45">
        <f>ES!$U$37</f>
        <v>33115</v>
      </c>
      <c r="K24" s="45">
        <f>ES!$U$38</f>
        <v>122.42505045374855</v>
      </c>
      <c r="L24" s="45">
        <f>ES!$U$39</f>
        <v>146163.77778632357</v>
      </c>
      <c r="M24" s="46">
        <f t="shared" si="10"/>
        <v>913895</v>
      </c>
      <c r="O24" s="45">
        <f>ES!$U$41</f>
        <v>50482.585245304617</v>
      </c>
      <c r="P24" s="45">
        <f>ES!$U$42</f>
        <v>21.009293122100644</v>
      </c>
      <c r="Q24" s="45">
        <f>ES!$U$43</f>
        <v>106329.40546157327</v>
      </c>
      <c r="R24" s="46">
        <f t="shared" si="11"/>
        <v>156833</v>
      </c>
      <c r="T24" s="45">
        <f>ES!$X$31</f>
        <v>17574.414754695386</v>
      </c>
      <c r="U24" s="45">
        <f>ES!$X$32</f>
        <v>7.3139287387239165</v>
      </c>
      <c r="V24" s="45">
        <f>ES!$X$33</f>
        <v>37016.271316565893</v>
      </c>
      <c r="W24" s="46">
        <f t="shared" si="12"/>
        <v>54598</v>
      </c>
      <c r="Y24" s="45">
        <f>ES!$X$35</f>
        <v>71447</v>
      </c>
      <c r="AA24" s="45">
        <f>ES!$X$36</f>
        <v>17061</v>
      </c>
      <c r="AC24" s="45">
        <f>ES!$X$38</f>
        <v>14541</v>
      </c>
      <c r="AE24" s="45">
        <f>ES!$X$39</f>
        <v>7948</v>
      </c>
      <c r="AG24" s="45">
        <f>ES!$X$41</f>
        <v>427854</v>
      </c>
      <c r="AI24" s="45">
        <f>ES!$X$42</f>
        <v>101443</v>
      </c>
      <c r="AK24" s="45">
        <f t="shared" si="9"/>
        <v>1782429</v>
      </c>
      <c r="AM24" t="str">
        <f>IF((AK24=ES!$X45),"ok","erro")</f>
        <v>ok</v>
      </c>
    </row>
    <row r="25" spans="1:39">
      <c r="A25" s="43" t="s">
        <v>40</v>
      </c>
      <c r="C25" s="45">
        <f>MG!$U$31</f>
        <v>40943.450917458562</v>
      </c>
      <c r="D25" s="45">
        <f>MG!$U$32</f>
        <v>4.4212496948603075</v>
      </c>
      <c r="E25" s="45">
        <f>MG!$U$33</f>
        <v>21024.127832846578</v>
      </c>
      <c r="F25" s="46">
        <f t="shared" si="13"/>
        <v>61972</v>
      </c>
      <c r="H25" s="45">
        <f>MG!$U$35</f>
        <v>3813261.5490825418</v>
      </c>
      <c r="I25" s="45">
        <f>MG!$U$36</f>
        <v>434611</v>
      </c>
      <c r="J25" s="45">
        <f>MG!$U$37</f>
        <v>31591</v>
      </c>
      <c r="K25" s="45">
        <f>MG!$U$38</f>
        <v>411.77236120868474</v>
      </c>
      <c r="L25" s="45">
        <f>MG!$U$39</f>
        <v>1491876.6785562495</v>
      </c>
      <c r="M25" s="46">
        <f t="shared" si="10"/>
        <v>5771752</v>
      </c>
      <c r="O25" s="45">
        <f>MG!$U$41</f>
        <v>202024.76504794759</v>
      </c>
      <c r="P25" s="45">
        <f>MG!$U$42</f>
        <v>60.440963200875558</v>
      </c>
      <c r="Q25" s="45">
        <f>MG!$U$43</f>
        <v>645106.7939888516</v>
      </c>
      <c r="R25" s="46">
        <f t="shared" si="11"/>
        <v>847192</v>
      </c>
      <c r="T25" s="45">
        <f>MG!$X$31</f>
        <v>71414.234952052371</v>
      </c>
      <c r="U25" s="45">
        <f>MG!$X$32</f>
        <v>21.365425895841327</v>
      </c>
      <c r="V25" s="45">
        <f>MG!$X$33</f>
        <v>228040.3996220518</v>
      </c>
      <c r="W25" s="46">
        <f t="shared" si="12"/>
        <v>299476</v>
      </c>
      <c r="Y25" s="45">
        <f>MG!$X$35</f>
        <v>326296</v>
      </c>
      <c r="AA25" s="45">
        <f>MG!$X$36</f>
        <v>65943</v>
      </c>
      <c r="AC25" s="45">
        <f>MG!$X$38</f>
        <v>74667</v>
      </c>
      <c r="AE25" s="45">
        <f>MG!$X$39</f>
        <v>45245</v>
      </c>
      <c r="AG25" s="45">
        <f>MG!$X$41</f>
        <v>2418883</v>
      </c>
      <c r="AI25" s="45">
        <f>MG!$X$42</f>
        <v>274274</v>
      </c>
      <c r="AK25" s="45">
        <f t="shared" si="9"/>
        <v>10185700</v>
      </c>
      <c r="AM25" t="str">
        <f>IF((AK25=MG!$X45),"ok","erro")</f>
        <v>ok</v>
      </c>
    </row>
    <row r="26" spans="1:39">
      <c r="A26" s="43" t="s">
        <v>41</v>
      </c>
      <c r="C26" s="45">
        <f>RJ!$U$31</f>
        <v>24797.840869775493</v>
      </c>
      <c r="D26" s="45">
        <f>RJ!$U$32</f>
        <v>4.8835357799107442</v>
      </c>
      <c r="E26" s="45">
        <f>RJ!$U$33</f>
        <v>31327.275594444596</v>
      </c>
      <c r="F26" s="46">
        <f t="shared" si="13"/>
        <v>56130</v>
      </c>
      <c r="H26" s="45">
        <f>RJ!$U$35</f>
        <v>1926379.1591302245</v>
      </c>
      <c r="I26" s="45">
        <f>RJ!$U$36</f>
        <v>308584</v>
      </c>
      <c r="J26" s="45">
        <f>RJ!$U$37</f>
        <v>1195547</v>
      </c>
      <c r="K26" s="45">
        <f>RJ!$U$38</f>
        <v>379.3693813374266</v>
      </c>
      <c r="L26" s="45">
        <f>RJ!$U$39</f>
        <v>929476.47148843808</v>
      </c>
      <c r="M26" s="46">
        <f t="shared" si="10"/>
        <v>4360366</v>
      </c>
      <c r="O26" s="45">
        <f>RJ!$U$41</f>
        <v>54206.863834147582</v>
      </c>
      <c r="P26" s="45">
        <f>RJ!$U$42</f>
        <v>28.734905497345608</v>
      </c>
      <c r="Q26" s="45">
        <f>RJ!$U43</f>
        <v>276035.40126035508</v>
      </c>
      <c r="R26" s="46">
        <f t="shared" si="11"/>
        <v>330271</v>
      </c>
      <c r="T26" s="45">
        <f>RJ!$X$31</f>
        <v>47184.136165852433</v>
      </c>
      <c r="U26" s="45">
        <f>RJ!$X$32</f>
        <v>25.012177384924144</v>
      </c>
      <c r="V26" s="45">
        <f>RJ!$X$33</f>
        <v>240273.85165676265</v>
      </c>
      <c r="W26" s="46">
        <f t="shared" si="12"/>
        <v>287483</v>
      </c>
      <c r="Y26" s="45">
        <f>RJ!$X$35</f>
        <v>144087</v>
      </c>
      <c r="AA26" s="45">
        <f>RJ!$X$36</f>
        <v>16285</v>
      </c>
      <c r="AC26" s="45">
        <f>RJ!$X$38</f>
        <v>46437</v>
      </c>
      <c r="AE26" s="45">
        <f>RJ!$X$39</f>
        <v>38463</v>
      </c>
      <c r="AG26" s="45">
        <f>RJ!$X$41</f>
        <v>906669</v>
      </c>
      <c r="AI26" s="45">
        <f>RJ!$X$42</f>
        <v>160240</v>
      </c>
      <c r="AK26" s="45">
        <f t="shared" si="9"/>
        <v>6346431</v>
      </c>
      <c r="AM26" t="str">
        <f>IF((AK26=RJ!$X45),"ok","erro")</f>
        <v>ok</v>
      </c>
    </row>
    <row r="27" spans="1:39">
      <c r="A27" s="43" t="s">
        <v>42</v>
      </c>
      <c r="C27" s="45">
        <f>SP!$U$31</f>
        <v>131543.99956071159</v>
      </c>
      <c r="D27" s="45">
        <f>SP!$U$32</f>
        <v>37.077582772035385</v>
      </c>
      <c r="E27" s="45">
        <f>SP!$U$33</f>
        <v>107899.92285651638</v>
      </c>
      <c r="F27" s="46">
        <f t="shared" si="13"/>
        <v>239481</v>
      </c>
      <c r="H27" s="45">
        <f>SP!$U$35</f>
        <v>9614102.00043929</v>
      </c>
      <c r="I27" s="45">
        <f>SP!$U$36</f>
        <v>1835425</v>
      </c>
      <c r="J27" s="45">
        <f>SP!$U$37</f>
        <v>276054</v>
      </c>
      <c r="K27" s="45">
        <f>SP!$U$38</f>
        <v>2709.8739880993962</v>
      </c>
      <c r="L27" s="45">
        <f>SP!$U$39</f>
        <v>5774558.1255726106</v>
      </c>
      <c r="M27" s="46">
        <f t="shared" si="10"/>
        <v>17502849</v>
      </c>
      <c r="O27" s="45">
        <f>SP!$U$41</f>
        <v>364335.96120691823</v>
      </c>
      <c r="P27" s="45">
        <f>SP!$U$42</f>
        <v>288.03733359766193</v>
      </c>
      <c r="Q27" s="45">
        <f>SP!$U$43</f>
        <v>1495785.001459484</v>
      </c>
      <c r="R27" s="46">
        <f t="shared" si="11"/>
        <v>1860409</v>
      </c>
      <c r="T27" s="45">
        <f>SP!$X$31</f>
        <v>221370.03879308183</v>
      </c>
      <c r="U27" s="45">
        <f>SP!$X$32</f>
        <v>175.01109553175047</v>
      </c>
      <c r="V27" s="45">
        <f>SP!$X$33</f>
        <v>908836.95011138637</v>
      </c>
      <c r="W27" s="46">
        <f t="shared" si="12"/>
        <v>1130382</v>
      </c>
      <c r="Y27" s="45">
        <f>SP!$X$35</f>
        <v>671880</v>
      </c>
      <c r="AA27" s="45">
        <f>SP!$X$36</f>
        <v>164330</v>
      </c>
      <c r="AC27" s="45">
        <f>SP!$X$38</f>
        <v>155692</v>
      </c>
      <c r="AE27" s="45">
        <f>SP!$X$39</f>
        <v>118905</v>
      </c>
      <c r="AG27" s="45">
        <f>SP!$X$41</f>
        <v>4444152</v>
      </c>
      <c r="AI27" s="45">
        <f>SP!$X$42</f>
        <v>847646</v>
      </c>
      <c r="AK27" s="45">
        <f t="shared" si="9"/>
        <v>27135726</v>
      </c>
      <c r="AM27" t="str">
        <f>IF((AK27=SP!$X45),"ok","erro")</f>
        <v>ok</v>
      </c>
    </row>
    <row r="28" spans="1:39">
      <c r="A28" s="42" t="s">
        <v>43</v>
      </c>
      <c r="C28" s="46">
        <f>SUM(C29:C31)</f>
        <v>84939.777262773816</v>
      </c>
      <c r="D28" s="46">
        <f>SUM(D29:D31)</f>
        <v>17.345674695745402</v>
      </c>
      <c r="E28" s="46">
        <f t="shared" ref="E28:AI28" si="28">SUM(E29:E31)</f>
        <v>68249.877062530446</v>
      </c>
      <c r="F28" s="46">
        <f t="shared" si="13"/>
        <v>153207</v>
      </c>
      <c r="H28" s="46">
        <f t="shared" ref="H28:J28" si="29">SUM(H29:H31)</f>
        <v>6103882.2227372257</v>
      </c>
      <c r="I28" s="46">
        <f t="shared" si="29"/>
        <v>748880</v>
      </c>
      <c r="J28" s="46">
        <f t="shared" si="29"/>
        <v>192673</v>
      </c>
      <c r="K28" s="46">
        <f t="shared" ref="K28" si="30">SUM(K29:K31)</f>
        <v>1245.1905139442533</v>
      </c>
      <c r="L28" s="46">
        <f t="shared" si="28"/>
        <v>4118441.5867488291</v>
      </c>
      <c r="M28" s="46">
        <f t="shared" si="10"/>
        <v>11165122</v>
      </c>
      <c r="O28" s="46">
        <f t="shared" si="28"/>
        <v>440514.21331169188</v>
      </c>
      <c r="P28" s="46">
        <f t="shared" ref="P28" si="31">SUM(P29:P31)</f>
        <v>166.48391472309595</v>
      </c>
      <c r="Q28" s="46">
        <f>SUM(Q29:Q31)</f>
        <v>1038738.3027735851</v>
      </c>
      <c r="R28" s="46">
        <f t="shared" si="11"/>
        <v>1479419</v>
      </c>
      <c r="T28" s="46">
        <f>SUM(T29:T31)</f>
        <v>187552.78668830809</v>
      </c>
      <c r="U28" s="46">
        <f t="shared" ref="U28" si="32">SUM(U29:U31)</f>
        <v>69.979896637232741</v>
      </c>
      <c r="V28" s="46">
        <f t="shared" si="28"/>
        <v>441753.23341505468</v>
      </c>
      <c r="W28" s="46">
        <f t="shared" si="12"/>
        <v>629376</v>
      </c>
      <c r="Y28" s="46">
        <f t="shared" ref="Y28" si="33">SUM(Y29:Y31)</f>
        <v>640999</v>
      </c>
      <c r="AA28" s="46">
        <f t="shared" si="28"/>
        <v>192336</v>
      </c>
      <c r="AC28" s="46">
        <f t="shared" ref="AC28" si="34">SUM(AC29:AC31)</f>
        <v>101168</v>
      </c>
      <c r="AE28" s="46">
        <f t="shared" si="28"/>
        <v>54292</v>
      </c>
      <c r="AG28" s="46">
        <f t="shared" ref="AG28" si="35">SUM(AG29:AG31)</f>
        <v>3010945</v>
      </c>
      <c r="AI28" s="46">
        <f t="shared" si="28"/>
        <v>729127</v>
      </c>
      <c r="AK28" s="46">
        <f t="shared" si="9"/>
        <v>18155991</v>
      </c>
    </row>
    <row r="29" spans="1:39">
      <c r="A29" s="43" t="s">
        <v>44</v>
      </c>
      <c r="C29" s="45">
        <f>PR!$U$31</f>
        <v>28767.368591348448</v>
      </c>
      <c r="D29" s="45">
        <f>PR!$U$32</f>
        <v>6.2488595438189805</v>
      </c>
      <c r="E29" s="45">
        <f>PR!$U$33</f>
        <v>23279.382549107733</v>
      </c>
      <c r="F29" s="46">
        <f t="shared" si="13"/>
        <v>52053</v>
      </c>
      <c r="H29" s="45">
        <f>PR!$U$35</f>
        <v>2353087.6314086518</v>
      </c>
      <c r="I29" s="45">
        <f>PR!$U$36</f>
        <v>419099</v>
      </c>
      <c r="J29" s="45">
        <f>PR!$U$37</f>
        <v>37241</v>
      </c>
      <c r="K29" s="45">
        <f>PR!$U$38</f>
        <v>511.13865546230227</v>
      </c>
      <c r="L29" s="45">
        <f>PR!$U$39</f>
        <v>1447846.2299358859</v>
      </c>
      <c r="M29" s="46">
        <f t="shared" si="10"/>
        <v>4257785</v>
      </c>
      <c r="O29" s="45">
        <f>PR!$U$41</f>
        <v>184539.20714954069</v>
      </c>
      <c r="P29" s="45">
        <f>PR!$U$42</f>
        <v>74.611404561786912</v>
      </c>
      <c r="Q29" s="45">
        <f>PR!$U$43</f>
        <v>436899.18144589756</v>
      </c>
      <c r="R29" s="46">
        <f t="shared" si="11"/>
        <v>621513</v>
      </c>
      <c r="T29" s="45">
        <f>PR!$X$31</f>
        <v>66782.792850459329</v>
      </c>
      <c r="U29" s="45">
        <f>PR!$X$32</f>
        <v>27.001080432179151</v>
      </c>
      <c r="V29" s="45">
        <f>PR!$X$33</f>
        <v>158109.20606910851</v>
      </c>
      <c r="W29" s="46">
        <f t="shared" si="12"/>
        <v>224919</v>
      </c>
      <c r="Y29" s="45">
        <f>PR!$X$35</f>
        <v>266688</v>
      </c>
      <c r="AA29" s="45">
        <f>PR!$X$36</f>
        <v>87165</v>
      </c>
      <c r="AC29" s="45">
        <f>PR!$X$38</f>
        <v>41702</v>
      </c>
      <c r="AE29" s="45">
        <f>PR!$X$39</f>
        <v>21888</v>
      </c>
      <c r="AG29" s="45">
        <f>PR!$X$41</f>
        <v>1116382</v>
      </c>
      <c r="AI29" s="45">
        <f>PR!$X$42</f>
        <v>282658</v>
      </c>
      <c r="AK29" s="45">
        <f t="shared" si="9"/>
        <v>6972753</v>
      </c>
      <c r="AM29" t="str">
        <f>IF((AK29=PR!X45),"ok","erro")</f>
        <v>ok</v>
      </c>
    </row>
    <row r="30" spans="1:39">
      <c r="A30" s="43" t="s">
        <v>45</v>
      </c>
      <c r="C30" s="45">
        <f>RS!$U$31</f>
        <v>25086.284689213269</v>
      </c>
      <c r="D30" s="45">
        <f>RS!$U$32</f>
        <v>4.6705322750785854</v>
      </c>
      <c r="E30" s="45">
        <f>RS!$U$33</f>
        <v>26395.044778511652</v>
      </c>
      <c r="F30" s="46">
        <f t="shared" si="13"/>
        <v>51486</v>
      </c>
      <c r="H30" s="45">
        <f>RS!$U$35</f>
        <v>2011622.7153107869</v>
      </c>
      <c r="I30" s="45">
        <f>RS!$U$36</f>
        <v>197088</v>
      </c>
      <c r="J30" s="45">
        <f>RS!$U$37</f>
        <v>63615</v>
      </c>
      <c r="K30" s="45">
        <f>RS!$U$38</f>
        <v>374.5213344078511</v>
      </c>
      <c r="L30" s="45">
        <f>RS!$U$39</f>
        <v>1855866.7633548053</v>
      </c>
      <c r="M30" s="46">
        <f t="shared" si="10"/>
        <v>4128567</v>
      </c>
      <c r="O30" s="45">
        <f>RS!$U$41</f>
        <v>149799.38436857148</v>
      </c>
      <c r="P30" s="45">
        <f>RS!$U$42</f>
        <v>44.870256958296522</v>
      </c>
      <c r="Q30" s="45">
        <f>RS!$U$43</f>
        <v>344786.74537447025</v>
      </c>
      <c r="R30" s="46">
        <f t="shared" si="11"/>
        <v>494631</v>
      </c>
      <c r="T30" s="45">
        <f>RS!$X$31</f>
        <v>73239.615631428518</v>
      </c>
      <c r="U30" s="45">
        <f>RS!$X$32</f>
        <v>21.937876358832</v>
      </c>
      <c r="V30" s="45">
        <f>RS!$X$33</f>
        <v>168572.44649221265</v>
      </c>
      <c r="W30" s="46">
        <f t="shared" si="12"/>
        <v>241834</v>
      </c>
      <c r="Y30" s="45">
        <f>RS!$X$35</f>
        <v>224808</v>
      </c>
      <c r="AA30" s="45">
        <f>RS!$X$36</f>
        <v>56158</v>
      </c>
      <c r="AC30" s="45">
        <f>RS!$X$38</f>
        <v>40253</v>
      </c>
      <c r="AE30" s="45">
        <f>RS!$X$39</f>
        <v>20600</v>
      </c>
      <c r="AG30" s="45">
        <f>RS!$X$41</f>
        <v>1050905</v>
      </c>
      <c r="AI30" s="45">
        <f>RS!$X$42</f>
        <v>183346</v>
      </c>
      <c r="AK30" s="45">
        <f t="shared" si="9"/>
        <v>6492588</v>
      </c>
      <c r="AM30" t="str">
        <f>IF((AK30=RS!$X45),"ok","erro")</f>
        <v>ok</v>
      </c>
    </row>
    <row r="31" spans="1:39">
      <c r="A31" s="43" t="s">
        <v>46</v>
      </c>
      <c r="C31" s="45">
        <f>SC!$U$31</f>
        <v>31086.123982212095</v>
      </c>
      <c r="D31" s="45">
        <f>SC!$U$32</f>
        <v>6.4262828768478357</v>
      </c>
      <c r="E31" s="45">
        <f>SC!$U$33</f>
        <v>18575.449734911057</v>
      </c>
      <c r="F31" s="46">
        <f t="shared" si="13"/>
        <v>49668</v>
      </c>
      <c r="H31" s="45">
        <f>SC!$U$35</f>
        <v>1739171.8760177877</v>
      </c>
      <c r="I31" s="45">
        <f>SC!$U$36</f>
        <v>132693</v>
      </c>
      <c r="J31" s="45">
        <f>SC!$U$37</f>
        <v>91817</v>
      </c>
      <c r="K31" s="45">
        <f>SC!$U$38</f>
        <v>359.53052407409996</v>
      </c>
      <c r="L31" s="45">
        <f>SC!$U$39</f>
        <v>814728.59345813817</v>
      </c>
      <c r="M31" s="46">
        <f t="shared" si="10"/>
        <v>2778770</v>
      </c>
      <c r="O31" s="45">
        <f>SC!$U$41</f>
        <v>106175.62179357975</v>
      </c>
      <c r="P31" s="45">
        <f>SC!$U$42</f>
        <v>47.002253203012515</v>
      </c>
      <c r="Q31" s="45">
        <f>SC!$U$43</f>
        <v>257052.37595321724</v>
      </c>
      <c r="R31" s="46">
        <f t="shared" si="11"/>
        <v>363275</v>
      </c>
      <c r="T31" s="45">
        <f>SC!$X$31</f>
        <v>47530.378206420253</v>
      </c>
      <c r="U31" s="45">
        <f>SC!$X$32</f>
        <v>21.04093984622159</v>
      </c>
      <c r="V31" s="45">
        <f>SC!$X$33</f>
        <v>115071.58085373353</v>
      </c>
      <c r="W31" s="46">
        <f t="shared" si="12"/>
        <v>162623</v>
      </c>
      <c r="Y31" s="45">
        <f>SC!$X$35</f>
        <v>149503</v>
      </c>
      <c r="AA31" s="45">
        <f>SC!$X$36</f>
        <v>49013</v>
      </c>
      <c r="AC31" s="45">
        <f>SC!$X$38</f>
        <v>19213</v>
      </c>
      <c r="AE31" s="45">
        <f>SC!$X$39</f>
        <v>11804</v>
      </c>
      <c r="AG31" s="45">
        <f>SC!$X$41</f>
        <v>843658</v>
      </c>
      <c r="AI31" s="45">
        <f>SC!$X$42</f>
        <v>263123</v>
      </c>
      <c r="AK31" s="45">
        <f t="shared" si="9"/>
        <v>4690650</v>
      </c>
      <c r="AM31" t="str">
        <f>IF((AK31=SC!$X45),"ok","erro")</f>
        <v>ok</v>
      </c>
    </row>
    <row r="32" spans="1:39">
      <c r="A32" s="42" t="s">
        <v>47</v>
      </c>
      <c r="C32" s="46">
        <f>SUM(C33:C36)</f>
        <v>55017.64047362061</v>
      </c>
      <c r="D32" s="46">
        <f>SUM(D33:D36)</f>
        <v>10.789519265912531</v>
      </c>
      <c r="E32" s="46">
        <f t="shared" ref="E32:AI32" si="36">SUM(E33:E36)</f>
        <v>16907.570007113471</v>
      </c>
      <c r="F32" s="46">
        <f t="shared" si="13"/>
        <v>71936</v>
      </c>
      <c r="H32" s="46">
        <f t="shared" ref="H32:J32" si="37">SUM(H33:H36)</f>
        <v>3240067.1655729245</v>
      </c>
      <c r="I32" s="46">
        <f t="shared" si="37"/>
        <v>318978</v>
      </c>
      <c r="J32" s="46">
        <f t="shared" si="37"/>
        <v>12738</v>
      </c>
      <c r="K32" s="46">
        <f t="shared" ref="K32" si="38">SUM(K33:K36)</f>
        <v>591.5870459418511</v>
      </c>
      <c r="L32" s="46">
        <f t="shared" si="36"/>
        <v>773667.24738113326</v>
      </c>
      <c r="M32" s="46">
        <f t="shared" si="10"/>
        <v>4346042</v>
      </c>
      <c r="O32" s="46">
        <f t="shared" si="36"/>
        <v>291674.36626282393</v>
      </c>
      <c r="P32" s="46">
        <f>SUM(P33:P36)</f>
        <v>112.71456910324923</v>
      </c>
      <c r="Q32" s="46">
        <f t="shared" si="36"/>
        <v>512499.91916807275</v>
      </c>
      <c r="R32" s="46">
        <f t="shared" si="11"/>
        <v>804287</v>
      </c>
      <c r="T32" s="46">
        <f t="shared" si="36"/>
        <v>84914.633737176046</v>
      </c>
      <c r="U32" s="46">
        <f t="shared" ref="U32" si="39">SUM(U33:U36)</f>
        <v>34.908865688943479</v>
      </c>
      <c r="V32" s="46">
        <f t="shared" si="36"/>
        <v>162161.45739713503</v>
      </c>
      <c r="W32" s="46">
        <f t="shared" si="12"/>
        <v>247111.00000000003</v>
      </c>
      <c r="Y32" s="46">
        <f t="shared" ref="Y32" si="40">SUM(Y33:Y36)</f>
        <v>252495</v>
      </c>
      <c r="AA32" s="46">
        <f t="shared" si="36"/>
        <v>77959</v>
      </c>
      <c r="AC32" s="46">
        <f t="shared" ref="AC32" si="41">SUM(AC33:AC36)</f>
        <v>55287</v>
      </c>
      <c r="AE32" s="46">
        <f>SUM(AE33:AE36)</f>
        <v>22202</v>
      </c>
      <c r="AG32" s="46">
        <f t="shared" ref="AG32" si="42">SUM(AG33:AG36)</f>
        <v>1968776</v>
      </c>
      <c r="AI32" s="46">
        <f t="shared" si="36"/>
        <v>596606</v>
      </c>
      <c r="AK32" s="46">
        <f t="shared" si="9"/>
        <v>8442701</v>
      </c>
    </row>
    <row r="33" spans="1:39">
      <c r="A33" s="43" t="s">
        <v>48</v>
      </c>
      <c r="C33" s="45">
        <f>DF!$U$31</f>
        <v>17005.436103607812</v>
      </c>
      <c r="D33" s="45">
        <f>DF!$U$32</f>
        <v>4.600136302960891</v>
      </c>
      <c r="E33" s="45">
        <f>DF!$U$33</f>
        <v>7516.9637600892274</v>
      </c>
      <c r="F33" s="46">
        <f t="shared" si="13"/>
        <v>24527</v>
      </c>
      <c r="H33" s="45">
        <f>DF!$U$35</f>
        <v>854416.56389639212</v>
      </c>
      <c r="I33" s="45">
        <f>DF!$U$36</f>
        <v>57962</v>
      </c>
      <c r="J33" s="45">
        <f>DF!$U$37</f>
        <v>1616</v>
      </c>
      <c r="K33" s="45">
        <f>DF!$U$38</f>
        <v>231.12801280035637</v>
      </c>
      <c r="L33" s="45">
        <f>DF!$U$39</f>
        <v>318102.30809080752</v>
      </c>
      <c r="M33" s="46">
        <f t="shared" si="10"/>
        <v>1232328</v>
      </c>
      <c r="O33" s="45">
        <f>DF!$U$41</f>
        <v>34305.688435333075</v>
      </c>
      <c r="P33" s="45">
        <f>DF!$U$42</f>
        <v>22.294540805349243</v>
      </c>
      <c r="Q33" s="45">
        <f>DF!$U$43</f>
        <v>84542.017023861583</v>
      </c>
      <c r="R33" s="46">
        <f t="shared" si="11"/>
        <v>118870</v>
      </c>
      <c r="T33" s="45">
        <f>DF!$X$31</f>
        <v>23046.311564666928</v>
      </c>
      <c r="U33" s="45">
        <f>DF!$X$32</f>
        <v>14.977310091300751</v>
      </c>
      <c r="V33" s="45">
        <f>DF!$X$33</f>
        <v>56794.711125241767</v>
      </c>
      <c r="W33" s="46">
        <f t="shared" si="12"/>
        <v>79856</v>
      </c>
      <c r="Y33" s="45">
        <f>DF!$X$35</f>
        <v>23615</v>
      </c>
      <c r="AA33" s="45">
        <f>DF!$X$36</f>
        <v>3192</v>
      </c>
      <c r="AC33" s="45">
        <f>DF!$X$38</f>
        <v>12239</v>
      </c>
      <c r="AE33" s="45">
        <f>DF!$X$39</f>
        <v>5603</v>
      </c>
      <c r="AG33" s="45">
        <f>DF!$X$41</f>
        <v>179868</v>
      </c>
      <c r="AI33" s="45">
        <f>DF!$X$42</f>
        <v>18176</v>
      </c>
      <c r="AK33" s="45">
        <f t="shared" si="9"/>
        <v>1698274</v>
      </c>
      <c r="AM33" t="str">
        <f>IF((AK33=DF!$X45),"ok","erro")</f>
        <v>ok</v>
      </c>
    </row>
    <row r="34" spans="1:39">
      <c r="A34" s="43" t="s">
        <v>49</v>
      </c>
      <c r="C34" s="45">
        <f>GO!$U$31</f>
        <v>16297.123696163726</v>
      </c>
      <c r="D34" s="45">
        <f>GO!$U$32</f>
        <v>1.5325526311971771</v>
      </c>
      <c r="E34" s="45">
        <f>GO!$U$33</f>
        <v>6235.3437512050768</v>
      </c>
      <c r="F34" s="46">
        <f t="shared" si="13"/>
        <v>22534</v>
      </c>
      <c r="H34" s="45">
        <f>GO!$U$35</f>
        <v>1270858.8763038362</v>
      </c>
      <c r="I34" s="45">
        <f>GO!$U$36</f>
        <v>159461</v>
      </c>
      <c r="J34" s="45">
        <f>GO!$U$37</f>
        <v>4370</v>
      </c>
      <c r="K34" s="45">
        <f>GO!$U$38</f>
        <v>119.50931655615568</v>
      </c>
      <c r="L34" s="45">
        <f>GO!$U$39</f>
        <v>322404.61437960761</v>
      </c>
      <c r="M34" s="46">
        <f t="shared" si="10"/>
        <v>1757214</v>
      </c>
      <c r="O34" s="45">
        <f>GO!$U$41</f>
        <v>111056.23561255836</v>
      </c>
      <c r="P34" s="45">
        <f>GO!$U$42</f>
        <v>22.740798608574551</v>
      </c>
      <c r="Q34" s="45">
        <f>GO!$U$43</f>
        <v>223292.02358883305</v>
      </c>
      <c r="R34" s="46">
        <f t="shared" si="11"/>
        <v>334371</v>
      </c>
      <c r="T34" s="45">
        <f>GO!$X$31</f>
        <v>30362.764387441639</v>
      </c>
      <c r="U34" s="45">
        <f>GO!$X$32</f>
        <v>6.2173322040471248</v>
      </c>
      <c r="V34" s="45">
        <f>GO!$X$33</f>
        <v>61048.018280354314</v>
      </c>
      <c r="W34" s="46">
        <f t="shared" si="12"/>
        <v>91417</v>
      </c>
      <c r="Y34" s="45">
        <f>GO!$X$35</f>
        <v>109317</v>
      </c>
      <c r="AA34" s="45">
        <f>GO!$X$36</f>
        <v>28804</v>
      </c>
      <c r="AC34" s="45">
        <f>GO!$X$38</f>
        <v>22421</v>
      </c>
      <c r="AE34" s="45">
        <f>GO!$X$39</f>
        <v>9427</v>
      </c>
      <c r="AG34" s="45">
        <f>GO!$X$41</f>
        <v>845402</v>
      </c>
      <c r="AI34" s="45">
        <f>GO!$X$42</f>
        <v>265029</v>
      </c>
      <c r="AK34" s="45">
        <f t="shared" si="9"/>
        <v>3485936</v>
      </c>
      <c r="AM34" t="str">
        <f>IF((AK34=GO!$X45),"ok","erro")</f>
        <v>ok</v>
      </c>
    </row>
    <row r="35" spans="1:39">
      <c r="A35" s="43" t="s">
        <v>50</v>
      </c>
      <c r="C35" s="45">
        <f>MT!$U$31</f>
        <v>13520.352024850963</v>
      </c>
      <c r="D35" s="45">
        <f>MT!$U$32</f>
        <v>3.6479751490369381</v>
      </c>
      <c r="E35" s="45">
        <f>MT!$U$33</f>
        <v>0</v>
      </c>
      <c r="F35" s="46">
        <f t="shared" si="13"/>
        <v>13524</v>
      </c>
      <c r="H35" s="45">
        <f>MT!$U$35</f>
        <v>616021.4540216946</v>
      </c>
      <c r="I35" s="45">
        <f>MT!$U$36</f>
        <v>48001</v>
      </c>
      <c r="J35" s="45">
        <f>MT!$U$37</f>
        <v>1422</v>
      </c>
      <c r="K35" s="45">
        <f>MT!$U$38</f>
        <v>179.54597830539569</v>
      </c>
      <c r="L35" s="45">
        <f>MT!$U$39</f>
        <v>0</v>
      </c>
      <c r="M35" s="46">
        <f t="shared" si="10"/>
        <v>665624</v>
      </c>
      <c r="O35" s="45">
        <f>MT!$U$41</f>
        <v>85826.126608200531</v>
      </c>
      <c r="P35" s="45">
        <f>MT!$U$42</f>
        <v>54.405109413637547</v>
      </c>
      <c r="Q35" s="45">
        <f>MT!$U$43</f>
        <v>115813.46828238583</v>
      </c>
      <c r="R35" s="46">
        <f t="shared" si="11"/>
        <v>201694</v>
      </c>
      <c r="T35" s="45">
        <f>MT!$X$31</f>
        <v>16407.873391799476</v>
      </c>
      <c r="U35" s="45">
        <f>MT!$X$32</f>
        <v>10.400937131897081</v>
      </c>
      <c r="V35" s="45">
        <f>MT!$X$33</f>
        <v>22140.725671068627</v>
      </c>
      <c r="W35" s="46">
        <f t="shared" si="12"/>
        <v>38559</v>
      </c>
      <c r="Y35" s="45">
        <f>MT!$X$35</f>
        <v>68979</v>
      </c>
      <c r="AA35" s="45">
        <f>MT!$X$36</f>
        <v>30108</v>
      </c>
      <c r="AC35" s="45">
        <f>MT!$X$38</f>
        <v>11306</v>
      </c>
      <c r="AE35" s="45">
        <f>MT!$X$39</f>
        <v>3470</v>
      </c>
      <c r="AG35" s="45">
        <f>MT!$X$41</f>
        <v>588881</v>
      </c>
      <c r="AI35" s="45">
        <f>MT!$X$42</f>
        <v>208181</v>
      </c>
      <c r="AK35" s="45">
        <f t="shared" si="9"/>
        <v>1830326</v>
      </c>
      <c r="AM35" t="str">
        <f>IF((AK35=MT!$X45),"ok","erro")</f>
        <v>ok</v>
      </c>
    </row>
    <row r="36" spans="1:39">
      <c r="A36" s="43" t="s">
        <v>51</v>
      </c>
      <c r="C36" s="45">
        <f>MS!$U$31</f>
        <v>8194.7286489981143</v>
      </c>
      <c r="D36" s="45">
        <f>MS!$U$32</f>
        <v>1.0088551827175252</v>
      </c>
      <c r="E36" s="45">
        <f>MS!$U$33</f>
        <v>3155.2624958191682</v>
      </c>
      <c r="F36" s="46">
        <f t="shared" si="13"/>
        <v>11351</v>
      </c>
      <c r="H36" s="45">
        <f>MS!$U$35</f>
        <v>498770.27135100187</v>
      </c>
      <c r="I36" s="45">
        <f>MS!$U$36</f>
        <v>53554</v>
      </c>
      <c r="J36" s="45">
        <f>MS!$U$37</f>
        <v>5330</v>
      </c>
      <c r="K36" s="45">
        <f>MS!$U$38</f>
        <v>61.403738279943354</v>
      </c>
      <c r="L36" s="45">
        <f>MS!$U$39</f>
        <v>133160.32491071819</v>
      </c>
      <c r="M36" s="46">
        <f t="shared" si="10"/>
        <v>690876</v>
      </c>
      <c r="O36" s="45">
        <f>MS!$U$41</f>
        <v>60486.315606732001</v>
      </c>
      <c r="P36" s="45">
        <f>MS!$U$42</f>
        <v>13.274120275687892</v>
      </c>
      <c r="Q36" s="45">
        <f>MS!$U$43</f>
        <v>88852.410272992303</v>
      </c>
      <c r="R36" s="46">
        <f t="shared" si="11"/>
        <v>149352</v>
      </c>
      <c r="T36" s="45">
        <f>MS!$X$31</f>
        <v>15097.684393267999</v>
      </c>
      <c r="U36" s="45">
        <f>MS!$X$32</f>
        <v>3.3132862616985221</v>
      </c>
      <c r="V36" s="45">
        <f>MS!$X$33</f>
        <v>22178.002320470303</v>
      </c>
      <c r="W36" s="46">
        <f t="shared" si="12"/>
        <v>37279</v>
      </c>
      <c r="Y36" s="45">
        <f>MS!$X$35</f>
        <v>50584</v>
      </c>
      <c r="AA36" s="45">
        <f>MS!$X$36</f>
        <v>15855</v>
      </c>
      <c r="AC36" s="45">
        <f>MS!$X$38</f>
        <v>9321</v>
      </c>
      <c r="AE36" s="45">
        <f>MS!$X$39</f>
        <v>3702</v>
      </c>
      <c r="AG36" s="45">
        <f>MS!$X$41</f>
        <v>354625</v>
      </c>
      <c r="AI36" s="45">
        <f>MS!$X$42</f>
        <v>105220</v>
      </c>
      <c r="AK36" s="45">
        <f t="shared" si="9"/>
        <v>1428165</v>
      </c>
      <c r="AM36" t="str">
        <f>IF((AK36=MS!$X45),"ok","erro")</f>
        <v>ok</v>
      </c>
    </row>
  </sheetData>
  <mergeCells count="6">
    <mergeCell ref="AK2:AK3"/>
    <mergeCell ref="A2:A3"/>
    <mergeCell ref="C2:F2"/>
    <mergeCell ref="H2:M2"/>
    <mergeCell ref="O2:R2"/>
    <mergeCell ref="T2:W2"/>
  </mergeCells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X122"/>
  <sheetViews>
    <sheetView showGridLines="0" topLeftCell="A76" zoomScale="90" zoomScaleNormal="90" workbookViewId="0">
      <selection activeCell="F51" sqref="F51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</cols>
  <sheetData>
    <row r="1" spans="1:24" s="31" customFormat="1" ht="15.75">
      <c r="A1" s="101" t="str">
        <f>"MARANHÃO/"&amp;ONSV_AUX_2018!$A$1&amp;""</f>
        <v>MARANHÃO/2018</v>
      </c>
      <c r="B1" s="102"/>
      <c r="C1" s="102"/>
      <c r="D1" s="102"/>
      <c r="E1" s="102"/>
      <c r="F1" s="102"/>
    </row>
    <row r="2" spans="1:24" s="4" customFormat="1" ht="15.75">
      <c r="A2" s="32"/>
      <c r="B2" s="32"/>
      <c r="C2" s="32"/>
      <c r="D2" s="32"/>
      <c r="E2" s="32"/>
      <c r="F2" s="32"/>
    </row>
    <row r="3" spans="1:24" ht="15.75">
      <c r="A3" s="12"/>
      <c r="H3" s="23" t="s">
        <v>118</v>
      </c>
    </row>
    <row r="4" spans="1:24" ht="15.75">
      <c r="B4" s="5"/>
      <c r="J4" s="9"/>
      <c r="M4" s="25"/>
      <c r="N4" s="25"/>
      <c r="O4" s="25"/>
      <c r="P4" s="25"/>
      <c r="Q4" s="103"/>
      <c r="R4" s="103"/>
      <c r="S4" s="22"/>
      <c r="T4" s="104"/>
      <c r="U4" s="104"/>
      <c r="V4" s="104"/>
      <c r="W4" s="104"/>
      <c r="X4" s="104"/>
    </row>
    <row r="5" spans="1:24" ht="15.75">
      <c r="H5" s="36" t="s">
        <v>81</v>
      </c>
      <c r="I5" s="60">
        <f>ONSV_AUX_2018!K27</f>
        <v>13797</v>
      </c>
      <c r="J5" s="9"/>
      <c r="K5" s="104" t="s">
        <v>119</v>
      </c>
      <c r="L5" s="104"/>
      <c r="M5" s="9"/>
      <c r="N5" s="26" t="s">
        <v>120</v>
      </c>
      <c r="O5" s="26"/>
      <c r="Q5" s="26" t="s">
        <v>121</v>
      </c>
      <c r="R5" s="26"/>
      <c r="S5" s="26"/>
      <c r="T5" s="25" t="s">
        <v>122</v>
      </c>
      <c r="U5" s="25"/>
      <c r="V5" s="25"/>
      <c r="W5" s="25"/>
      <c r="X5" s="25"/>
    </row>
    <row r="6" spans="1:24" ht="15.75">
      <c r="H6" s="36" t="s">
        <v>84</v>
      </c>
      <c r="I6" s="60">
        <f>ONSV_AUX_2018!K28</f>
        <v>683648</v>
      </c>
      <c r="J6" s="9"/>
      <c r="K6" s="9"/>
      <c r="L6" s="9"/>
      <c r="M6" s="9"/>
      <c r="N6" s="9"/>
      <c r="O6" s="9"/>
      <c r="P6" s="20"/>
      <c r="Q6" s="11"/>
      <c r="R6" s="11"/>
      <c r="S6" s="11"/>
    </row>
    <row r="7" spans="1:24" ht="15.75">
      <c r="H7" s="36" t="s">
        <v>85</v>
      </c>
      <c r="I7" s="60">
        <f>ONSV_AUX_2018!K29</f>
        <v>122449</v>
      </c>
      <c r="J7" s="9"/>
      <c r="K7" s="2" t="s">
        <v>123</v>
      </c>
      <c r="L7" s="60">
        <f>I14+I17+I18+I23</f>
        <v>575292</v>
      </c>
      <c r="N7" s="28" t="s">
        <v>124</v>
      </c>
      <c r="O7" s="60">
        <f>J14+J23</f>
        <v>435815.25350430736</v>
      </c>
      <c r="P7" s="64"/>
      <c r="Q7" s="65" t="s">
        <v>125</v>
      </c>
      <c r="R7" s="60">
        <f>J17+J18</f>
        <v>139347.74649569261</v>
      </c>
      <c r="S7" s="66"/>
      <c r="T7" s="65" t="s">
        <v>126</v>
      </c>
      <c r="U7" s="67">
        <f>O11</f>
        <v>9963.7652844120894</v>
      </c>
      <c r="V7" s="48"/>
      <c r="W7" s="65" t="s">
        <v>127</v>
      </c>
      <c r="X7" s="68">
        <f>R13</f>
        <v>10714.978382683188</v>
      </c>
    </row>
    <row r="8" spans="1:24" ht="15.75">
      <c r="H8" s="36" t="s">
        <v>101</v>
      </c>
      <c r="I8" s="60">
        <f>ONSV_AUX_2018!K30</f>
        <v>129</v>
      </c>
      <c r="J8" s="9"/>
      <c r="K8" s="27"/>
      <c r="L8" s="62"/>
      <c r="M8" s="20"/>
      <c r="N8" s="28" t="s">
        <v>128</v>
      </c>
      <c r="O8" s="69">
        <f>J14/O7</f>
        <v>0.97713763985015367</v>
      </c>
      <c r="P8" s="64"/>
      <c r="Q8" s="70" t="s">
        <v>129</v>
      </c>
      <c r="R8" s="63">
        <f>J17/R7</f>
        <v>0.83059858371777673</v>
      </c>
      <c r="S8" s="71"/>
      <c r="T8" s="65" t="s">
        <v>130</v>
      </c>
      <c r="U8" s="67">
        <f>I23-J23</f>
        <v>2.234715587910614</v>
      </c>
      <c r="V8" s="48"/>
      <c r="W8" s="65" t="s">
        <v>131</v>
      </c>
      <c r="X8" s="68">
        <f>I18-J18</f>
        <v>5.2943878934529494</v>
      </c>
    </row>
    <row r="9" spans="1:24" ht="15.75">
      <c r="H9" s="36" t="s">
        <v>16</v>
      </c>
      <c r="I9" s="60">
        <f>ONSV_AUX_2018!K31</f>
        <v>266</v>
      </c>
      <c r="J9" s="9"/>
      <c r="K9" s="2" t="s">
        <v>132</v>
      </c>
      <c r="L9" s="63">
        <f>I14/L7</f>
        <v>0.74040139616055844</v>
      </c>
      <c r="M9" s="20"/>
      <c r="N9" s="28" t="s">
        <v>133</v>
      </c>
      <c r="O9" s="69">
        <f>J23/O7</f>
        <v>2.2862360149846415E-2</v>
      </c>
      <c r="P9" s="64"/>
      <c r="Q9" s="70" t="s">
        <v>134</v>
      </c>
      <c r="R9" s="63">
        <f>J18/R7</f>
        <v>0.1694014162822233</v>
      </c>
      <c r="S9" s="71"/>
      <c r="T9" s="65" t="s">
        <v>135</v>
      </c>
      <c r="U9" s="72">
        <f>O13</f>
        <v>0</v>
      </c>
      <c r="V9" s="73"/>
      <c r="W9" s="65" t="s">
        <v>136</v>
      </c>
      <c r="X9" s="72">
        <f>R16</f>
        <v>12890.727229423359</v>
      </c>
    </row>
    <row r="10" spans="1:24" ht="15.75">
      <c r="H10" s="36" t="s">
        <v>94</v>
      </c>
      <c r="I10" s="60">
        <f>ONSV_AUX_2018!K32</f>
        <v>816842</v>
      </c>
      <c r="J10" s="10"/>
      <c r="K10" s="2" t="s">
        <v>2</v>
      </c>
      <c r="L10" s="63">
        <f>I17/L7</f>
        <v>0.20123346057306551</v>
      </c>
      <c r="M10" s="20"/>
      <c r="N10" s="20"/>
      <c r="O10" s="74"/>
      <c r="P10" s="48"/>
      <c r="Q10" s="48"/>
      <c r="R10" s="48"/>
      <c r="S10" s="48"/>
      <c r="T10" s="48"/>
      <c r="U10" s="62"/>
      <c r="V10" s="75"/>
      <c r="W10" s="48"/>
      <c r="X10" s="62"/>
    </row>
    <row r="11" spans="1:24" ht="15.75">
      <c r="K11" s="2" t="s">
        <v>3</v>
      </c>
      <c r="L11" s="63">
        <f>I18/L7</f>
        <v>4.104176661590983E-2</v>
      </c>
      <c r="M11" s="20"/>
      <c r="N11" s="28" t="s">
        <v>137</v>
      </c>
      <c r="O11" s="60">
        <f>IF(O9*I6&gt;J23,J23,O9*I6)</f>
        <v>9963.7652844120894</v>
      </c>
      <c r="P11" s="76"/>
      <c r="Q11" s="65" t="s">
        <v>138</v>
      </c>
      <c r="R11" s="60">
        <f>I7-I15-I16-I19-I22</f>
        <v>63252</v>
      </c>
      <c r="S11" s="77"/>
      <c r="T11" s="65" t="s">
        <v>139</v>
      </c>
      <c r="U11" s="67">
        <f>O19</f>
        <v>411788.48821989528</v>
      </c>
      <c r="V11" s="76"/>
      <c r="W11" s="65" t="s">
        <v>140</v>
      </c>
      <c r="X11" s="67">
        <f>I15</f>
        <v>40746</v>
      </c>
    </row>
    <row r="12" spans="1:24" ht="15.75">
      <c r="H12" s="24" t="s">
        <v>141</v>
      </c>
      <c r="K12" s="2" t="s">
        <v>0</v>
      </c>
      <c r="L12" s="63">
        <f>I23/L7</f>
        <v>1.73233766504662E-2</v>
      </c>
      <c r="O12" s="48"/>
      <c r="P12" s="76"/>
      <c r="Q12" s="65" t="s">
        <v>142</v>
      </c>
      <c r="R12" s="60">
        <f>R8*R11</f>
        <v>52537.021617316816</v>
      </c>
      <c r="S12" s="48"/>
      <c r="T12" s="65" t="s">
        <v>143</v>
      </c>
      <c r="U12" s="67">
        <f>O17</f>
        <v>13797</v>
      </c>
      <c r="V12" s="66"/>
      <c r="W12" s="65" t="s">
        <v>144</v>
      </c>
      <c r="X12" s="67">
        <f>I16</f>
        <v>4629</v>
      </c>
    </row>
    <row r="13" spans="1:24" ht="15.75">
      <c r="K13" s="11"/>
      <c r="L13" s="11"/>
      <c r="M13" s="11"/>
      <c r="N13" s="28" t="s">
        <v>145</v>
      </c>
      <c r="O13" s="60">
        <f>J23-O11</f>
        <v>0</v>
      </c>
      <c r="P13" s="76"/>
      <c r="Q13" s="65" t="s">
        <v>127</v>
      </c>
      <c r="R13" s="60">
        <f>R9*R11</f>
        <v>10714.978382683188</v>
      </c>
      <c r="S13" s="48"/>
      <c r="T13" s="65" t="s">
        <v>146</v>
      </c>
      <c r="U13" s="67">
        <f>O18</f>
        <v>266</v>
      </c>
      <c r="V13" s="71"/>
      <c r="W13" s="48"/>
      <c r="X13" s="62"/>
    </row>
    <row r="14" spans="1:24" ht="15.75">
      <c r="H14" s="37" t="s">
        <v>103</v>
      </c>
      <c r="I14" s="60">
        <f>ONSV_AUX_2018!K56</f>
        <v>425947</v>
      </c>
      <c r="J14" s="61">
        <f>I14-(L9*I8)</f>
        <v>425851.48821989528</v>
      </c>
      <c r="K14" s="11"/>
      <c r="L14" s="11"/>
      <c r="M14" s="11"/>
      <c r="O14" s="76"/>
      <c r="P14" s="76"/>
      <c r="Q14" s="48"/>
      <c r="R14" s="78"/>
      <c r="S14" s="48"/>
      <c r="T14" s="65" t="s">
        <v>147</v>
      </c>
      <c r="U14" s="68">
        <f>I14-J14</f>
        <v>95.511780104716308</v>
      </c>
      <c r="V14" s="71"/>
      <c r="W14" s="65" t="s">
        <v>148</v>
      </c>
      <c r="X14" s="67">
        <f>I22</f>
        <v>8959</v>
      </c>
    </row>
    <row r="15" spans="1:24" ht="15.75">
      <c r="H15" s="37" t="s">
        <v>104</v>
      </c>
      <c r="I15" s="60">
        <f>ONSV_AUX_2018!K57</f>
        <v>40746</v>
      </c>
      <c r="J15" s="10">
        <f>I15</f>
        <v>40746</v>
      </c>
      <c r="K15" s="11"/>
      <c r="L15" s="11"/>
      <c r="M15" s="11"/>
      <c r="N15" s="26" t="s">
        <v>149</v>
      </c>
      <c r="O15" s="76"/>
      <c r="P15" s="76"/>
      <c r="Q15" s="65" t="s">
        <v>150</v>
      </c>
      <c r="R15" s="60">
        <f>J17-R12</f>
        <v>63205.019266269257</v>
      </c>
      <c r="S15" s="48"/>
      <c r="T15" s="65" t="s">
        <v>151</v>
      </c>
      <c r="U15" s="72">
        <f>O20</f>
        <v>0</v>
      </c>
      <c r="V15" s="48"/>
      <c r="W15" s="65" t="s">
        <v>152</v>
      </c>
      <c r="X15" s="67">
        <f>I19</f>
        <v>4863</v>
      </c>
    </row>
    <row r="16" spans="1:24" ht="15.75">
      <c r="H16" s="37" t="s">
        <v>105</v>
      </c>
      <c r="I16" s="60">
        <f>ONSV_AUX_2018!K58</f>
        <v>4629</v>
      </c>
      <c r="J16" s="10">
        <f>I16</f>
        <v>4629</v>
      </c>
      <c r="K16" s="11"/>
      <c r="L16" s="11"/>
      <c r="M16" s="11"/>
      <c r="O16" s="73"/>
      <c r="P16" s="76"/>
      <c r="Q16" s="65" t="s">
        <v>136</v>
      </c>
      <c r="R16" s="60">
        <f>J18-R13</f>
        <v>12890.727229423359</v>
      </c>
      <c r="S16" s="48"/>
      <c r="T16" s="48"/>
      <c r="U16" s="62"/>
      <c r="V16" s="77"/>
      <c r="W16" s="48"/>
      <c r="X16" s="62"/>
    </row>
    <row r="17" spans="1:24" ht="15.75">
      <c r="H17" s="37" t="s">
        <v>106</v>
      </c>
      <c r="I17" s="60">
        <f>ONSV_AUX_2018!K59</f>
        <v>115768</v>
      </c>
      <c r="J17" s="61">
        <f>I17-(L10*I8)</f>
        <v>115742.04088358607</v>
      </c>
      <c r="K17" s="11"/>
      <c r="L17" s="11"/>
      <c r="M17" s="11"/>
      <c r="N17" s="28" t="s">
        <v>143</v>
      </c>
      <c r="O17" s="60">
        <f>I5</f>
        <v>13797</v>
      </c>
      <c r="P17" s="76"/>
      <c r="Q17" s="48"/>
      <c r="R17" s="48"/>
      <c r="S17" s="77"/>
      <c r="T17" s="65" t="s">
        <v>142</v>
      </c>
      <c r="U17" s="68">
        <f>R12</f>
        <v>52537.021617316816</v>
      </c>
      <c r="V17" s="48"/>
      <c r="W17" s="65" t="s">
        <v>153</v>
      </c>
      <c r="X17" s="67">
        <f>I20</f>
        <v>840651</v>
      </c>
    </row>
    <row r="18" spans="1:24" ht="15.75">
      <c r="H18" s="37" t="s">
        <v>107</v>
      </c>
      <c r="I18" s="60">
        <f>ONSV_AUX_2018!K60</f>
        <v>23611</v>
      </c>
      <c r="J18" s="61">
        <f>I18-(L11*I8)</f>
        <v>23605.705612106547</v>
      </c>
      <c r="K18" s="11"/>
      <c r="L18" s="11"/>
      <c r="M18" s="11"/>
      <c r="N18" s="28" t="s">
        <v>146</v>
      </c>
      <c r="O18" s="60">
        <f>I9</f>
        <v>266</v>
      </c>
      <c r="P18" s="76"/>
      <c r="Q18" s="48"/>
      <c r="R18" s="48"/>
      <c r="S18" s="48"/>
      <c r="T18" s="65" t="s">
        <v>154</v>
      </c>
      <c r="U18" s="68">
        <f>I17-J17</f>
        <v>25.959116413927404</v>
      </c>
      <c r="V18" s="48"/>
      <c r="W18" s="65" t="s">
        <v>155</v>
      </c>
      <c r="X18" s="67">
        <f>I21</f>
        <v>155137</v>
      </c>
    </row>
    <row r="19" spans="1:24" ht="15.75">
      <c r="H19" s="37" t="s">
        <v>108</v>
      </c>
      <c r="I19" s="60">
        <f>ONSV_AUX_2018!K61</f>
        <v>4863</v>
      </c>
      <c r="J19" s="10">
        <f>I19</f>
        <v>4863</v>
      </c>
      <c r="K19" s="11"/>
      <c r="L19" s="11"/>
      <c r="M19" s="11"/>
      <c r="N19" s="28" t="s">
        <v>139</v>
      </c>
      <c r="O19" s="60">
        <f>IF(OR((O8*I6&gt;J14),((O17+O18+(O8*I6))&gt;J14)),(J14-O17-O18),(O8*I6))</f>
        <v>411788.48821989528</v>
      </c>
      <c r="P19" s="76"/>
      <c r="Q19" s="48"/>
      <c r="R19" s="78"/>
      <c r="S19" s="48"/>
      <c r="T19" s="65" t="s">
        <v>150</v>
      </c>
      <c r="U19" s="72">
        <f>R15</f>
        <v>63205.019266269257</v>
      </c>
      <c r="V19" s="48"/>
      <c r="W19" s="48"/>
      <c r="X19" s="48"/>
    </row>
    <row r="20" spans="1:24" ht="15.75">
      <c r="H20" s="37" t="s">
        <v>109</v>
      </c>
      <c r="I20" s="60">
        <f>ONSV_AUX_2018!K62</f>
        <v>840651</v>
      </c>
      <c r="J20" s="10">
        <f t="shared" ref="J20:J22" si="0">I20</f>
        <v>840651</v>
      </c>
      <c r="K20" s="11"/>
      <c r="L20" s="11"/>
      <c r="M20" s="11"/>
      <c r="N20" s="28" t="s">
        <v>151</v>
      </c>
      <c r="O20" s="60">
        <f>IF((J14-O17-O19-O18)&lt;0,0,(J14-O17-O19-O18))</f>
        <v>0</v>
      </c>
      <c r="P20" s="48"/>
      <c r="Q20" s="48"/>
      <c r="R20" s="48"/>
      <c r="S20" s="48"/>
      <c r="T20" s="48"/>
      <c r="U20" s="62"/>
      <c r="V20" s="48"/>
      <c r="W20" s="48"/>
      <c r="X20" s="48"/>
    </row>
    <row r="21" spans="1:24" ht="15.75">
      <c r="H21" s="37" t="s">
        <v>110</v>
      </c>
      <c r="I21" s="60">
        <f>ONSV_AUX_2018!K63</f>
        <v>155137</v>
      </c>
      <c r="J21" s="10">
        <f t="shared" si="0"/>
        <v>155137</v>
      </c>
      <c r="K21" s="11"/>
      <c r="L21" s="11"/>
      <c r="M21" s="11"/>
      <c r="O21" s="48"/>
      <c r="P21" s="76"/>
      <c r="Q21" s="48"/>
      <c r="R21" s="48"/>
      <c r="S21" s="48"/>
      <c r="T21" s="79" t="s">
        <v>156</v>
      </c>
      <c r="U21" s="80">
        <f>(SUM(U7:U19,X7:X18)/SUM(I14:I23))-1</f>
        <v>0</v>
      </c>
      <c r="V21" s="48"/>
      <c r="W21" s="79" t="s">
        <v>10</v>
      </c>
      <c r="X21" s="67">
        <f>SUM(U7:U19,X7:X18)</f>
        <v>1630277</v>
      </c>
    </row>
    <row r="22" spans="1:24" ht="15.75">
      <c r="H22" s="37" t="s">
        <v>111</v>
      </c>
      <c r="I22" s="60">
        <f>ONSV_AUX_2018!K64</f>
        <v>8959</v>
      </c>
      <c r="J22" s="10">
        <f t="shared" si="0"/>
        <v>8959</v>
      </c>
      <c r="K22" s="11"/>
      <c r="L22" s="11"/>
      <c r="M22" s="11"/>
      <c r="O22" s="48"/>
      <c r="P22" s="76"/>
      <c r="Q22" s="48"/>
      <c r="R22" s="48"/>
      <c r="S22" s="48"/>
      <c r="T22" s="48"/>
      <c r="U22" s="48"/>
      <c r="V22" s="48"/>
      <c r="W22" s="48"/>
      <c r="X22" s="48"/>
    </row>
    <row r="23" spans="1:24" ht="15.75">
      <c r="H23" s="37" t="s">
        <v>112</v>
      </c>
      <c r="I23" s="60">
        <f>ONSV_AUX_2018!K65</f>
        <v>9966</v>
      </c>
      <c r="J23" s="61">
        <f>I23-(L12*I8)</f>
        <v>9963.7652844120894</v>
      </c>
      <c r="K23" s="12"/>
      <c r="L23" s="12"/>
      <c r="M23" s="12"/>
      <c r="N23" s="12"/>
      <c r="O23" s="12"/>
      <c r="P23" s="12"/>
      <c r="Q23" s="4"/>
      <c r="R23" s="4"/>
    </row>
    <row r="25" spans="1:24" s="34" customFormat="1" ht="15.75">
      <c r="A25" s="101" t="str">
        <f>"MARANHÃO/"&amp;ONSV_AUX_2017!$A$1&amp;""</f>
        <v>MARANHÃO/2017</v>
      </c>
      <c r="B25" s="102"/>
      <c r="C25" s="102"/>
      <c r="D25" s="102"/>
      <c r="E25" s="102"/>
      <c r="F25" s="102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 spans="1:24" ht="15.75">
      <c r="A26" s="3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>
      <c r="A27" s="12"/>
      <c r="H27" s="23" t="s">
        <v>118</v>
      </c>
      <c r="N27" s="26"/>
      <c r="O27" s="26"/>
      <c r="P27" s="9"/>
      <c r="Q27" s="26"/>
      <c r="R27" s="26"/>
      <c r="S27" s="26"/>
      <c r="T27" s="104"/>
      <c r="U27" s="104"/>
      <c r="V27" s="104"/>
      <c r="W27" s="104"/>
      <c r="X27" s="104"/>
    </row>
    <row r="28" spans="1:24" ht="15.75">
      <c r="B28" s="5"/>
      <c r="J28" s="9"/>
      <c r="M28" s="25"/>
    </row>
    <row r="29" spans="1:24" ht="15.75">
      <c r="H29" s="36" t="s">
        <v>81</v>
      </c>
      <c r="I29" s="60">
        <f>ONSV_AUX_2017!K27</f>
        <v>13757</v>
      </c>
      <c r="J29" s="9"/>
      <c r="K29" s="104" t="s">
        <v>119</v>
      </c>
      <c r="L29" s="104"/>
      <c r="M29" s="9"/>
      <c r="N29" s="26" t="s">
        <v>120</v>
      </c>
      <c r="O29" s="26"/>
      <c r="Q29" s="26" t="s">
        <v>121</v>
      </c>
      <c r="R29" s="26"/>
      <c r="S29" s="26"/>
      <c r="T29" s="25" t="s">
        <v>122</v>
      </c>
      <c r="U29" s="25"/>
      <c r="V29" s="25"/>
      <c r="W29" s="25"/>
      <c r="X29" s="25"/>
    </row>
    <row r="30" spans="1:24" ht="15.75">
      <c r="H30" s="36" t="s">
        <v>84</v>
      </c>
      <c r="I30" s="60">
        <f>ONSV_AUX_2017!K28</f>
        <v>640999</v>
      </c>
      <c r="J30" s="9"/>
      <c r="K30" s="9"/>
      <c r="L30" s="9"/>
      <c r="M30" s="9"/>
      <c r="N30" s="9"/>
      <c r="O30" s="9"/>
      <c r="P30" s="20"/>
      <c r="Q30" s="11"/>
      <c r="R30" s="11"/>
      <c r="S30" s="11"/>
    </row>
    <row r="31" spans="1:24" ht="15.75">
      <c r="H31" s="36" t="s">
        <v>85</v>
      </c>
      <c r="I31" s="60">
        <f>ONSV_AUX_2017!K29</f>
        <v>116165</v>
      </c>
      <c r="J31" s="9"/>
      <c r="K31" s="2" t="s">
        <v>123</v>
      </c>
      <c r="L31" s="60">
        <f>I38+I41+I42+I47</f>
        <v>547155</v>
      </c>
      <c r="N31" s="28" t="s">
        <v>124</v>
      </c>
      <c r="O31" s="60">
        <f>J38+J47</f>
        <v>415508.72845902893</v>
      </c>
      <c r="P31" s="64"/>
      <c r="Q31" s="65" t="s">
        <v>125</v>
      </c>
      <c r="R31" s="60">
        <f>J41+J42</f>
        <v>131539.27154097101</v>
      </c>
      <c r="S31" s="66"/>
      <c r="T31" s="65" t="s">
        <v>126</v>
      </c>
      <c r="U31" s="67">
        <f>O35</f>
        <v>8930.2532847182247</v>
      </c>
      <c r="V31" s="48"/>
      <c r="W31" s="65" t="s">
        <v>127</v>
      </c>
      <c r="X31" s="68">
        <f>R37</f>
        <v>10055.903553376658</v>
      </c>
    </row>
    <row r="32" spans="1:24" ht="15.75">
      <c r="H32" s="36" t="s">
        <v>101</v>
      </c>
      <c r="I32" s="60">
        <f>ONSV_AUX_2017!K30</f>
        <v>107</v>
      </c>
      <c r="J32" s="9"/>
      <c r="K32" s="27"/>
      <c r="L32" s="62"/>
      <c r="M32" s="20"/>
      <c r="N32" s="28" t="s">
        <v>128</v>
      </c>
      <c r="O32" s="69">
        <f>J38/O31</f>
        <v>0.9785076638032677</v>
      </c>
      <c r="P32" s="64"/>
      <c r="Q32" s="70" t="s">
        <v>129</v>
      </c>
      <c r="R32" s="63">
        <f>J41/R31</f>
        <v>0.82967354539581206</v>
      </c>
      <c r="S32" s="71"/>
      <c r="T32" s="65" t="s">
        <v>130</v>
      </c>
      <c r="U32" s="67">
        <f>I47-J47</f>
        <v>1.7467152817753231</v>
      </c>
      <c r="V32" s="48"/>
      <c r="W32" s="65" t="s">
        <v>131</v>
      </c>
      <c r="X32" s="68">
        <f>I42-J42</f>
        <v>4.382237208836159</v>
      </c>
    </row>
    <row r="33" spans="8:24" ht="15.75">
      <c r="H33" s="36" t="s">
        <v>16</v>
      </c>
      <c r="I33" s="60">
        <f>ONSV_AUX_2017!K31</f>
        <v>243</v>
      </c>
      <c r="J33" s="9"/>
      <c r="K33" s="2" t="s">
        <v>132</v>
      </c>
      <c r="L33" s="63">
        <f>I38/L31</f>
        <v>0.7432226699929636</v>
      </c>
      <c r="M33" s="20"/>
      <c r="N33" s="28" t="s">
        <v>133</v>
      </c>
      <c r="O33" s="69">
        <f>J47/O31</f>
        <v>2.149233619673236E-2</v>
      </c>
      <c r="P33" s="64"/>
      <c r="Q33" s="70" t="s">
        <v>134</v>
      </c>
      <c r="R33" s="63">
        <f>J42/R31</f>
        <v>0.17032645460418805</v>
      </c>
      <c r="S33" s="71"/>
      <c r="T33" s="65" t="s">
        <v>135</v>
      </c>
      <c r="U33" s="72">
        <f>O37</f>
        <v>0</v>
      </c>
      <c r="V33" s="73"/>
      <c r="W33" s="65" t="s">
        <v>136</v>
      </c>
      <c r="X33" s="72">
        <f>R40</f>
        <v>12348.714209414506</v>
      </c>
    </row>
    <row r="34" spans="8:24" ht="15.75">
      <c r="H34" s="36" t="s">
        <v>94</v>
      </c>
      <c r="I34" s="60">
        <f>ONSV_AUX_2017!K32</f>
        <v>790857</v>
      </c>
      <c r="J34" s="10"/>
      <c r="K34" s="2" t="s">
        <v>2</v>
      </c>
      <c r="L34" s="63">
        <f>I41/L31</f>
        <v>0.19949740018824647</v>
      </c>
      <c r="M34" s="20"/>
      <c r="N34" s="20"/>
      <c r="O34" s="74"/>
      <c r="P34" s="48"/>
      <c r="Q34" s="48"/>
      <c r="R34" s="48"/>
      <c r="S34" s="48"/>
      <c r="T34" s="48"/>
      <c r="U34" s="62"/>
      <c r="V34" s="75"/>
      <c r="W34" s="48"/>
      <c r="X34" s="62"/>
    </row>
    <row r="35" spans="8:24" ht="15.75">
      <c r="K35" s="2" t="s">
        <v>3</v>
      </c>
      <c r="L35" s="63">
        <f>I42/L31</f>
        <v>4.0955487933035425E-2</v>
      </c>
      <c r="M35" s="20"/>
      <c r="N35" s="28" t="s">
        <v>137</v>
      </c>
      <c r="O35" s="60">
        <f>IF(O33*I30&gt;J47,J47,O33*I30)</f>
        <v>8930.2532847182247</v>
      </c>
      <c r="P35" s="76"/>
      <c r="Q35" s="65" t="s">
        <v>138</v>
      </c>
      <c r="R35" s="60">
        <f>I31-I39-I40-I43-I46</f>
        <v>59039</v>
      </c>
      <c r="S35" s="77"/>
      <c r="T35" s="65" t="s">
        <v>139</v>
      </c>
      <c r="U35" s="67">
        <f>O43</f>
        <v>392578.47517431073</v>
      </c>
      <c r="V35" s="76"/>
      <c r="W35" s="65" t="s">
        <v>140</v>
      </c>
      <c r="X35" s="67">
        <f>I39</f>
        <v>39518</v>
      </c>
    </row>
    <row r="36" spans="8:24" ht="15.75">
      <c r="H36" s="24" t="s">
        <v>141</v>
      </c>
      <c r="K36" s="2" t="s">
        <v>0</v>
      </c>
      <c r="L36" s="63">
        <f>I47/L31</f>
        <v>1.6324441885754493E-2</v>
      </c>
      <c r="O36" s="48"/>
      <c r="P36" s="76"/>
      <c r="Q36" s="65" t="s">
        <v>142</v>
      </c>
      <c r="R36" s="60">
        <f>R32*R35</f>
        <v>48983.096446623349</v>
      </c>
      <c r="S36" s="48"/>
      <c r="T36" s="65" t="s">
        <v>143</v>
      </c>
      <c r="U36" s="67">
        <f>O41</f>
        <v>13757</v>
      </c>
      <c r="V36" s="66"/>
      <c r="W36" s="65" t="s">
        <v>144</v>
      </c>
      <c r="X36" s="67">
        <f>I40</f>
        <v>4253</v>
      </c>
    </row>
    <row r="37" spans="8:24" ht="15.75">
      <c r="K37" s="11"/>
      <c r="L37" s="11"/>
      <c r="M37" s="11"/>
      <c r="N37" s="28" t="s">
        <v>145</v>
      </c>
      <c r="O37" s="60">
        <f>J47-O35</f>
        <v>0</v>
      </c>
      <c r="P37" s="76"/>
      <c r="Q37" s="65" t="s">
        <v>127</v>
      </c>
      <c r="R37" s="60">
        <f>R33*R35</f>
        <v>10055.903553376658</v>
      </c>
      <c r="S37" s="48"/>
      <c r="T37" s="65" t="s">
        <v>146</v>
      </c>
      <c r="U37" s="67">
        <f>O42</f>
        <v>243</v>
      </c>
      <c r="V37" s="71"/>
      <c r="W37" s="48"/>
      <c r="X37" s="62"/>
    </row>
    <row r="38" spans="8:24" ht="15.75">
      <c r="H38" s="37" t="s">
        <v>103</v>
      </c>
      <c r="I38" s="60">
        <f>ONSV_AUX_2017!K56</f>
        <v>406658</v>
      </c>
      <c r="J38" s="61">
        <f>I38-(L33*I32)</f>
        <v>406578.47517431073</v>
      </c>
      <c r="K38" s="11"/>
      <c r="L38" s="11"/>
      <c r="M38" s="11"/>
      <c r="O38" s="76"/>
      <c r="P38" s="76"/>
      <c r="Q38" s="48"/>
      <c r="R38" s="78"/>
      <c r="S38" s="48"/>
      <c r="T38" s="65" t="s">
        <v>147</v>
      </c>
      <c r="U38" s="68">
        <f>I38-J38</f>
        <v>79.524825689266436</v>
      </c>
      <c r="V38" s="71"/>
      <c r="W38" s="65" t="s">
        <v>148</v>
      </c>
      <c r="X38" s="67">
        <f>I46</f>
        <v>8643</v>
      </c>
    </row>
    <row r="39" spans="8:24" ht="15.75">
      <c r="H39" s="37" t="s">
        <v>104</v>
      </c>
      <c r="I39" s="60">
        <f>ONSV_AUX_2017!K57</f>
        <v>39518</v>
      </c>
      <c r="J39" s="10">
        <f>I39</f>
        <v>39518</v>
      </c>
      <c r="K39" s="11"/>
      <c r="L39" s="11"/>
      <c r="M39" s="11"/>
      <c r="N39" s="26" t="s">
        <v>149</v>
      </c>
      <c r="O39" s="76"/>
      <c r="P39" s="76"/>
      <c r="Q39" s="65" t="s">
        <v>150</v>
      </c>
      <c r="R39" s="60">
        <f>J41-R36</f>
        <v>60151.557331556505</v>
      </c>
      <c r="S39" s="48"/>
      <c r="T39" s="65" t="s">
        <v>151</v>
      </c>
      <c r="U39" s="72">
        <f>O44</f>
        <v>0</v>
      </c>
      <c r="V39" s="48"/>
      <c r="W39" s="65" t="s">
        <v>152</v>
      </c>
      <c r="X39" s="67">
        <f>I43</f>
        <v>4712</v>
      </c>
    </row>
    <row r="40" spans="8:24" ht="15.75">
      <c r="H40" s="37" t="s">
        <v>105</v>
      </c>
      <c r="I40" s="60">
        <f>ONSV_AUX_2017!K58</f>
        <v>4253</v>
      </c>
      <c r="J40" s="10">
        <f>I40</f>
        <v>4253</v>
      </c>
      <c r="K40" s="11"/>
      <c r="L40" s="11"/>
      <c r="M40" s="11"/>
      <c r="O40" s="73"/>
      <c r="P40" s="76"/>
      <c r="Q40" s="65" t="s">
        <v>136</v>
      </c>
      <c r="R40" s="60">
        <f>J42-R37</f>
        <v>12348.714209414506</v>
      </c>
      <c r="S40" s="48"/>
      <c r="T40" s="48"/>
      <c r="U40" s="62"/>
      <c r="V40" s="77"/>
      <c r="W40" s="48"/>
      <c r="X40" s="62"/>
    </row>
    <row r="41" spans="8:24" ht="15.75">
      <c r="H41" s="37" t="s">
        <v>106</v>
      </c>
      <c r="I41" s="60">
        <f>ONSV_AUX_2017!K59</f>
        <v>109156</v>
      </c>
      <c r="J41" s="61">
        <f>I41-(L34*I32)</f>
        <v>109134.65377817985</v>
      </c>
      <c r="K41" s="11"/>
      <c r="L41" s="11"/>
      <c r="M41" s="11"/>
      <c r="N41" s="28" t="s">
        <v>143</v>
      </c>
      <c r="O41" s="60">
        <f>I29</f>
        <v>13757</v>
      </c>
      <c r="P41" s="76"/>
      <c r="Q41" s="48"/>
      <c r="R41" s="48"/>
      <c r="S41" s="77"/>
      <c r="T41" s="65" t="s">
        <v>142</v>
      </c>
      <c r="U41" s="68">
        <f>R36</f>
        <v>48983.096446623349</v>
      </c>
      <c r="V41" s="48"/>
      <c r="W41" s="65" t="s">
        <v>153</v>
      </c>
      <c r="X41" s="67">
        <f>I44</f>
        <v>803456</v>
      </c>
    </row>
    <row r="42" spans="8:24" ht="15.75">
      <c r="H42" s="37" t="s">
        <v>107</v>
      </c>
      <c r="I42" s="60">
        <f>ONSV_AUX_2017!K60</f>
        <v>22409</v>
      </c>
      <c r="J42" s="61">
        <f>I42-(L35*I32)</f>
        <v>22404.617762791164</v>
      </c>
      <c r="K42" s="11"/>
      <c r="L42" s="11"/>
      <c r="M42" s="11"/>
      <c r="N42" s="28" t="s">
        <v>146</v>
      </c>
      <c r="O42" s="60">
        <f>I33</f>
        <v>243</v>
      </c>
      <c r="P42" s="76"/>
      <c r="Q42" s="48"/>
      <c r="R42" s="48"/>
      <c r="S42" s="48"/>
      <c r="T42" s="65" t="s">
        <v>154</v>
      </c>
      <c r="U42" s="68">
        <f>I41-J41</f>
        <v>21.346221820145729</v>
      </c>
      <c r="V42" s="48"/>
      <c r="W42" s="65" t="s">
        <v>155</v>
      </c>
      <c r="X42" s="67">
        <f>I45</f>
        <v>147234</v>
      </c>
    </row>
    <row r="43" spans="8:24" ht="15.75">
      <c r="H43" s="37" t="s">
        <v>108</v>
      </c>
      <c r="I43" s="60">
        <f>ONSV_AUX_2017!K61</f>
        <v>4712</v>
      </c>
      <c r="J43" s="10">
        <f>I43</f>
        <v>4712</v>
      </c>
      <c r="K43" s="11"/>
      <c r="L43" s="11"/>
      <c r="M43" s="11"/>
      <c r="N43" s="28" t="s">
        <v>139</v>
      </c>
      <c r="O43" s="60">
        <f>IF(OR((O32*I30&gt;J38),((O41+O42+(O32*I30))&gt;J38)),(J38-O41-O42),(O32*I30))</f>
        <v>392578.47517431073</v>
      </c>
      <c r="P43" s="76"/>
      <c r="Q43" s="48"/>
      <c r="R43" s="78"/>
      <c r="S43" s="48"/>
      <c r="T43" s="65" t="s">
        <v>150</v>
      </c>
      <c r="U43" s="72">
        <f>R39</f>
        <v>60151.557331556505</v>
      </c>
      <c r="V43" s="48"/>
      <c r="W43" s="48"/>
      <c r="X43" s="48"/>
    </row>
    <row r="44" spans="8:24" ht="15.75">
      <c r="H44" s="37" t="s">
        <v>109</v>
      </c>
      <c r="I44" s="60">
        <f>ONSV_AUX_2017!K62</f>
        <v>803456</v>
      </c>
      <c r="J44" s="10">
        <f>I44</f>
        <v>803456</v>
      </c>
      <c r="K44" s="11"/>
      <c r="L44" s="11"/>
      <c r="M44" s="11"/>
      <c r="N44" s="28" t="s">
        <v>151</v>
      </c>
      <c r="O44" s="60">
        <f>IF((J38-O41-O43-O42)&lt;0,0,(J38-O41-O43-O42))</f>
        <v>0</v>
      </c>
      <c r="P44" s="48"/>
      <c r="Q44" s="48"/>
      <c r="R44" s="48"/>
      <c r="S44" s="48"/>
      <c r="T44" s="48"/>
      <c r="U44" s="62"/>
      <c r="V44" s="48"/>
      <c r="W44" s="48"/>
      <c r="X44" s="48"/>
    </row>
    <row r="45" spans="8:24" ht="15.75">
      <c r="H45" s="37" t="s">
        <v>110</v>
      </c>
      <c r="I45" s="60">
        <f>ONSV_AUX_2017!K63</f>
        <v>147234</v>
      </c>
      <c r="J45" s="10">
        <f>I45</f>
        <v>147234</v>
      </c>
      <c r="K45" s="11"/>
      <c r="L45" s="11"/>
      <c r="M45" s="11"/>
      <c r="O45" s="48"/>
      <c r="P45" s="76"/>
      <c r="Q45" s="48"/>
      <c r="R45" s="48"/>
      <c r="S45" s="48"/>
      <c r="T45" s="79" t="s">
        <v>156</v>
      </c>
      <c r="U45" s="80">
        <f>(SUM(U31:U43,X31:X42)/SUM(I38:I47))-1</f>
        <v>0</v>
      </c>
      <c r="V45" s="48"/>
      <c r="W45" s="79" t="s">
        <v>10</v>
      </c>
      <c r="X45" s="67">
        <f>SUM(U31:U43,X31:X42)</f>
        <v>1554971</v>
      </c>
    </row>
    <row r="46" spans="8:24" ht="15.75">
      <c r="H46" s="37" t="s">
        <v>111</v>
      </c>
      <c r="I46" s="60">
        <f>ONSV_AUX_2017!K64</f>
        <v>8643</v>
      </c>
      <c r="J46" s="10">
        <f>I46</f>
        <v>8643</v>
      </c>
      <c r="K46" s="11"/>
      <c r="L46" s="11"/>
      <c r="M46" s="11"/>
      <c r="O46" s="48"/>
      <c r="P46" s="76"/>
      <c r="Q46" s="48"/>
      <c r="R46" s="48"/>
      <c r="S46" s="48"/>
      <c r="T46" s="48"/>
      <c r="U46" s="48"/>
      <c r="V46" s="48"/>
      <c r="W46" s="48"/>
      <c r="X46" s="48"/>
    </row>
    <row r="47" spans="8:24" ht="15.75">
      <c r="H47" s="37" t="s">
        <v>112</v>
      </c>
      <c r="I47" s="60">
        <f>ONSV_AUX_2017!K65</f>
        <v>8932</v>
      </c>
      <c r="J47" s="61">
        <f>I47-(L36*I32)</f>
        <v>8930.2532847182247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39"/>
      <c r="I48" s="40"/>
      <c r="J48" s="40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4" customFormat="1" ht="15.75">
      <c r="A50" s="101" t="str">
        <f>"MARANHÃO/"&amp;ONSV_AUX_2016!$A$1&amp;""</f>
        <v>MARANHÃO/2016</v>
      </c>
      <c r="B50" s="102"/>
      <c r="C50" s="102"/>
      <c r="D50" s="102"/>
      <c r="E50" s="102"/>
      <c r="F50" s="102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</row>
    <row r="52" spans="1:24" ht="15.75">
      <c r="H52" s="23" t="s">
        <v>118</v>
      </c>
      <c r="N52" s="26"/>
      <c r="O52" s="26"/>
      <c r="P52" s="9"/>
      <c r="Q52" s="26"/>
      <c r="R52" s="26"/>
      <c r="S52" s="26"/>
      <c r="T52" s="104"/>
      <c r="U52" s="104"/>
      <c r="V52" s="104"/>
      <c r="W52" s="104"/>
      <c r="X52" s="104"/>
    </row>
    <row r="53" spans="1:24" ht="15.75">
      <c r="J53" s="9"/>
      <c r="M53" s="25"/>
      <c r="N53" s="9"/>
      <c r="O53" s="9"/>
      <c r="P53" s="9"/>
      <c r="Q53" s="11"/>
      <c r="R53" s="11"/>
      <c r="S53" s="11"/>
    </row>
    <row r="54" spans="1:24" ht="15.75">
      <c r="H54" s="36" t="s">
        <v>81</v>
      </c>
      <c r="I54" s="60">
        <f>ONSV_AUX_2016!K27</f>
        <v>13712</v>
      </c>
      <c r="J54" s="9"/>
      <c r="K54" s="104" t="s">
        <v>119</v>
      </c>
      <c r="L54" s="104"/>
      <c r="M54" s="9"/>
      <c r="N54" s="26" t="s">
        <v>120</v>
      </c>
      <c r="O54" s="26"/>
      <c r="Q54" s="26" t="s">
        <v>121</v>
      </c>
      <c r="R54" s="26"/>
      <c r="S54" s="26"/>
      <c r="T54" s="25" t="s">
        <v>122</v>
      </c>
      <c r="U54" s="25"/>
      <c r="V54" s="25"/>
      <c r="W54" s="25"/>
      <c r="X54" s="25"/>
    </row>
    <row r="55" spans="1:24" ht="15.75">
      <c r="H55" s="36" t="s">
        <v>84</v>
      </c>
      <c r="I55" s="60">
        <f>ONSV_AUX_2016!K28</f>
        <v>599384</v>
      </c>
      <c r="J55" s="9"/>
      <c r="K55" s="9"/>
      <c r="L55" s="9"/>
      <c r="M55" s="9"/>
      <c r="N55" s="9"/>
      <c r="O55" s="9"/>
      <c r="P55" s="20"/>
      <c r="Q55" s="11"/>
      <c r="R55" s="11"/>
      <c r="S55" s="11"/>
    </row>
    <row r="56" spans="1:24" ht="15.75">
      <c r="H56" s="36" t="s">
        <v>85</v>
      </c>
      <c r="I56" s="60">
        <f>ONSV_AUX_2016!K29</f>
        <v>110454</v>
      </c>
      <c r="J56" s="9"/>
      <c r="K56" s="2" t="s">
        <v>123</v>
      </c>
      <c r="L56" s="60">
        <f>I63+I66+I67+I72</f>
        <v>523515</v>
      </c>
      <c r="N56" s="28" t="s">
        <v>124</v>
      </c>
      <c r="O56" s="60">
        <f>J63+J72</f>
        <v>399023.34029588458</v>
      </c>
      <c r="P56" s="64"/>
      <c r="Q56" s="65" t="s">
        <v>125</v>
      </c>
      <c r="R56" s="60">
        <f>J66+J67</f>
        <v>124397.65970411545</v>
      </c>
      <c r="S56" s="66"/>
      <c r="T56" s="65" t="s">
        <v>126</v>
      </c>
      <c r="U56" s="67">
        <f>O60</f>
        <v>8015.5605035194785</v>
      </c>
      <c r="V56" s="48"/>
      <c r="W56" s="65" t="s">
        <v>127</v>
      </c>
      <c r="X56" s="68">
        <f>R62</f>
        <v>9461.8864009001773</v>
      </c>
    </row>
    <row r="57" spans="1:24" ht="15.75">
      <c r="H57" s="36" t="s">
        <v>101</v>
      </c>
      <c r="I57" s="60">
        <f>ONSV_AUX_2016!K30</f>
        <v>94</v>
      </c>
      <c r="J57" s="9"/>
      <c r="K57" s="27"/>
      <c r="L57" s="62"/>
      <c r="M57" s="20"/>
      <c r="N57" s="28" t="s">
        <v>128</v>
      </c>
      <c r="O57" s="69">
        <f>J63/O56</f>
        <v>0.97991205101542234</v>
      </c>
      <c r="P57" s="64"/>
      <c r="Q57" s="70" t="s">
        <v>129</v>
      </c>
      <c r="R57" s="63">
        <f>J66/R56</f>
        <v>0.82898247870117348</v>
      </c>
      <c r="S57" s="71"/>
      <c r="T57" s="65" t="s">
        <v>130</v>
      </c>
      <c r="U57" s="67">
        <f>I72-J72</f>
        <v>1.439496480521484</v>
      </c>
      <c r="V57" s="48"/>
      <c r="W57" s="65" t="s">
        <v>131</v>
      </c>
      <c r="X57" s="68">
        <f>I67-J67</f>
        <v>3.8205820272596611</v>
      </c>
    </row>
    <row r="58" spans="1:24" ht="15.75">
      <c r="H58" s="36" t="s">
        <v>16</v>
      </c>
      <c r="I58" s="60">
        <f>ONSV_AUX_2016!K31</f>
        <v>223</v>
      </c>
      <c r="J58" s="9"/>
      <c r="K58" s="2" t="s">
        <v>132</v>
      </c>
      <c r="L58" s="63">
        <f>I63/L56</f>
        <v>0.74702348547797104</v>
      </c>
      <c r="M58" s="20"/>
      <c r="N58" s="28" t="s">
        <v>133</v>
      </c>
      <c r="O58" s="69">
        <f>J72/O56</f>
        <v>2.0087948984577605E-2</v>
      </c>
      <c r="P58" s="64"/>
      <c r="Q58" s="70" t="s">
        <v>134</v>
      </c>
      <c r="R58" s="63">
        <f>J67/R56</f>
        <v>0.17101752129882655</v>
      </c>
      <c r="S58" s="71"/>
      <c r="T58" s="65" t="s">
        <v>135</v>
      </c>
      <c r="U58" s="72">
        <f>O62</f>
        <v>0</v>
      </c>
      <c r="V58" s="73"/>
      <c r="W58" s="65" t="s">
        <v>136</v>
      </c>
      <c r="X58" s="72">
        <f>R65</f>
        <v>11812.293017072563</v>
      </c>
    </row>
    <row r="59" spans="1:24" ht="15.75">
      <c r="H59" s="36" t="s">
        <v>94</v>
      </c>
      <c r="I59" s="60">
        <f>ONSV_AUX_2016!K32</f>
        <v>761816</v>
      </c>
      <c r="J59" s="10"/>
      <c r="K59" s="2" t="s">
        <v>2</v>
      </c>
      <c r="L59" s="63">
        <f>I66/L56</f>
        <v>0.19701823252437847</v>
      </c>
      <c r="M59" s="20"/>
      <c r="N59" s="20"/>
      <c r="O59" s="74"/>
      <c r="P59" s="48"/>
      <c r="Q59" s="48"/>
      <c r="R59" s="48"/>
      <c r="S59" s="48"/>
      <c r="T59" s="48"/>
      <c r="U59" s="62"/>
      <c r="V59" s="75"/>
      <c r="W59" s="48"/>
      <c r="X59" s="62"/>
    </row>
    <row r="60" spans="1:24" ht="15.75">
      <c r="K60" s="2" t="s">
        <v>3</v>
      </c>
      <c r="L60" s="63">
        <f>I67/L56</f>
        <v>4.0644489651681423E-2</v>
      </c>
      <c r="M60" s="20"/>
      <c r="N60" s="28" t="s">
        <v>137</v>
      </c>
      <c r="O60" s="60">
        <f>IF(O58*I55&gt;J72,J72,O58*I55)</f>
        <v>8015.5605035194785</v>
      </c>
      <c r="P60" s="76"/>
      <c r="Q60" s="65" t="s">
        <v>138</v>
      </c>
      <c r="R60" s="60">
        <f>I56-I64-I65-I68-I71</f>
        <v>55327</v>
      </c>
      <c r="S60" s="77"/>
      <c r="T60" s="65" t="s">
        <v>139</v>
      </c>
      <c r="U60" s="67">
        <f>O68</f>
        <v>377072.77979236509</v>
      </c>
      <c r="V60" s="76"/>
      <c r="W60" s="65" t="s">
        <v>140</v>
      </c>
      <c r="X60" s="67">
        <f>I64</f>
        <v>38314</v>
      </c>
    </row>
    <row r="61" spans="1:24" ht="15.75">
      <c r="H61" s="24" t="s">
        <v>141</v>
      </c>
      <c r="K61" s="2" t="s">
        <v>0</v>
      </c>
      <c r="L61" s="63">
        <f>I72/L56</f>
        <v>1.5313792345969074E-2</v>
      </c>
      <c r="O61" s="48"/>
      <c r="P61" s="76"/>
      <c r="Q61" s="65" t="s">
        <v>142</v>
      </c>
      <c r="R61" s="60">
        <f>R57*R60</f>
        <v>45865.113599099823</v>
      </c>
      <c r="S61" s="48"/>
      <c r="T61" s="65" t="s">
        <v>143</v>
      </c>
      <c r="U61" s="67">
        <f>O66</f>
        <v>13712</v>
      </c>
      <c r="V61" s="66"/>
      <c r="W61" s="65" t="s">
        <v>144</v>
      </c>
      <c r="X61" s="67">
        <f>I65</f>
        <v>4030</v>
      </c>
    </row>
    <row r="62" spans="1:24" ht="15.75">
      <c r="K62" s="11"/>
      <c r="L62" s="11"/>
      <c r="M62" s="11"/>
      <c r="N62" s="28" t="s">
        <v>145</v>
      </c>
      <c r="O62" s="60">
        <f>J72-O60</f>
        <v>0</v>
      </c>
      <c r="P62" s="76"/>
      <c r="Q62" s="65" t="s">
        <v>127</v>
      </c>
      <c r="R62" s="60">
        <f>R58*R60</f>
        <v>9461.8864009001773</v>
      </c>
      <c r="S62" s="48"/>
      <c r="T62" s="65" t="s">
        <v>146</v>
      </c>
      <c r="U62" s="67">
        <f>O67</f>
        <v>223</v>
      </c>
      <c r="V62" s="71"/>
      <c r="W62" s="48"/>
      <c r="X62" s="62"/>
    </row>
    <row r="63" spans="1:24" ht="15.75">
      <c r="H63" s="37" t="s">
        <v>103</v>
      </c>
      <c r="I63" s="60">
        <f>ONSV_AUX_2016!K56</f>
        <v>391078</v>
      </c>
      <c r="J63" s="61">
        <f>I63-(L58*I57)</f>
        <v>391007.77979236509</v>
      </c>
      <c r="K63" s="11"/>
      <c r="L63" s="11"/>
      <c r="M63" s="11"/>
      <c r="O63" s="76"/>
      <c r="P63" s="76"/>
      <c r="Q63" s="48"/>
      <c r="R63" s="78"/>
      <c r="S63" s="48"/>
      <c r="T63" s="65" t="s">
        <v>147</v>
      </c>
      <c r="U63" s="68">
        <f>I63-J63</f>
        <v>70.220207634905819</v>
      </c>
      <c r="V63" s="71"/>
      <c r="W63" s="65" t="s">
        <v>148</v>
      </c>
      <c r="X63" s="67">
        <f>I71</f>
        <v>8200</v>
      </c>
    </row>
    <row r="64" spans="1:24" ht="15.75">
      <c r="H64" s="37" t="s">
        <v>104</v>
      </c>
      <c r="I64" s="60">
        <f>ONSV_AUX_2016!K57</f>
        <v>38314</v>
      </c>
      <c r="J64" s="10">
        <f>I64</f>
        <v>38314</v>
      </c>
      <c r="K64" s="11"/>
      <c r="L64" s="11"/>
      <c r="M64" s="11"/>
      <c r="N64" s="26" t="s">
        <v>149</v>
      </c>
      <c r="O64" s="76"/>
      <c r="P64" s="76"/>
      <c r="Q64" s="65" t="s">
        <v>150</v>
      </c>
      <c r="R64" s="60">
        <f>J66-R61</f>
        <v>57258.366687042879</v>
      </c>
      <c r="S64" s="48"/>
      <c r="T64" s="65" t="s">
        <v>151</v>
      </c>
      <c r="U64" s="72">
        <f>O69</f>
        <v>0</v>
      </c>
      <c r="V64" s="48"/>
      <c r="W64" s="65" t="s">
        <v>152</v>
      </c>
      <c r="X64" s="67">
        <f>I68</f>
        <v>4583</v>
      </c>
    </row>
    <row r="65" spans="1:24" ht="15.75">
      <c r="H65" s="37" t="s">
        <v>105</v>
      </c>
      <c r="I65" s="60">
        <f>ONSV_AUX_2016!K58</f>
        <v>4030</v>
      </c>
      <c r="J65" s="10">
        <f>I65</f>
        <v>4030</v>
      </c>
      <c r="K65" s="11"/>
      <c r="L65" s="11"/>
      <c r="M65" s="11"/>
      <c r="O65" s="73"/>
      <c r="P65" s="76"/>
      <c r="Q65" s="65" t="s">
        <v>136</v>
      </c>
      <c r="R65" s="60">
        <f>J67-R62</f>
        <v>11812.293017072563</v>
      </c>
      <c r="S65" s="48"/>
      <c r="T65" s="48"/>
      <c r="U65" s="62"/>
      <c r="V65" s="77"/>
      <c r="W65" s="48"/>
      <c r="X65" s="62"/>
    </row>
    <row r="66" spans="1:24" ht="15.75">
      <c r="H66" s="37" t="s">
        <v>106</v>
      </c>
      <c r="I66" s="60">
        <f>ONSV_AUX_2016!K59</f>
        <v>103142</v>
      </c>
      <c r="J66" s="61">
        <f>I66-(L59*I57)</f>
        <v>103123.4802861427</v>
      </c>
      <c r="K66" s="11"/>
      <c r="L66" s="11"/>
      <c r="M66" s="11"/>
      <c r="N66" s="28" t="s">
        <v>143</v>
      </c>
      <c r="O66" s="60">
        <f>I54</f>
        <v>13712</v>
      </c>
      <c r="P66" s="76"/>
      <c r="Q66" s="48"/>
      <c r="R66" s="48"/>
      <c r="S66" s="77"/>
      <c r="T66" s="65" t="s">
        <v>142</v>
      </c>
      <c r="U66" s="68">
        <f>R61</f>
        <v>45865.113599099823</v>
      </c>
      <c r="V66" s="48"/>
      <c r="W66" s="65" t="s">
        <v>153</v>
      </c>
      <c r="X66" s="67">
        <f>I69</f>
        <v>760569</v>
      </c>
    </row>
    <row r="67" spans="1:24" ht="15.75">
      <c r="H67" s="37" t="s">
        <v>107</v>
      </c>
      <c r="I67" s="60">
        <f>ONSV_AUX_2016!K60</f>
        <v>21278</v>
      </c>
      <c r="J67" s="61">
        <f>I67-(L60*I57)</f>
        <v>21274.17941797274</v>
      </c>
      <c r="K67" s="11"/>
      <c r="L67" s="11"/>
      <c r="M67" s="11"/>
      <c r="N67" s="28" t="s">
        <v>146</v>
      </c>
      <c r="O67" s="60">
        <f>I58</f>
        <v>223</v>
      </c>
      <c r="P67" s="76"/>
      <c r="Q67" s="48"/>
      <c r="R67" s="48"/>
      <c r="S67" s="48"/>
      <c r="T67" s="65" t="s">
        <v>154</v>
      </c>
      <c r="U67" s="68">
        <f>I66-J66</f>
        <v>18.519713857298484</v>
      </c>
      <c r="V67" s="48"/>
      <c r="W67" s="65" t="s">
        <v>155</v>
      </c>
      <c r="X67" s="67">
        <f>I70</f>
        <v>138727</v>
      </c>
    </row>
    <row r="68" spans="1:24" ht="15.75">
      <c r="H68" s="37" t="s">
        <v>108</v>
      </c>
      <c r="I68" s="60">
        <f>ONSV_AUX_2016!K61</f>
        <v>4583</v>
      </c>
      <c r="J68" s="10">
        <f>I68</f>
        <v>4583</v>
      </c>
      <c r="K68" s="11"/>
      <c r="L68" s="11"/>
      <c r="M68" s="11"/>
      <c r="N68" s="28" t="s">
        <v>139</v>
      </c>
      <c r="O68" s="60">
        <f>IF(OR((O57*I55&gt;J63),((O66+O67+(O57*I55))&gt;J63)),(J63-O66-O67),(O57*I55))</f>
        <v>377072.77979236509</v>
      </c>
      <c r="P68" s="76"/>
      <c r="Q68" s="48"/>
      <c r="R68" s="78"/>
      <c r="S68" s="48"/>
      <c r="T68" s="65" t="s">
        <v>150</v>
      </c>
      <c r="U68" s="72">
        <f>R64</f>
        <v>57258.366687042879</v>
      </c>
      <c r="V68" s="48"/>
      <c r="W68" s="48"/>
      <c r="X68" s="48"/>
    </row>
    <row r="69" spans="1:24" ht="15.75">
      <c r="H69" s="37" t="s">
        <v>109</v>
      </c>
      <c r="I69" s="60">
        <f>ONSV_AUX_2016!K62</f>
        <v>760569</v>
      </c>
      <c r="J69" s="10">
        <f>I69</f>
        <v>760569</v>
      </c>
      <c r="K69" s="11"/>
      <c r="L69" s="11"/>
      <c r="M69" s="11"/>
      <c r="N69" s="28" t="s">
        <v>151</v>
      </c>
      <c r="O69" s="60">
        <f>IF((J63-O66-O68-O67)&lt;0,0,(J63-O66-O68-O67))</f>
        <v>0</v>
      </c>
      <c r="P69" s="48"/>
      <c r="Q69" s="48"/>
      <c r="R69" s="48"/>
      <c r="S69" s="48"/>
      <c r="T69" s="48"/>
      <c r="U69" s="62"/>
      <c r="V69" s="48"/>
      <c r="W69" s="48"/>
      <c r="X69" s="48"/>
    </row>
    <row r="70" spans="1:24" ht="15.75">
      <c r="H70" s="37" t="s">
        <v>110</v>
      </c>
      <c r="I70" s="60">
        <f>ONSV_AUX_2016!K63</f>
        <v>138727</v>
      </c>
      <c r="J70" s="10">
        <f>I70</f>
        <v>138727</v>
      </c>
      <c r="K70" s="11"/>
      <c r="L70" s="11"/>
      <c r="M70" s="11"/>
      <c r="O70" s="48"/>
      <c r="P70" s="76"/>
      <c r="Q70" s="48"/>
      <c r="R70" s="48"/>
      <c r="S70" s="48"/>
      <c r="T70" s="79" t="s">
        <v>156</v>
      </c>
      <c r="U70" s="80">
        <f>(SUM(U56:U68,X56:X67)/SUM(I63:I72))-1</f>
        <v>0</v>
      </c>
      <c r="V70" s="48"/>
      <c r="W70" s="79" t="s">
        <v>10</v>
      </c>
      <c r="X70" s="67">
        <f>SUM(U56:U68,X56:X67)</f>
        <v>1477938</v>
      </c>
    </row>
    <row r="71" spans="1:24" ht="15.75">
      <c r="H71" s="37" t="s">
        <v>111</v>
      </c>
      <c r="I71" s="60">
        <f>ONSV_AUX_2016!K64</f>
        <v>8200</v>
      </c>
      <c r="J71" s="10">
        <f>I71</f>
        <v>8200</v>
      </c>
      <c r="K71" s="11"/>
      <c r="L71" s="11"/>
      <c r="M71" s="11"/>
      <c r="O71" s="48"/>
      <c r="P71" s="76"/>
      <c r="Q71" s="48"/>
      <c r="R71" s="48"/>
      <c r="S71" s="48"/>
      <c r="T71" s="48"/>
      <c r="U71" s="48"/>
      <c r="V71" s="48"/>
      <c r="W71" s="48"/>
      <c r="X71" s="48"/>
    </row>
    <row r="72" spans="1:24" ht="15.75">
      <c r="H72" s="37" t="s">
        <v>112</v>
      </c>
      <c r="I72" s="60">
        <f>ONSV_AUX_2016!K65</f>
        <v>8017</v>
      </c>
      <c r="J72" s="61">
        <f>I72-(L61*I57)</f>
        <v>8015.5605035194785</v>
      </c>
      <c r="K72" s="12"/>
      <c r="L72" s="12"/>
      <c r="M72" s="12"/>
      <c r="N72" s="12"/>
      <c r="O72" s="12"/>
      <c r="P72" s="12"/>
      <c r="Q72" s="4"/>
      <c r="R72" s="4"/>
    </row>
    <row r="75" spans="1:24" s="34" customFormat="1" ht="15.75">
      <c r="A75" s="101" t="str">
        <f>"MARANHÃO/"&amp;ONSV_AUX_2016!$A$1&amp;""</f>
        <v>MARANHÃO/2016</v>
      </c>
      <c r="B75" s="102"/>
      <c r="C75" s="102"/>
      <c r="D75" s="102"/>
      <c r="E75" s="102"/>
      <c r="F75" s="102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 spans="1:24"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>
      <c r="H77" s="23" t="s">
        <v>118</v>
      </c>
      <c r="P77" s="9"/>
    </row>
    <row r="78" spans="1:24" ht="15.75">
      <c r="J78" s="9"/>
      <c r="M78" s="25"/>
      <c r="P78" s="9"/>
    </row>
    <row r="79" spans="1:24" ht="15.75">
      <c r="H79" s="36" t="s">
        <v>81</v>
      </c>
      <c r="I79" s="60">
        <f>ONSV_AUX_2015!K27</f>
        <v>13673</v>
      </c>
      <c r="J79" s="9"/>
      <c r="K79" s="104" t="s">
        <v>119</v>
      </c>
      <c r="L79" s="104"/>
      <c r="M79" s="9"/>
      <c r="N79" s="26" t="s">
        <v>120</v>
      </c>
      <c r="O79" s="26"/>
      <c r="Q79" s="26" t="s">
        <v>121</v>
      </c>
      <c r="R79" s="26"/>
      <c r="S79" s="26"/>
      <c r="T79" s="25" t="s">
        <v>122</v>
      </c>
      <c r="U79" s="25"/>
      <c r="V79" s="25"/>
      <c r="W79" s="25"/>
      <c r="X79" s="25"/>
    </row>
    <row r="80" spans="1:24" ht="15.75">
      <c r="H80" s="36" t="s">
        <v>84</v>
      </c>
      <c r="I80" s="60">
        <f>ONSV_AUX_2015!K28</f>
        <v>540233</v>
      </c>
      <c r="J80" s="9"/>
      <c r="K80" s="9"/>
      <c r="L80" s="9"/>
      <c r="M80" s="9"/>
      <c r="N80" s="9"/>
      <c r="O80" s="9"/>
      <c r="P80" s="20"/>
      <c r="Q80" s="11"/>
      <c r="R80" s="11"/>
      <c r="S80" s="11"/>
    </row>
    <row r="81" spans="8:24" ht="15.75">
      <c r="H81" s="36" t="s">
        <v>85</v>
      </c>
      <c r="I81" s="60">
        <f>ONSV_AUX_2015!K29</f>
        <v>104363</v>
      </c>
      <c r="J81" s="9"/>
      <c r="K81" s="2" t="s">
        <v>123</v>
      </c>
      <c r="L81" s="60">
        <f>I88+I91+I92+I97</f>
        <v>496631</v>
      </c>
      <c r="N81" s="28" t="s">
        <v>124</v>
      </c>
      <c r="O81" s="60">
        <f>J88+J97</f>
        <v>379929.72794287914</v>
      </c>
      <c r="P81" s="64"/>
      <c r="Q81" s="65" t="s">
        <v>125</v>
      </c>
      <c r="R81" s="60">
        <f>J91+J92</f>
        <v>116617.27205712088</v>
      </c>
      <c r="S81" s="66"/>
      <c r="T81" s="65" t="s">
        <v>126</v>
      </c>
      <c r="U81" s="67">
        <f>O85</f>
        <v>7135.7928502248151</v>
      </c>
      <c r="V81" s="48"/>
      <c r="W81" s="65" t="s">
        <v>127</v>
      </c>
      <c r="X81" s="68">
        <f>R87</f>
        <v>8882.3659559145053</v>
      </c>
    </row>
    <row r="82" spans="8:24" ht="15.75">
      <c r="H82" s="36" t="s">
        <v>101</v>
      </c>
      <c r="I82" s="60">
        <f>ONSV_AUX_2015!K30</f>
        <v>84</v>
      </c>
      <c r="J82" s="9"/>
      <c r="K82" s="27"/>
      <c r="L82" s="62"/>
      <c r="M82" s="20"/>
      <c r="N82" s="28" t="s">
        <v>128</v>
      </c>
      <c r="O82" s="69">
        <f>J88/O81</f>
        <v>0.98121812449670254</v>
      </c>
      <c r="P82" s="64"/>
      <c r="Q82" s="70" t="s">
        <v>129</v>
      </c>
      <c r="R82" s="63">
        <f>J91/R81</f>
        <v>0.82916227269219889</v>
      </c>
      <c r="S82" s="71"/>
      <c r="T82" s="65" t="s">
        <v>130</v>
      </c>
      <c r="U82" s="67">
        <f>I97-J97</f>
        <v>1.2071497751849165</v>
      </c>
      <c r="V82" s="48"/>
      <c r="W82" s="65" t="s">
        <v>131</v>
      </c>
      <c r="X82" s="68">
        <f>I92-J92</f>
        <v>3.3702769259252818</v>
      </c>
    </row>
    <row r="83" spans="8:24" ht="15.75">
      <c r="H83" s="36" t="s">
        <v>16</v>
      </c>
      <c r="I83" s="60">
        <f>ONSV_AUX_2015!K31</f>
        <v>197</v>
      </c>
      <c r="J83" s="9"/>
      <c r="K83" s="2" t="s">
        <v>132</v>
      </c>
      <c r="L83" s="63">
        <f>I88/L81</f>
        <v>0.75077270649637251</v>
      </c>
      <c r="M83" s="20"/>
      <c r="N83" s="28" t="s">
        <v>133</v>
      </c>
      <c r="O83" s="69">
        <f>J97/O81</f>
        <v>1.8781875503297421E-2</v>
      </c>
      <c r="P83" s="64"/>
      <c r="Q83" s="70" t="s">
        <v>134</v>
      </c>
      <c r="R83" s="63">
        <f>J92/R81</f>
        <v>0.17083772730780114</v>
      </c>
      <c r="S83" s="71"/>
      <c r="T83" s="65" t="s">
        <v>135</v>
      </c>
      <c r="U83" s="72">
        <f>O87</f>
        <v>0</v>
      </c>
      <c r="V83" s="73"/>
      <c r="W83" s="65" t="s">
        <v>136</v>
      </c>
      <c r="X83" s="72">
        <f>R90</f>
        <v>11040.263767159569</v>
      </c>
    </row>
    <row r="84" spans="8:24" ht="15.75">
      <c r="H84" s="36" t="s">
        <v>94</v>
      </c>
      <c r="I84" s="60">
        <f>ONSV_AUX_2015!K32</f>
        <v>732413</v>
      </c>
      <c r="J84" s="10"/>
      <c r="K84" s="2" t="s">
        <v>2</v>
      </c>
      <c r="L84" s="63">
        <f>I91/L81</f>
        <v>0.19473411849038824</v>
      </c>
      <c r="M84" s="20"/>
      <c r="N84" s="20"/>
      <c r="O84" s="74"/>
      <c r="P84" s="48"/>
      <c r="Q84" s="48"/>
      <c r="R84" s="48"/>
      <c r="S84" s="48"/>
      <c r="T84" s="48"/>
      <c r="U84" s="62"/>
      <c r="V84" s="75"/>
      <c r="W84" s="48"/>
      <c r="X84" s="62"/>
    </row>
    <row r="85" spans="8:24" ht="15.75">
      <c r="K85" s="2" t="s">
        <v>3</v>
      </c>
      <c r="L85" s="63">
        <f>I92/L81</f>
        <v>4.0122344356272564E-2</v>
      </c>
      <c r="M85" s="20"/>
      <c r="N85" s="28" t="s">
        <v>137</v>
      </c>
      <c r="O85" s="60">
        <f>IF(O83*I80&gt;J97,J97,O83*I80)</f>
        <v>7135.7928502248151</v>
      </c>
      <c r="P85" s="76"/>
      <c r="Q85" s="65" t="s">
        <v>138</v>
      </c>
      <c r="R85" s="60">
        <f>I81-I89-I90-I93-I96</f>
        <v>51993</v>
      </c>
      <c r="S85" s="77"/>
      <c r="T85" s="65" t="s">
        <v>139</v>
      </c>
      <c r="U85" s="67">
        <f>O93</f>
        <v>358923.93509265431</v>
      </c>
      <c r="V85" s="76"/>
      <c r="W85" s="65" t="s">
        <v>140</v>
      </c>
      <c r="X85" s="67">
        <f>I89</f>
        <v>36603</v>
      </c>
    </row>
    <row r="86" spans="8:24" ht="15.75">
      <c r="H86" s="24" t="s">
        <v>141</v>
      </c>
      <c r="K86" s="2" t="s">
        <v>0</v>
      </c>
      <c r="L86" s="63">
        <f>I97/L81</f>
        <v>1.4370830656966642E-2</v>
      </c>
      <c r="O86" s="48"/>
      <c r="P86" s="76"/>
      <c r="Q86" s="65" t="s">
        <v>142</v>
      </c>
      <c r="R86" s="60">
        <f>R82*R85</f>
        <v>43110.634044085498</v>
      </c>
      <c r="S86" s="48"/>
      <c r="T86" s="65" t="s">
        <v>143</v>
      </c>
      <c r="U86" s="67">
        <f>O91</f>
        <v>13673</v>
      </c>
      <c r="V86" s="66"/>
      <c r="W86" s="65" t="s">
        <v>144</v>
      </c>
      <c r="X86" s="67">
        <f>I90</f>
        <v>3626</v>
      </c>
    </row>
    <row r="87" spans="8:24" ht="15.75">
      <c r="K87" s="11"/>
      <c r="L87" s="11"/>
      <c r="M87" s="11"/>
      <c r="N87" s="28" t="s">
        <v>145</v>
      </c>
      <c r="O87" s="60">
        <f>J97-O85</f>
        <v>0</v>
      </c>
      <c r="P87" s="76"/>
      <c r="Q87" s="65" t="s">
        <v>127</v>
      </c>
      <c r="R87" s="60">
        <f>R83*R85</f>
        <v>8882.3659559145053</v>
      </c>
      <c r="S87" s="48"/>
      <c r="T87" s="65" t="s">
        <v>146</v>
      </c>
      <c r="U87" s="67">
        <f>O92</f>
        <v>197</v>
      </c>
      <c r="V87" s="71"/>
      <c r="W87" s="48"/>
      <c r="X87" s="62"/>
    </row>
    <row r="88" spans="8:24" ht="15.75">
      <c r="H88" s="37" t="s">
        <v>103</v>
      </c>
      <c r="I88" s="60">
        <f>ONSV_AUX_2015!K56</f>
        <v>372857</v>
      </c>
      <c r="J88" s="61">
        <f>I88-(L83*I82)</f>
        <v>372793.93509265431</v>
      </c>
      <c r="K88" s="11"/>
      <c r="L88" s="11"/>
      <c r="M88" s="11"/>
      <c r="O88" s="76"/>
      <c r="P88" s="76"/>
      <c r="Q88" s="48"/>
      <c r="R88" s="78"/>
      <c r="S88" s="48"/>
      <c r="T88" s="65" t="s">
        <v>147</v>
      </c>
      <c r="U88" s="68">
        <f>I88-J88</f>
        <v>63.064907345687971</v>
      </c>
      <c r="V88" s="71"/>
      <c r="W88" s="65" t="s">
        <v>148</v>
      </c>
      <c r="X88" s="67">
        <f>I96</f>
        <v>7768</v>
      </c>
    </row>
    <row r="89" spans="8:24" ht="15.75">
      <c r="H89" s="37" t="s">
        <v>104</v>
      </c>
      <c r="I89" s="60">
        <f>ONSV_AUX_2015!K57</f>
        <v>36603</v>
      </c>
      <c r="J89" s="10">
        <f>I89</f>
        <v>36603</v>
      </c>
      <c r="K89" s="11"/>
      <c r="L89" s="11"/>
      <c r="M89" s="11"/>
      <c r="N89" s="26" t="s">
        <v>149</v>
      </c>
      <c r="O89" s="76"/>
      <c r="P89" s="76"/>
      <c r="Q89" s="65" t="s">
        <v>150</v>
      </c>
      <c r="R89" s="60">
        <f>J91-R86</f>
        <v>53584.008289961304</v>
      </c>
      <c r="S89" s="48"/>
      <c r="T89" s="65" t="s">
        <v>151</v>
      </c>
      <c r="U89" s="72">
        <f>O94</f>
        <v>0</v>
      </c>
      <c r="V89" s="48"/>
      <c r="W89" s="65" t="s">
        <v>152</v>
      </c>
      <c r="X89" s="67">
        <f>I93</f>
        <v>4373</v>
      </c>
    </row>
    <row r="90" spans="8:24" ht="15.75">
      <c r="H90" s="37" t="s">
        <v>105</v>
      </c>
      <c r="I90" s="60">
        <f>ONSV_AUX_2015!K58</f>
        <v>3626</v>
      </c>
      <c r="J90" s="10">
        <f>I90</f>
        <v>3626</v>
      </c>
      <c r="K90" s="11"/>
      <c r="L90" s="11"/>
      <c r="M90" s="11"/>
      <c r="O90" s="73"/>
      <c r="P90" s="76"/>
      <c r="Q90" s="65" t="s">
        <v>136</v>
      </c>
      <c r="R90" s="60">
        <f>J92-R87</f>
        <v>11040.263767159569</v>
      </c>
      <c r="S90" s="48"/>
      <c r="T90" s="48"/>
      <c r="U90" s="62"/>
      <c r="V90" s="77"/>
      <c r="W90" s="48"/>
      <c r="X90" s="62"/>
    </row>
    <row r="91" spans="8:24" ht="15.75">
      <c r="H91" s="37" t="s">
        <v>106</v>
      </c>
      <c r="I91" s="60">
        <f>ONSV_AUX_2015!K59</f>
        <v>96711</v>
      </c>
      <c r="J91" s="61">
        <f>I91-(L84*I82)</f>
        <v>96694.642334046803</v>
      </c>
      <c r="K91" s="11"/>
      <c r="L91" s="11"/>
      <c r="M91" s="11"/>
      <c r="N91" s="28" t="s">
        <v>143</v>
      </c>
      <c r="O91" s="60">
        <f>I79</f>
        <v>13673</v>
      </c>
      <c r="P91" s="76"/>
      <c r="Q91" s="48"/>
      <c r="R91" s="48"/>
      <c r="S91" s="77"/>
      <c r="T91" s="65" t="s">
        <v>142</v>
      </c>
      <c r="U91" s="68">
        <f>R86</f>
        <v>43110.634044085498</v>
      </c>
      <c r="V91" s="48"/>
      <c r="W91" s="65" t="s">
        <v>153</v>
      </c>
      <c r="X91" s="67">
        <f>I94</f>
        <v>705318</v>
      </c>
    </row>
    <row r="92" spans="8:24" ht="15.75">
      <c r="H92" s="37" t="s">
        <v>107</v>
      </c>
      <c r="I92" s="60">
        <f>ONSV_AUX_2015!K60</f>
        <v>19926</v>
      </c>
      <c r="J92" s="61">
        <f>I92-(L85*I82)</f>
        <v>19922.629723074075</v>
      </c>
      <c r="K92" s="11"/>
      <c r="L92" s="11"/>
      <c r="M92" s="11"/>
      <c r="N92" s="28" t="s">
        <v>146</v>
      </c>
      <c r="O92" s="60">
        <f>I83</f>
        <v>197</v>
      </c>
      <c r="P92" s="76"/>
      <c r="Q92" s="48"/>
      <c r="R92" s="48"/>
      <c r="S92" s="48"/>
      <c r="T92" s="65" t="s">
        <v>154</v>
      </c>
      <c r="U92" s="68">
        <f>I91-J91</f>
        <v>16.357665953197284</v>
      </c>
      <c r="V92" s="48"/>
      <c r="W92" s="65" t="s">
        <v>155</v>
      </c>
      <c r="X92" s="67">
        <f>I95</f>
        <v>127226</v>
      </c>
    </row>
    <row r="93" spans="8:24" ht="15.75">
      <c r="H93" s="37" t="s">
        <v>108</v>
      </c>
      <c r="I93" s="60">
        <f>ONSV_AUX_2015!K61</f>
        <v>4373</v>
      </c>
      <c r="J93" s="10">
        <f>I93</f>
        <v>4373</v>
      </c>
      <c r="K93" s="11"/>
      <c r="L93" s="11"/>
      <c r="M93" s="11"/>
      <c r="N93" s="28" t="s">
        <v>139</v>
      </c>
      <c r="O93" s="60">
        <f>IF(OR((O82*I80&gt;J88),((O91+O92+(O82*I80))&gt;J88)),(J88-O91-O92),(O82*I80))</f>
        <v>358923.93509265431</v>
      </c>
      <c r="P93" s="76"/>
      <c r="Q93" s="48"/>
      <c r="R93" s="78"/>
      <c r="S93" s="48"/>
      <c r="T93" s="65" t="s">
        <v>150</v>
      </c>
      <c r="U93" s="72">
        <f>R89</f>
        <v>53584.008289961304</v>
      </c>
      <c r="V93" s="48"/>
      <c r="W93" s="48"/>
      <c r="X93" s="48"/>
    </row>
    <row r="94" spans="8:24" ht="15.75">
      <c r="H94" s="37" t="s">
        <v>109</v>
      </c>
      <c r="I94" s="60">
        <f>ONSV_AUX_2015!K62</f>
        <v>705318</v>
      </c>
      <c r="J94" s="10">
        <f>I94</f>
        <v>705318</v>
      </c>
      <c r="K94" s="11"/>
      <c r="L94" s="11"/>
      <c r="M94" s="11"/>
      <c r="N94" s="28" t="s">
        <v>151</v>
      </c>
      <c r="O94" s="60">
        <f>IF((J88-O91-O93-O92)&lt;0,0,(J88-O91-O93-O92))</f>
        <v>0</v>
      </c>
      <c r="P94" s="48"/>
      <c r="Q94" s="48"/>
      <c r="R94" s="48"/>
      <c r="S94" s="48"/>
      <c r="T94" s="48"/>
      <c r="U94" s="62"/>
      <c r="V94" s="48"/>
      <c r="W94" s="48"/>
      <c r="X94" s="48"/>
    </row>
    <row r="95" spans="8:24" ht="15.75">
      <c r="H95" s="37" t="s">
        <v>110</v>
      </c>
      <c r="I95" s="60">
        <f>ONSV_AUX_2015!K63</f>
        <v>127226</v>
      </c>
      <c r="J95" s="10">
        <f>I95</f>
        <v>127226</v>
      </c>
      <c r="K95" s="11"/>
      <c r="L95" s="11"/>
      <c r="M95" s="11"/>
      <c r="O95" s="48"/>
      <c r="P95" s="76"/>
      <c r="Q95" s="48"/>
      <c r="R95" s="48"/>
      <c r="S95" s="48"/>
      <c r="T95" s="79" t="s">
        <v>156</v>
      </c>
      <c r="U95" s="80">
        <f>(SUM(U81:U93,X81:X92)/SUM(I88:I97))-1</f>
        <v>0</v>
      </c>
      <c r="V95" s="48"/>
      <c r="W95" s="79" t="s">
        <v>10</v>
      </c>
      <c r="X95" s="67">
        <f>SUM(U81:U93,X81:X92)</f>
        <v>1381545</v>
      </c>
    </row>
    <row r="96" spans="8:24" ht="15.75">
      <c r="H96" s="37" t="s">
        <v>111</v>
      </c>
      <c r="I96" s="60">
        <f>ONSV_AUX_2015!K64</f>
        <v>7768</v>
      </c>
      <c r="J96" s="10">
        <f>I96</f>
        <v>7768</v>
      </c>
      <c r="K96" s="11"/>
      <c r="L96" s="11"/>
      <c r="M96" s="11"/>
      <c r="O96" s="48"/>
      <c r="P96" s="76"/>
      <c r="Q96" s="48"/>
      <c r="R96" s="48"/>
      <c r="S96" s="48"/>
      <c r="T96" s="48"/>
      <c r="U96" s="48"/>
      <c r="V96" s="48"/>
      <c r="W96" s="48"/>
      <c r="X96" s="48"/>
    </row>
    <row r="97" spans="1:24" ht="15.75">
      <c r="H97" s="37" t="s">
        <v>112</v>
      </c>
      <c r="I97" s="60">
        <f>ONSV_AUX_2015!K65</f>
        <v>7137</v>
      </c>
      <c r="J97" s="61">
        <f>I97-(L86*I82)</f>
        <v>7135.7928502248151</v>
      </c>
      <c r="K97" s="12"/>
      <c r="L97" s="12"/>
      <c r="M97" s="12"/>
      <c r="N97" s="12"/>
      <c r="O97" s="12"/>
      <c r="P97" s="12"/>
      <c r="Q97" s="4"/>
      <c r="R97" s="4"/>
    </row>
    <row r="98" spans="1:24" ht="15.75">
      <c r="I98" s="40"/>
      <c r="J98" s="21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4" ht="15.75">
      <c r="I99" s="40"/>
      <c r="J99" s="21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4" s="34" customFormat="1" ht="15.75">
      <c r="A100" s="101" t="str">
        <f>"MARANHÃO/"&amp;ONSV_AUX_2014!$A$1&amp;""</f>
        <v>MARANHÃO/2014</v>
      </c>
      <c r="B100" s="102"/>
      <c r="C100" s="102"/>
      <c r="D100" s="102"/>
      <c r="E100" s="102"/>
      <c r="F100" s="102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</row>
    <row r="101" spans="1:24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>
      <c r="H102" s="23" t="s">
        <v>118</v>
      </c>
      <c r="N102" s="26"/>
      <c r="O102" s="26"/>
      <c r="P102" s="9"/>
      <c r="Q102" s="26"/>
      <c r="R102" s="26"/>
      <c r="S102" s="26"/>
      <c r="T102" s="25"/>
      <c r="U102" s="25"/>
      <c r="V102" s="25"/>
      <c r="W102" s="25"/>
      <c r="X102" s="25"/>
    </row>
    <row r="103" spans="1:24" ht="15.75">
      <c r="J103" s="9"/>
      <c r="M103" s="25"/>
      <c r="N103" s="9"/>
      <c r="O103" s="9"/>
      <c r="P103" s="9"/>
      <c r="Q103" s="11"/>
      <c r="R103" s="11"/>
      <c r="S103" s="11"/>
    </row>
    <row r="104" spans="1:24" ht="15.75">
      <c r="H104" s="36" t="s">
        <v>81</v>
      </c>
      <c r="I104" s="60">
        <f>ONSV_AUX_2014!K27</f>
        <v>13627</v>
      </c>
      <c r="J104" s="9"/>
      <c r="K104" s="104" t="s">
        <v>119</v>
      </c>
      <c r="L104" s="104"/>
      <c r="M104" s="9"/>
      <c r="N104" s="26" t="s">
        <v>120</v>
      </c>
      <c r="O104" s="26"/>
      <c r="Q104" s="26" t="s">
        <v>121</v>
      </c>
      <c r="R104" s="26"/>
      <c r="S104" s="26"/>
      <c r="T104" s="25" t="s">
        <v>122</v>
      </c>
      <c r="U104" s="25"/>
      <c r="V104" s="25"/>
      <c r="W104" s="25"/>
      <c r="X104" s="25"/>
    </row>
    <row r="105" spans="1:24" ht="15.75">
      <c r="H105" s="36" t="s">
        <v>84</v>
      </c>
      <c r="I105" s="60">
        <f>ONSV_AUX_2014!K28</f>
        <v>461090</v>
      </c>
      <c r="J105" s="9"/>
      <c r="K105" s="9"/>
      <c r="L105" s="9"/>
      <c r="M105" s="9"/>
      <c r="N105" s="9"/>
      <c r="O105" s="9"/>
      <c r="P105" s="20"/>
      <c r="Q105" s="11"/>
      <c r="R105" s="11"/>
      <c r="S105" s="11"/>
    </row>
    <row r="106" spans="1:24" ht="15.75">
      <c r="H106" s="36" t="s">
        <v>85</v>
      </c>
      <c r="I106" s="60">
        <f>ONSV_AUX_2014!K29</f>
        <v>96791</v>
      </c>
      <c r="J106" s="9"/>
      <c r="K106" s="2" t="s">
        <v>123</v>
      </c>
      <c r="L106" s="60">
        <f>I113+I116+I117+I122</f>
        <v>460724</v>
      </c>
      <c r="N106" s="28" t="s">
        <v>124</v>
      </c>
      <c r="O106" s="60">
        <f>J113+J122</f>
        <v>354439.21414990316</v>
      </c>
      <c r="P106" s="64"/>
      <c r="Q106" s="65" t="s">
        <v>125</v>
      </c>
      <c r="R106" s="60">
        <f>J116+J117</f>
        <v>106205.7858500968</v>
      </c>
      <c r="S106" s="66"/>
      <c r="T106" s="65" t="s">
        <v>126</v>
      </c>
      <c r="U106" s="67">
        <f>O110</f>
        <v>6389.9041400057304</v>
      </c>
      <c r="V106" s="48"/>
      <c r="W106" s="65" t="s">
        <v>127</v>
      </c>
      <c r="X106" s="68">
        <f>R112</f>
        <v>8317.9215808103636</v>
      </c>
    </row>
    <row r="107" spans="1:24" ht="15.75">
      <c r="H107" s="36" t="s">
        <v>101</v>
      </c>
      <c r="I107" s="60">
        <f>ONSV_AUX_2014!K30</f>
        <v>79</v>
      </c>
      <c r="J107" s="9"/>
      <c r="K107" s="27"/>
      <c r="L107" s="62"/>
      <c r="M107" s="20"/>
      <c r="N107" s="28" t="s">
        <v>128</v>
      </c>
      <c r="O107" s="69">
        <f>J113/O106</f>
        <v>0.98197179125528922</v>
      </c>
      <c r="P107" s="64"/>
      <c r="Q107" s="70" t="s">
        <v>129</v>
      </c>
      <c r="R107" s="63">
        <f>J116/R106</f>
        <v>0.82709180599487875</v>
      </c>
      <c r="S107" s="71"/>
      <c r="T107" s="65" t="s">
        <v>130</v>
      </c>
      <c r="U107" s="67">
        <f>I122-J122</f>
        <v>1.095859994269631</v>
      </c>
      <c r="V107" s="48"/>
      <c r="W107" s="65" t="s">
        <v>131</v>
      </c>
      <c r="X107" s="68">
        <f>I117-J117</f>
        <v>3.1493757651005581</v>
      </c>
    </row>
    <row r="108" spans="1:24" ht="15.75">
      <c r="H108" s="36" t="s">
        <v>16</v>
      </c>
      <c r="I108" s="60">
        <f>ONSV_AUX_2014!K31</f>
        <v>184</v>
      </c>
      <c r="J108" s="9"/>
      <c r="K108" s="2" t="s">
        <v>132</v>
      </c>
      <c r="L108" s="63">
        <f>I113/L106</f>
        <v>0.75556949496878822</v>
      </c>
      <c r="M108" s="20"/>
      <c r="N108" s="28" t="s">
        <v>133</v>
      </c>
      <c r="O108" s="69">
        <f>J122/O106</f>
        <v>1.8028208744710863E-2</v>
      </c>
      <c r="P108" s="64"/>
      <c r="Q108" s="70" t="s">
        <v>134</v>
      </c>
      <c r="R108" s="63">
        <f>J117/R106</f>
        <v>0.17290819400512125</v>
      </c>
      <c r="S108" s="71"/>
      <c r="T108" s="65" t="s">
        <v>135</v>
      </c>
      <c r="U108" s="72">
        <f>O112</f>
        <v>0</v>
      </c>
      <c r="V108" s="73"/>
      <c r="W108" s="65" t="s">
        <v>136</v>
      </c>
      <c r="X108" s="72">
        <f>R115</f>
        <v>10045.929043424536</v>
      </c>
    </row>
    <row r="109" spans="1:24" ht="15.75">
      <c r="H109" s="36" t="s">
        <v>94</v>
      </c>
      <c r="I109" s="60">
        <f>ONSV_AUX_2014!K32</f>
        <v>695302</v>
      </c>
      <c r="J109" s="10"/>
      <c r="K109" s="2" t="s">
        <v>2</v>
      </c>
      <c r="L109" s="63">
        <f>I116/L106</f>
        <v>0.19069334352019865</v>
      </c>
      <c r="M109" s="20"/>
      <c r="N109" s="20"/>
      <c r="O109" s="74"/>
      <c r="P109" s="48"/>
      <c r="Q109" s="48"/>
      <c r="R109" s="48"/>
      <c r="S109" s="48"/>
      <c r="T109" s="48"/>
      <c r="U109" s="62"/>
      <c r="V109" s="75"/>
      <c r="W109" s="48"/>
      <c r="X109" s="62"/>
    </row>
    <row r="110" spans="1:24" ht="15.75">
      <c r="K110" s="2" t="s">
        <v>3</v>
      </c>
      <c r="L110" s="63">
        <f>I117/L106</f>
        <v>3.9865516013925906E-2</v>
      </c>
      <c r="M110" s="20"/>
      <c r="N110" s="28" t="s">
        <v>137</v>
      </c>
      <c r="O110" s="60">
        <f>IF(O108*I105&gt;J122,J122,O108*I105)</f>
        <v>6389.9041400057304</v>
      </c>
      <c r="P110" s="76"/>
      <c r="Q110" s="65" t="s">
        <v>138</v>
      </c>
      <c r="R110" s="60">
        <f>I106-I114-I115-I118-I121</f>
        <v>48106</v>
      </c>
      <c r="S110" s="77"/>
      <c r="T110" s="65" t="s">
        <v>139</v>
      </c>
      <c r="U110" s="67">
        <f>O118</f>
        <v>334238.31000989745</v>
      </c>
      <c r="V110" s="76"/>
      <c r="W110" s="65" t="s">
        <v>140</v>
      </c>
      <c r="X110" s="67">
        <f>I114</f>
        <v>34247</v>
      </c>
    </row>
    <row r="111" spans="1:24" ht="15.75">
      <c r="H111" s="24" t="s">
        <v>141</v>
      </c>
      <c r="K111" s="2" t="s">
        <v>0</v>
      </c>
      <c r="L111" s="63">
        <f>I122/L106</f>
        <v>1.3871645497087193E-2</v>
      </c>
      <c r="O111" s="48"/>
      <c r="P111" s="76"/>
      <c r="Q111" s="65" t="s">
        <v>142</v>
      </c>
      <c r="R111" s="60">
        <f>R107*R110</f>
        <v>39788.078419189638</v>
      </c>
      <c r="S111" s="48"/>
      <c r="T111" s="65" t="s">
        <v>143</v>
      </c>
      <c r="U111" s="67">
        <f>O116</f>
        <v>13627</v>
      </c>
      <c r="V111" s="66"/>
      <c r="W111" s="65" t="s">
        <v>144</v>
      </c>
      <c r="X111" s="67">
        <f>I115</f>
        <v>3123</v>
      </c>
    </row>
    <row r="112" spans="1:24" ht="15.75">
      <c r="K112" s="11"/>
      <c r="L112" s="11"/>
      <c r="M112" s="11"/>
      <c r="N112" s="28" t="s">
        <v>145</v>
      </c>
      <c r="O112" s="60">
        <f>J122-O110</f>
        <v>0</v>
      </c>
      <c r="P112" s="76"/>
      <c r="Q112" s="65" t="s">
        <v>127</v>
      </c>
      <c r="R112" s="60">
        <f>R108*R110</f>
        <v>8317.9215808103636</v>
      </c>
      <c r="S112" s="48"/>
      <c r="T112" s="65" t="s">
        <v>146</v>
      </c>
      <c r="U112" s="67">
        <f>O117</f>
        <v>184</v>
      </c>
      <c r="V112" s="71"/>
      <c r="W112" s="48"/>
      <c r="X112" s="62"/>
    </row>
    <row r="113" spans="8:24" ht="15.75">
      <c r="H113" s="37" t="s">
        <v>103</v>
      </c>
      <c r="I113" s="60">
        <f>ONSV_AUX_2014!K56</f>
        <v>348109</v>
      </c>
      <c r="J113" s="61">
        <f>I113-(L108*I107)</f>
        <v>348049.31000989745</v>
      </c>
      <c r="K113" s="11"/>
      <c r="L113" s="11"/>
      <c r="M113" s="11"/>
      <c r="O113" s="76"/>
      <c r="P113" s="76"/>
      <c r="Q113" s="48"/>
      <c r="R113" s="78"/>
      <c r="S113" s="48"/>
      <c r="T113" s="65" t="s">
        <v>147</v>
      </c>
      <c r="U113" s="68">
        <f>I113-J113</f>
        <v>59.68999010254629</v>
      </c>
      <c r="V113" s="71"/>
      <c r="W113" s="65" t="s">
        <v>148</v>
      </c>
      <c r="X113" s="67">
        <f>I121</f>
        <v>7129</v>
      </c>
    </row>
    <row r="114" spans="8:24" ht="15.75">
      <c r="H114" s="37" t="s">
        <v>104</v>
      </c>
      <c r="I114" s="60">
        <f>ONSV_AUX_2014!K57</f>
        <v>34247</v>
      </c>
      <c r="J114" s="10">
        <f>I114</f>
        <v>34247</v>
      </c>
      <c r="K114" s="11"/>
      <c r="L114" s="11"/>
      <c r="M114" s="11"/>
      <c r="N114" s="26" t="s">
        <v>149</v>
      </c>
      <c r="O114" s="76"/>
      <c r="P114" s="76"/>
      <c r="Q114" s="65" t="s">
        <v>150</v>
      </c>
      <c r="R114" s="60">
        <f>J116-R111</f>
        <v>48053.856806672266</v>
      </c>
      <c r="S114" s="48"/>
      <c r="T114" s="65" t="s">
        <v>151</v>
      </c>
      <c r="U114" s="72">
        <f>O119</f>
        <v>0</v>
      </c>
      <c r="V114" s="48"/>
      <c r="W114" s="65" t="s">
        <v>152</v>
      </c>
      <c r="X114" s="67">
        <f>I118</f>
        <v>4186</v>
      </c>
    </row>
    <row r="115" spans="8:24" ht="15.75">
      <c r="H115" s="37" t="s">
        <v>105</v>
      </c>
      <c r="I115" s="60">
        <f>ONSV_AUX_2014!K58</f>
        <v>3123</v>
      </c>
      <c r="J115" s="10">
        <f>I115</f>
        <v>3123</v>
      </c>
      <c r="K115" s="11"/>
      <c r="L115" s="11"/>
      <c r="M115" s="11"/>
      <c r="O115" s="73"/>
      <c r="P115" s="76"/>
      <c r="Q115" s="65" t="s">
        <v>136</v>
      </c>
      <c r="R115" s="60">
        <f>J117-R112</f>
        <v>10045.929043424536</v>
      </c>
      <c r="S115" s="48"/>
      <c r="T115" s="48"/>
      <c r="U115" s="62"/>
      <c r="V115" s="77"/>
      <c r="W115" s="48"/>
      <c r="X115" s="62"/>
    </row>
    <row r="116" spans="8:24" ht="15.75">
      <c r="H116" s="37" t="s">
        <v>106</v>
      </c>
      <c r="I116" s="60">
        <f>ONSV_AUX_2014!K59</f>
        <v>87857</v>
      </c>
      <c r="J116" s="61">
        <f>I116-(L109*I107)</f>
        <v>87841.935225861904</v>
      </c>
      <c r="K116" s="11"/>
      <c r="L116" s="11"/>
      <c r="M116" s="11"/>
      <c r="N116" s="28" t="s">
        <v>143</v>
      </c>
      <c r="O116" s="60">
        <f>I104</f>
        <v>13627</v>
      </c>
      <c r="P116" s="76"/>
      <c r="Q116" s="48"/>
      <c r="R116" s="48"/>
      <c r="S116" s="77"/>
      <c r="T116" s="65" t="s">
        <v>142</v>
      </c>
      <c r="U116" s="68">
        <f>R111</f>
        <v>39788.078419189638</v>
      </c>
      <c r="V116" s="48"/>
      <c r="W116" s="65" t="s">
        <v>153</v>
      </c>
      <c r="X116" s="67">
        <f>I119</f>
        <v>636784</v>
      </c>
    </row>
    <row r="117" spans="8:24" ht="15.75">
      <c r="H117" s="37" t="s">
        <v>107</v>
      </c>
      <c r="I117" s="60">
        <f>ONSV_AUX_2014!K60</f>
        <v>18367</v>
      </c>
      <c r="J117" s="61">
        <f>I117-(L110*I107)</f>
        <v>18363.850624234899</v>
      </c>
      <c r="K117" s="11"/>
      <c r="L117" s="11"/>
      <c r="M117" s="11"/>
      <c r="N117" s="28" t="s">
        <v>146</v>
      </c>
      <c r="O117" s="60">
        <f>I108</f>
        <v>184</v>
      </c>
      <c r="P117" s="76"/>
      <c r="Q117" s="48"/>
      <c r="R117" s="48"/>
      <c r="S117" s="48"/>
      <c r="T117" s="65" t="s">
        <v>154</v>
      </c>
      <c r="U117" s="68">
        <f>I116-J116</f>
        <v>15.064774138096254</v>
      </c>
      <c r="V117" s="48"/>
      <c r="W117" s="65" t="s">
        <v>155</v>
      </c>
      <c r="X117" s="67">
        <f>I120</f>
        <v>112129</v>
      </c>
    </row>
    <row r="118" spans="8:24" ht="15.75">
      <c r="H118" s="37" t="s">
        <v>108</v>
      </c>
      <c r="I118" s="60">
        <f>ONSV_AUX_2014!K61</f>
        <v>4186</v>
      </c>
      <c r="J118" s="10">
        <f>I118</f>
        <v>4186</v>
      </c>
      <c r="K118" s="11"/>
      <c r="L118" s="11"/>
      <c r="M118" s="11"/>
      <c r="N118" s="28" t="s">
        <v>139</v>
      </c>
      <c r="O118" s="60">
        <f>IF(OR((O107*I105&gt;J113),((O116+O117+(O107*I105))&gt;J113)),(J113-O116-O117),(O107*I105))</f>
        <v>334238.31000989745</v>
      </c>
      <c r="P118" s="76"/>
      <c r="Q118" s="48"/>
      <c r="R118" s="78"/>
      <c r="S118" s="48"/>
      <c r="T118" s="65" t="s">
        <v>150</v>
      </c>
      <c r="U118" s="72">
        <f>R114</f>
        <v>48053.856806672266</v>
      </c>
      <c r="V118" s="48"/>
      <c r="W118" s="48"/>
      <c r="X118" s="48"/>
    </row>
    <row r="119" spans="8:24" ht="15.75">
      <c r="H119" s="37" t="s">
        <v>109</v>
      </c>
      <c r="I119" s="60">
        <f>ONSV_AUX_2014!K62</f>
        <v>636784</v>
      </c>
      <c r="J119" s="10">
        <f>I119</f>
        <v>636784</v>
      </c>
      <c r="K119" s="11"/>
      <c r="L119" s="11"/>
      <c r="M119" s="11"/>
      <c r="N119" s="28" t="s">
        <v>151</v>
      </c>
      <c r="O119" s="60">
        <f>IF((J113-O116-O118-O117)&lt;0,0,(J113-O116-O118-O117))</f>
        <v>0</v>
      </c>
      <c r="P119" s="48"/>
      <c r="Q119" s="48"/>
      <c r="R119" s="48"/>
      <c r="S119" s="48"/>
      <c r="T119" s="48"/>
      <c r="U119" s="62"/>
      <c r="V119" s="48"/>
      <c r="W119" s="48"/>
      <c r="X119" s="48"/>
    </row>
    <row r="120" spans="8:24" ht="15.75">
      <c r="H120" s="37" t="s">
        <v>110</v>
      </c>
      <c r="I120" s="60">
        <f>ONSV_AUX_2014!K63</f>
        <v>112129</v>
      </c>
      <c r="J120" s="10">
        <f>I120</f>
        <v>112129</v>
      </c>
      <c r="K120" s="11"/>
      <c r="L120" s="11"/>
      <c r="M120" s="11"/>
      <c r="O120" s="48"/>
      <c r="P120" s="76"/>
      <c r="Q120" s="48"/>
      <c r="R120" s="48"/>
      <c r="S120" s="48"/>
      <c r="T120" s="79" t="s">
        <v>156</v>
      </c>
      <c r="U120" s="80">
        <f>(SUM(U106:U118,X106:X117)/SUM(I113:I122))-1</f>
        <v>0</v>
      </c>
      <c r="V120" s="48"/>
      <c r="W120" s="79" t="s">
        <v>10</v>
      </c>
      <c r="X120" s="67">
        <f>SUM(U106:U118,X106:X117)</f>
        <v>1258322</v>
      </c>
    </row>
    <row r="121" spans="8:24" ht="15.75">
      <c r="H121" s="37" t="s">
        <v>111</v>
      </c>
      <c r="I121" s="60">
        <f>ONSV_AUX_2014!K64</f>
        <v>7129</v>
      </c>
      <c r="J121" s="10">
        <f>I121</f>
        <v>7129</v>
      </c>
      <c r="K121" s="11"/>
      <c r="L121" s="11"/>
      <c r="M121" s="11"/>
      <c r="O121" s="48"/>
      <c r="P121" s="76"/>
      <c r="Q121" s="48"/>
      <c r="R121" s="48"/>
      <c r="S121" s="48"/>
      <c r="T121" s="48"/>
      <c r="U121" s="48"/>
      <c r="V121" s="48"/>
      <c r="W121" s="48"/>
      <c r="X121" s="48"/>
    </row>
    <row r="122" spans="8:24" ht="15.75">
      <c r="H122" s="37" t="s">
        <v>112</v>
      </c>
      <c r="I122" s="60">
        <f>ONSV_AUX_2014!K65</f>
        <v>6391</v>
      </c>
      <c r="J122" s="61">
        <f>I122-(L111*I107)</f>
        <v>6389.9041400057304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A1:F1"/>
    <mergeCell ref="Q4:R4"/>
    <mergeCell ref="T4:X4"/>
    <mergeCell ref="K5:L5"/>
    <mergeCell ref="T27:X27"/>
    <mergeCell ref="T52:X52"/>
    <mergeCell ref="K79:L79"/>
    <mergeCell ref="A100:F100"/>
    <mergeCell ref="K104:L104"/>
    <mergeCell ref="A25:F25"/>
    <mergeCell ref="A50:F50"/>
    <mergeCell ref="K54:L54"/>
    <mergeCell ref="A75:F75"/>
    <mergeCell ref="K29:L2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39997558519241921"/>
  </sheetPr>
  <dimension ref="A1:X122"/>
  <sheetViews>
    <sheetView showGridLines="0" zoomScale="90" zoomScaleNormal="90" workbookViewId="0">
      <selection activeCell="H9" sqref="H9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</cols>
  <sheetData>
    <row r="1" spans="1:24" s="31" customFormat="1" ht="15.75">
      <c r="A1" s="101" t="str">
        <f>"MATO GROSSO/"&amp;ONSV_AUX_2018!$A$1&amp;""</f>
        <v>MATO GROSSO/2018</v>
      </c>
      <c r="B1" s="102"/>
      <c r="C1" s="102"/>
      <c r="D1" s="102"/>
      <c r="E1" s="102"/>
      <c r="F1" s="102"/>
    </row>
    <row r="2" spans="1:24" s="4" customFormat="1" ht="15.75">
      <c r="A2" s="32"/>
      <c r="B2" s="32"/>
      <c r="C2" s="32"/>
      <c r="D2" s="32"/>
      <c r="E2" s="32"/>
      <c r="F2" s="32"/>
    </row>
    <row r="3" spans="1:24" ht="15.75">
      <c r="A3" s="12"/>
      <c r="H3" s="23" t="s">
        <v>118</v>
      </c>
    </row>
    <row r="4" spans="1:24" ht="15.75">
      <c r="B4" s="5"/>
      <c r="J4" s="9"/>
      <c r="M4" s="25"/>
      <c r="N4" s="25"/>
      <c r="O4" s="25"/>
      <c r="P4" s="25"/>
      <c r="Q4" s="103"/>
      <c r="R4" s="103"/>
      <c r="S4" s="22"/>
      <c r="T4" s="104"/>
      <c r="U4" s="104"/>
      <c r="V4" s="104"/>
      <c r="W4" s="104"/>
      <c r="X4" s="104"/>
    </row>
    <row r="5" spans="1:24" ht="15.75">
      <c r="H5" s="36" t="s">
        <v>81</v>
      </c>
      <c r="I5" s="60">
        <f>ONSV_AUX_2018!L27</f>
        <v>48185</v>
      </c>
      <c r="J5" s="9"/>
      <c r="K5" s="104" t="s">
        <v>119</v>
      </c>
      <c r="L5" s="104"/>
      <c r="M5" s="9"/>
      <c r="N5" s="26" t="s">
        <v>120</v>
      </c>
      <c r="O5" s="26"/>
      <c r="Q5" s="26" t="s">
        <v>121</v>
      </c>
      <c r="R5" s="26"/>
      <c r="S5" s="26"/>
      <c r="T5" s="25" t="s">
        <v>122</v>
      </c>
      <c r="U5" s="25"/>
      <c r="V5" s="25"/>
      <c r="W5" s="25"/>
      <c r="X5" s="25"/>
    </row>
    <row r="6" spans="1:24" ht="15.75">
      <c r="H6" s="36" t="s">
        <v>84</v>
      </c>
      <c r="I6" s="60">
        <f>ONSV_AUX_2018!L28</f>
        <v>747567</v>
      </c>
      <c r="J6" s="9"/>
      <c r="K6" s="9"/>
      <c r="L6" s="9"/>
      <c r="M6" s="9"/>
      <c r="N6" s="9"/>
      <c r="O6" s="9"/>
      <c r="P6" s="20"/>
      <c r="Q6" s="11"/>
      <c r="R6" s="11"/>
      <c r="S6" s="11"/>
    </row>
    <row r="7" spans="1:24" ht="15.75">
      <c r="H7" s="36" t="s">
        <v>85</v>
      </c>
      <c r="I7" s="60">
        <f>ONSV_AUX_2018!L29</f>
        <v>227025</v>
      </c>
      <c r="J7" s="9"/>
      <c r="K7" s="2" t="s">
        <v>123</v>
      </c>
      <c r="L7" s="60">
        <f>I14+I17+I18+I23</f>
        <v>971052</v>
      </c>
      <c r="N7" s="28" t="s">
        <v>124</v>
      </c>
      <c r="O7" s="60">
        <f>J14+J23</f>
        <v>714537.0810275866</v>
      </c>
      <c r="P7" s="64"/>
      <c r="Q7" s="65" t="s">
        <v>125</v>
      </c>
      <c r="R7" s="60">
        <f>J17+J18</f>
        <v>256203.9189724134</v>
      </c>
      <c r="S7" s="66"/>
      <c r="T7" s="65" t="s">
        <v>126</v>
      </c>
      <c r="U7" s="67">
        <f>O11</f>
        <v>14981.200415631707</v>
      </c>
      <c r="V7" s="48"/>
      <c r="W7" s="65" t="s">
        <v>127</v>
      </c>
      <c r="X7" s="68">
        <f>R13</f>
        <v>17484.486604808691</v>
      </c>
    </row>
    <row r="8" spans="1:24" ht="15.75">
      <c r="H8" s="36" t="s">
        <v>101</v>
      </c>
      <c r="I8" s="60">
        <f>ONSV_AUX_2018!L30</f>
        <v>311</v>
      </c>
      <c r="J8" s="9"/>
      <c r="K8" s="27"/>
      <c r="L8" s="62"/>
      <c r="M8" s="20"/>
      <c r="N8" s="28" t="s">
        <v>128</v>
      </c>
      <c r="O8" s="69">
        <f>J14/O7</f>
        <v>0.97903369774163851</v>
      </c>
      <c r="P8" s="64"/>
      <c r="Q8" s="70" t="s">
        <v>129</v>
      </c>
      <c r="R8" s="63">
        <f>J17/R7</f>
        <v>0.8379700803009138</v>
      </c>
      <c r="S8" s="71"/>
      <c r="T8" s="65" t="s">
        <v>130</v>
      </c>
      <c r="U8" s="67">
        <f>I23-J23</f>
        <v>4.7995843682929262</v>
      </c>
      <c r="V8" s="48"/>
      <c r="W8" s="65" t="s">
        <v>131</v>
      </c>
      <c r="X8" s="68">
        <f>I18-J18</f>
        <v>13.299582308674871</v>
      </c>
    </row>
    <row r="9" spans="1:24" ht="15.75">
      <c r="H9" s="36" t="s">
        <v>16</v>
      </c>
      <c r="I9" s="60">
        <f>ONSV_AUX_2018!L31</f>
        <v>1374</v>
      </c>
      <c r="J9" s="9"/>
      <c r="K9" s="2" t="s">
        <v>132</v>
      </c>
      <c r="L9" s="63">
        <f>I14/L7</f>
        <v>0.72064111911617501</v>
      </c>
      <c r="M9" s="20"/>
      <c r="N9" s="28" t="s">
        <v>133</v>
      </c>
      <c r="O9" s="69">
        <f>J23/O7</f>
        <v>2.0966302258361477E-2</v>
      </c>
      <c r="P9" s="64"/>
      <c r="Q9" s="70" t="s">
        <v>134</v>
      </c>
      <c r="R9" s="63">
        <f>J18/R7</f>
        <v>0.16202991969908617</v>
      </c>
      <c r="S9" s="71"/>
      <c r="T9" s="65" t="s">
        <v>135</v>
      </c>
      <c r="U9" s="72">
        <f>O13</f>
        <v>0</v>
      </c>
      <c r="V9" s="73"/>
      <c r="W9" s="65" t="s">
        <v>136</v>
      </c>
      <c r="X9" s="72">
        <f>R16</f>
        <v>24028.213812882634</v>
      </c>
    </row>
    <row r="10" spans="1:24" ht="15.75">
      <c r="H10" s="36" t="s">
        <v>94</v>
      </c>
      <c r="I10" s="60">
        <f>ONSV_AUX_2018!L32</f>
        <v>900521</v>
      </c>
      <c r="J10" s="10"/>
      <c r="K10" s="2" t="s">
        <v>2</v>
      </c>
      <c r="L10" s="63">
        <f>I17/L7</f>
        <v>0.22116220346593179</v>
      </c>
      <c r="M10" s="20"/>
      <c r="N10" s="20"/>
      <c r="O10" s="74"/>
      <c r="P10" s="48"/>
      <c r="Q10" s="48"/>
      <c r="R10" s="48"/>
      <c r="S10" s="48"/>
      <c r="T10" s="48"/>
      <c r="U10" s="62"/>
      <c r="V10" s="75"/>
      <c r="W10" s="48"/>
      <c r="X10" s="62"/>
    </row>
    <row r="11" spans="1:24" ht="15.75">
      <c r="K11" s="2" t="s">
        <v>3</v>
      </c>
      <c r="L11" s="63">
        <f>I18/L7</f>
        <v>4.2763930252962767E-2</v>
      </c>
      <c r="M11" s="20"/>
      <c r="N11" s="28" t="s">
        <v>137</v>
      </c>
      <c r="O11" s="60">
        <f>IF(O9*I6&gt;J23,J23,O9*I6)</f>
        <v>14981.200415631707</v>
      </c>
      <c r="P11" s="76"/>
      <c r="Q11" s="65" t="s">
        <v>138</v>
      </c>
      <c r="R11" s="60">
        <f>I7-I15-I16-I19-I22</f>
        <v>107909</v>
      </c>
      <c r="S11" s="77"/>
      <c r="T11" s="65" t="s">
        <v>139</v>
      </c>
      <c r="U11" s="67">
        <f>O19</f>
        <v>649996.88061195484</v>
      </c>
      <c r="V11" s="76"/>
      <c r="W11" s="65" t="s">
        <v>140</v>
      </c>
      <c r="X11" s="67">
        <f>I15</f>
        <v>71396</v>
      </c>
    </row>
    <row r="12" spans="1:24" ht="15.75">
      <c r="H12" s="24" t="s">
        <v>141</v>
      </c>
      <c r="K12" s="2" t="s">
        <v>0</v>
      </c>
      <c r="L12" s="63">
        <f>I23/L7</f>
        <v>1.5432747164930405E-2</v>
      </c>
      <c r="O12" s="48"/>
      <c r="P12" s="76"/>
      <c r="Q12" s="65" t="s">
        <v>142</v>
      </c>
      <c r="R12" s="60">
        <f>R8*R11</f>
        <v>90424.513395191301</v>
      </c>
      <c r="S12" s="48"/>
      <c r="T12" s="65" t="s">
        <v>143</v>
      </c>
      <c r="U12" s="67">
        <f>O17</f>
        <v>48185</v>
      </c>
      <c r="V12" s="66"/>
      <c r="W12" s="65" t="s">
        <v>144</v>
      </c>
      <c r="X12" s="67">
        <f>I16</f>
        <v>32453</v>
      </c>
    </row>
    <row r="13" spans="1:24" ht="15.75">
      <c r="K13" s="11"/>
      <c r="L13" s="11"/>
      <c r="M13" s="11"/>
      <c r="N13" s="28" t="s">
        <v>145</v>
      </c>
      <c r="O13" s="60">
        <f>J23-O11</f>
        <v>0</v>
      </c>
      <c r="P13" s="76"/>
      <c r="Q13" s="65" t="s">
        <v>127</v>
      </c>
      <c r="R13" s="60">
        <f>R9*R11</f>
        <v>17484.486604808691</v>
      </c>
      <c r="S13" s="48"/>
      <c r="T13" s="65" t="s">
        <v>146</v>
      </c>
      <c r="U13" s="67">
        <f>O18</f>
        <v>1374</v>
      </c>
      <c r="V13" s="71"/>
      <c r="W13" s="48"/>
      <c r="X13" s="62"/>
    </row>
    <row r="14" spans="1:24" ht="15.75">
      <c r="H14" s="37" t="s">
        <v>103</v>
      </c>
      <c r="I14" s="60">
        <f>ONSV_AUX_2018!L56</f>
        <v>699780</v>
      </c>
      <c r="J14" s="61">
        <f>I14-(L9*I8)</f>
        <v>699555.88061195484</v>
      </c>
      <c r="K14" s="11"/>
      <c r="L14" s="11"/>
      <c r="M14" s="11"/>
      <c r="O14" s="76"/>
      <c r="P14" s="76"/>
      <c r="Q14" s="48"/>
      <c r="R14" s="78"/>
      <c r="S14" s="48"/>
      <c r="T14" s="65" t="s">
        <v>147</v>
      </c>
      <c r="U14" s="68">
        <f>I14-J14</f>
        <v>224.11938804516103</v>
      </c>
      <c r="V14" s="71"/>
      <c r="W14" s="65" t="s">
        <v>148</v>
      </c>
      <c r="X14" s="67">
        <f>I22</f>
        <v>11689</v>
      </c>
    </row>
    <row r="15" spans="1:24" ht="15.75">
      <c r="H15" s="37" t="s">
        <v>104</v>
      </c>
      <c r="I15" s="60">
        <f>ONSV_AUX_2018!L57</f>
        <v>71396</v>
      </c>
      <c r="J15" s="10">
        <f>I15</f>
        <v>71396</v>
      </c>
      <c r="K15" s="11"/>
      <c r="L15" s="11"/>
      <c r="M15" s="11"/>
      <c r="N15" s="26" t="s">
        <v>149</v>
      </c>
      <c r="O15" s="76"/>
      <c r="P15" s="76"/>
      <c r="Q15" s="65" t="s">
        <v>150</v>
      </c>
      <c r="R15" s="60">
        <f>J17-R12</f>
        <v>124266.70515953079</v>
      </c>
      <c r="S15" s="48"/>
      <c r="T15" s="65" t="s">
        <v>151</v>
      </c>
      <c r="U15" s="72">
        <f>O20</f>
        <v>0</v>
      </c>
      <c r="V15" s="48"/>
      <c r="W15" s="65" t="s">
        <v>152</v>
      </c>
      <c r="X15" s="67">
        <f>I19</f>
        <v>3578</v>
      </c>
    </row>
    <row r="16" spans="1:24" ht="15.75">
      <c r="H16" s="37" t="s">
        <v>105</v>
      </c>
      <c r="I16" s="60">
        <f>ONSV_AUX_2018!L58</f>
        <v>32453</v>
      </c>
      <c r="J16" s="10">
        <f>I16</f>
        <v>32453</v>
      </c>
      <c r="K16" s="11"/>
      <c r="L16" s="11"/>
      <c r="M16" s="11"/>
      <c r="O16" s="73"/>
      <c r="P16" s="76"/>
      <c r="Q16" s="65" t="s">
        <v>136</v>
      </c>
      <c r="R16" s="60">
        <f>J18-R13</f>
        <v>24028.213812882634</v>
      </c>
      <c r="S16" s="48"/>
      <c r="T16" s="48"/>
      <c r="U16" s="62"/>
      <c r="V16" s="77"/>
      <c r="W16" s="48"/>
      <c r="X16" s="62"/>
    </row>
    <row r="17" spans="1:24" ht="15.75">
      <c r="H17" s="37" t="s">
        <v>106</v>
      </c>
      <c r="I17" s="60">
        <f>ONSV_AUX_2018!L59</f>
        <v>214760</v>
      </c>
      <c r="J17" s="61">
        <f>I17-(L10*I8)</f>
        <v>214691.21855472209</v>
      </c>
      <c r="K17" s="11"/>
      <c r="L17" s="11"/>
      <c r="M17" s="11"/>
      <c r="N17" s="28" t="s">
        <v>143</v>
      </c>
      <c r="O17" s="60">
        <f>I5</f>
        <v>48185</v>
      </c>
      <c r="P17" s="76"/>
      <c r="Q17" s="48"/>
      <c r="R17" s="48"/>
      <c r="S17" s="77"/>
      <c r="T17" s="65" t="s">
        <v>142</v>
      </c>
      <c r="U17" s="68">
        <f>R12</f>
        <v>90424.513395191301</v>
      </c>
      <c r="V17" s="48"/>
      <c r="W17" s="65" t="s">
        <v>153</v>
      </c>
      <c r="X17" s="67">
        <f>I20</f>
        <v>610593</v>
      </c>
    </row>
    <row r="18" spans="1:24" ht="15.75">
      <c r="H18" s="37" t="s">
        <v>107</v>
      </c>
      <c r="I18" s="60">
        <f>ONSV_AUX_2018!L60</f>
        <v>41526</v>
      </c>
      <c r="J18" s="61">
        <f>I18-(L11*I8)</f>
        <v>41512.700417691325</v>
      </c>
      <c r="K18" s="11"/>
      <c r="L18" s="11"/>
      <c r="M18" s="11"/>
      <c r="N18" s="28" t="s">
        <v>146</v>
      </c>
      <c r="O18" s="60">
        <f>I9</f>
        <v>1374</v>
      </c>
      <c r="P18" s="76"/>
      <c r="Q18" s="48"/>
      <c r="R18" s="48"/>
      <c r="S18" s="48"/>
      <c r="T18" s="65" t="s">
        <v>154</v>
      </c>
      <c r="U18" s="68">
        <f>I17-J17</f>
        <v>68.781445277913008</v>
      </c>
      <c r="V18" s="48"/>
      <c r="W18" s="65" t="s">
        <v>155</v>
      </c>
      <c r="X18" s="67">
        <f>I21</f>
        <v>220198</v>
      </c>
    </row>
    <row r="19" spans="1:24" ht="15.75">
      <c r="H19" s="37" t="s">
        <v>108</v>
      </c>
      <c r="I19" s="60">
        <f>ONSV_AUX_2018!L61</f>
        <v>3578</v>
      </c>
      <c r="J19" s="10">
        <f>I19</f>
        <v>3578</v>
      </c>
      <c r="K19" s="11"/>
      <c r="L19" s="11"/>
      <c r="M19" s="11"/>
      <c r="N19" s="28" t="s">
        <v>139</v>
      </c>
      <c r="O19" s="60">
        <f>IF(OR((O8*I6&gt;J14),((O17+O18+(O8*I6))&gt;J14)),(J14-O17-O18),(O8*I6))</f>
        <v>649996.88061195484</v>
      </c>
      <c r="P19" s="76"/>
      <c r="Q19" s="48"/>
      <c r="R19" s="78"/>
      <c r="S19" s="48"/>
      <c r="T19" s="65" t="s">
        <v>150</v>
      </c>
      <c r="U19" s="72">
        <f>R15</f>
        <v>124266.70515953079</v>
      </c>
      <c r="V19" s="48"/>
      <c r="W19" s="48"/>
      <c r="X19" s="48"/>
    </row>
    <row r="20" spans="1:24" ht="15.75">
      <c r="H20" s="37" t="s">
        <v>109</v>
      </c>
      <c r="I20" s="60">
        <f>ONSV_AUX_2018!L62</f>
        <v>610593</v>
      </c>
      <c r="J20" s="10">
        <f t="shared" ref="J20:J22" si="0">I20</f>
        <v>610593</v>
      </c>
      <c r="K20" s="11"/>
      <c r="L20" s="11"/>
      <c r="M20" s="11"/>
      <c r="N20" s="28" t="s">
        <v>151</v>
      </c>
      <c r="O20" s="60">
        <f>IF((J14-O17-O19-O18)&lt;0,0,(J14-O17-O19-O18))</f>
        <v>0</v>
      </c>
      <c r="P20" s="48"/>
      <c r="Q20" s="48"/>
      <c r="R20" s="48"/>
      <c r="S20" s="48"/>
      <c r="T20" s="48"/>
      <c r="U20" s="62"/>
      <c r="V20" s="48"/>
      <c r="W20" s="48"/>
      <c r="X20" s="48"/>
    </row>
    <row r="21" spans="1:24" ht="15.75">
      <c r="H21" s="37" t="s">
        <v>110</v>
      </c>
      <c r="I21" s="60">
        <f>ONSV_AUX_2018!L63</f>
        <v>220198</v>
      </c>
      <c r="J21" s="10">
        <f t="shared" si="0"/>
        <v>220198</v>
      </c>
      <c r="K21" s="11"/>
      <c r="L21" s="11"/>
      <c r="M21" s="11"/>
      <c r="O21" s="48"/>
      <c r="P21" s="76"/>
      <c r="Q21" s="48"/>
      <c r="R21" s="48"/>
      <c r="S21" s="48"/>
      <c r="T21" s="79" t="s">
        <v>156</v>
      </c>
      <c r="U21" s="80">
        <f>(SUM(U7:U19,X7:X18)/SUM(I14:I23))-1</f>
        <v>0</v>
      </c>
      <c r="V21" s="48"/>
      <c r="W21" s="79" t="s">
        <v>10</v>
      </c>
      <c r="X21" s="67">
        <f>SUM(U7:U19,X7:X18)</f>
        <v>1920959</v>
      </c>
    </row>
    <row r="22" spans="1:24" ht="15.75">
      <c r="H22" s="37" t="s">
        <v>111</v>
      </c>
      <c r="I22" s="60">
        <f>ONSV_AUX_2018!L64</f>
        <v>11689</v>
      </c>
      <c r="J22" s="10">
        <f t="shared" si="0"/>
        <v>11689</v>
      </c>
      <c r="K22" s="11"/>
      <c r="L22" s="11"/>
      <c r="M22" s="11"/>
      <c r="O22" s="48"/>
      <c r="P22" s="76"/>
      <c r="Q22" s="48"/>
      <c r="R22" s="48"/>
      <c r="S22" s="48"/>
      <c r="T22" s="48"/>
      <c r="U22" s="48"/>
      <c r="V22" s="48"/>
      <c r="W22" s="48"/>
      <c r="X22" s="48"/>
    </row>
    <row r="23" spans="1:24" ht="15.75">
      <c r="H23" s="37" t="s">
        <v>112</v>
      </c>
      <c r="I23" s="60">
        <f>ONSV_AUX_2018!L65</f>
        <v>14986</v>
      </c>
      <c r="J23" s="61">
        <f>I23-(L12*I8)</f>
        <v>14981.200415631707</v>
      </c>
      <c r="K23" s="12"/>
      <c r="L23" s="12"/>
      <c r="M23" s="12"/>
      <c r="N23" s="12"/>
      <c r="O23" s="12"/>
      <c r="P23" s="12"/>
      <c r="Q23" s="4"/>
      <c r="R23" s="4"/>
    </row>
    <row r="25" spans="1:24" s="31" customFormat="1" ht="15.75">
      <c r="A25" s="101" t="str">
        <f>"MATO GROSSO/"&amp;ONSV_AUX_2017!$A$1&amp;""</f>
        <v>MATO GROSSO/2017</v>
      </c>
      <c r="B25" s="102"/>
      <c r="C25" s="102"/>
      <c r="D25" s="102"/>
      <c r="E25" s="102"/>
      <c r="F25" s="102"/>
    </row>
    <row r="26" spans="1:24" ht="15.75">
      <c r="A26" s="3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>
      <c r="A27" s="12"/>
      <c r="H27" s="23" t="s">
        <v>118</v>
      </c>
      <c r="N27" s="26"/>
      <c r="O27" s="26"/>
      <c r="P27" s="9"/>
      <c r="Q27" s="26"/>
      <c r="R27" s="26"/>
      <c r="S27" s="26"/>
      <c r="T27" s="104"/>
      <c r="U27" s="104"/>
      <c r="V27" s="104"/>
      <c r="W27" s="104"/>
      <c r="X27" s="104"/>
    </row>
    <row r="28" spans="1:24" ht="15.75">
      <c r="B28" s="5"/>
      <c r="J28" s="9"/>
      <c r="M28" s="25"/>
    </row>
    <row r="29" spans="1:24" ht="15.75">
      <c r="H29" s="36" t="s">
        <v>81</v>
      </c>
      <c r="I29" s="60">
        <f>ONSV_AUX_2017!L27</f>
        <v>48001</v>
      </c>
      <c r="J29" s="9"/>
      <c r="K29" s="104" t="s">
        <v>119</v>
      </c>
      <c r="L29" s="104"/>
      <c r="M29" s="9"/>
      <c r="N29" s="26" t="s">
        <v>120</v>
      </c>
      <c r="O29" s="26"/>
      <c r="Q29" s="26" t="s">
        <v>121</v>
      </c>
      <c r="R29" s="26"/>
      <c r="S29" s="26"/>
      <c r="T29" s="25" t="s">
        <v>122</v>
      </c>
      <c r="U29" s="25"/>
      <c r="V29" s="25"/>
      <c r="W29" s="25"/>
      <c r="X29" s="25"/>
    </row>
    <row r="30" spans="1:24" ht="15.75">
      <c r="H30" s="36" t="s">
        <v>84</v>
      </c>
      <c r="I30" s="60">
        <f>ONSV_AUX_2017!L28</f>
        <v>686168</v>
      </c>
      <c r="J30" s="9"/>
      <c r="K30" s="9"/>
      <c r="L30" s="9"/>
      <c r="M30" s="9"/>
      <c r="N30" s="9"/>
      <c r="O30" s="9"/>
      <c r="P30" s="20"/>
      <c r="Q30" s="11"/>
      <c r="R30" s="11"/>
      <c r="S30" s="11"/>
    </row>
    <row r="31" spans="1:24" ht="15.75">
      <c r="H31" s="36" t="s">
        <v>85</v>
      </c>
      <c r="I31" s="60">
        <f>ONSV_AUX_2017!L29</f>
        <v>216097</v>
      </c>
      <c r="J31" s="9"/>
      <c r="K31" s="2" t="s">
        <v>123</v>
      </c>
      <c r="L31" s="60">
        <f>I38+I41+I42+I47</f>
        <v>919401</v>
      </c>
      <c r="N31" s="28" t="s">
        <v>124</v>
      </c>
      <c r="O31" s="60">
        <f>J38+J47</f>
        <v>678964.80604654562</v>
      </c>
      <c r="P31" s="64"/>
      <c r="Q31" s="65" t="s">
        <v>125</v>
      </c>
      <c r="R31" s="60">
        <f>J41+J42</f>
        <v>240188.19395345447</v>
      </c>
      <c r="S31" s="66"/>
      <c r="T31" s="65" t="s">
        <v>126</v>
      </c>
      <c r="U31" s="67">
        <f>O35</f>
        <v>13520.352024850963</v>
      </c>
      <c r="V31" s="48"/>
      <c r="W31" s="65" t="s">
        <v>127</v>
      </c>
      <c r="X31" s="68">
        <f>R37</f>
        <v>16407.873391799476</v>
      </c>
    </row>
    <row r="32" spans="1:24" ht="15.75">
      <c r="H32" s="36" t="s">
        <v>101</v>
      </c>
      <c r="I32" s="60">
        <f>ONSV_AUX_2017!L30</f>
        <v>248</v>
      </c>
      <c r="J32" s="9"/>
      <c r="K32" s="27"/>
      <c r="L32" s="62"/>
      <c r="M32" s="20"/>
      <c r="N32" s="28" t="s">
        <v>128</v>
      </c>
      <c r="O32" s="69">
        <f>J38/O31</f>
        <v>0.98008681465601011</v>
      </c>
      <c r="P32" s="64"/>
      <c r="Q32" s="70" t="s">
        <v>129</v>
      </c>
      <c r="R32" s="63">
        <f>J41/R31</f>
        <v>0.83950668670110262</v>
      </c>
      <c r="S32" s="71"/>
      <c r="T32" s="65" t="s">
        <v>130</v>
      </c>
      <c r="U32" s="67">
        <f>I47-J47</f>
        <v>3.6479751490369381</v>
      </c>
      <c r="V32" s="48"/>
      <c r="W32" s="65" t="s">
        <v>131</v>
      </c>
      <c r="X32" s="68">
        <f>I42-J42</f>
        <v>10.400937131897081</v>
      </c>
    </row>
    <row r="33" spans="8:24" ht="15.75">
      <c r="H33" s="36" t="s">
        <v>16</v>
      </c>
      <c r="I33" s="60">
        <f>ONSV_AUX_2017!L31</f>
        <v>1422</v>
      </c>
      <c r="J33" s="9"/>
      <c r="K33" s="2" t="s">
        <v>132</v>
      </c>
      <c r="L33" s="63">
        <f>I38/L31</f>
        <v>0.72397571897354907</v>
      </c>
      <c r="M33" s="20"/>
      <c r="N33" s="28" t="s">
        <v>133</v>
      </c>
      <c r="O33" s="69">
        <f>J47/O31</f>
        <v>1.9913185343989819E-2</v>
      </c>
      <c r="P33" s="64"/>
      <c r="Q33" s="70" t="s">
        <v>134</v>
      </c>
      <c r="R33" s="63">
        <f>J42/R31</f>
        <v>0.16049331329889741</v>
      </c>
      <c r="S33" s="71"/>
      <c r="T33" s="65" t="s">
        <v>135</v>
      </c>
      <c r="U33" s="72">
        <f>O37</f>
        <v>0</v>
      </c>
      <c r="V33" s="73"/>
      <c r="W33" s="65" t="s">
        <v>136</v>
      </c>
      <c r="X33" s="72">
        <f>R40</f>
        <v>22140.725671068627</v>
      </c>
    </row>
    <row r="34" spans="8:24" ht="15.75">
      <c r="H34" s="36" t="s">
        <v>94</v>
      </c>
      <c r="I34" s="60">
        <f>ONSV_AUX_2017!L32</f>
        <v>882854</v>
      </c>
      <c r="J34" s="10"/>
      <c r="K34" s="2" t="s">
        <v>2</v>
      </c>
      <c r="L34" s="63">
        <f>I41/L31</f>
        <v>0.21937544118398827</v>
      </c>
      <c r="M34" s="20"/>
      <c r="N34" s="20"/>
      <c r="O34" s="74"/>
      <c r="P34" s="48"/>
      <c r="Q34" s="48"/>
      <c r="R34" s="48"/>
      <c r="S34" s="48"/>
      <c r="T34" s="48"/>
      <c r="U34" s="62"/>
      <c r="V34" s="75"/>
      <c r="W34" s="48"/>
      <c r="X34" s="62"/>
    </row>
    <row r="35" spans="8:24" ht="15.75">
      <c r="K35" s="2" t="s">
        <v>3</v>
      </c>
      <c r="L35" s="63">
        <f>I42/L31</f>
        <v>4.1939262628602751E-2</v>
      </c>
      <c r="M35" s="20"/>
      <c r="N35" s="28" t="s">
        <v>137</v>
      </c>
      <c r="O35" s="60">
        <f>IF(O33*I30&gt;J47,J47,O33*I30)</f>
        <v>13520.352024850963</v>
      </c>
      <c r="P35" s="76"/>
      <c r="Q35" s="65" t="s">
        <v>138</v>
      </c>
      <c r="R35" s="60">
        <f>I31-I39-I40-I43-I46</f>
        <v>102234</v>
      </c>
      <c r="S35" s="77"/>
      <c r="T35" s="65" t="s">
        <v>139</v>
      </c>
      <c r="U35" s="67">
        <f>O43</f>
        <v>616021.4540216946</v>
      </c>
      <c r="V35" s="76"/>
      <c r="W35" s="65" t="s">
        <v>140</v>
      </c>
      <c r="X35" s="67">
        <f>I39</f>
        <v>68979</v>
      </c>
    </row>
    <row r="36" spans="8:24" ht="15.75">
      <c r="H36" s="24" t="s">
        <v>141</v>
      </c>
      <c r="K36" s="2" t="s">
        <v>0</v>
      </c>
      <c r="L36" s="63">
        <f>I47/L31</f>
        <v>1.4709577213859893E-2</v>
      </c>
      <c r="O36" s="48"/>
      <c r="P36" s="76"/>
      <c r="Q36" s="65" t="s">
        <v>142</v>
      </c>
      <c r="R36" s="60">
        <f>R32*R35</f>
        <v>85826.126608200531</v>
      </c>
      <c r="S36" s="48"/>
      <c r="T36" s="65" t="s">
        <v>143</v>
      </c>
      <c r="U36" s="67">
        <f>O41</f>
        <v>48001</v>
      </c>
      <c r="V36" s="66"/>
      <c r="W36" s="65" t="s">
        <v>144</v>
      </c>
      <c r="X36" s="67">
        <f>I40</f>
        <v>30108</v>
      </c>
    </row>
    <row r="37" spans="8:24" ht="15.75">
      <c r="K37" s="11"/>
      <c r="L37" s="11"/>
      <c r="M37" s="11"/>
      <c r="N37" s="28" t="s">
        <v>145</v>
      </c>
      <c r="O37" s="60">
        <f>J47-O35</f>
        <v>0</v>
      </c>
      <c r="P37" s="76"/>
      <c r="Q37" s="65" t="s">
        <v>127</v>
      </c>
      <c r="R37" s="60">
        <f>R33*R35</f>
        <v>16407.873391799476</v>
      </c>
      <c r="S37" s="48"/>
      <c r="T37" s="65" t="s">
        <v>146</v>
      </c>
      <c r="U37" s="67">
        <f>O42</f>
        <v>1422</v>
      </c>
      <c r="V37" s="71"/>
      <c r="W37" s="48"/>
      <c r="X37" s="62"/>
    </row>
    <row r="38" spans="8:24" ht="15.75">
      <c r="H38" s="37" t="s">
        <v>103</v>
      </c>
      <c r="I38" s="60">
        <f>ONSV_AUX_2017!L56</f>
        <v>665624</v>
      </c>
      <c r="J38" s="61">
        <f>I38-(L33*I32)</f>
        <v>665444.4540216946</v>
      </c>
      <c r="K38" s="11"/>
      <c r="L38" s="11"/>
      <c r="M38" s="11"/>
      <c r="O38" s="76"/>
      <c r="P38" s="76"/>
      <c r="Q38" s="48"/>
      <c r="R38" s="78"/>
      <c r="S38" s="48"/>
      <c r="T38" s="65" t="s">
        <v>147</v>
      </c>
      <c r="U38" s="68">
        <f>I38-J38</f>
        <v>179.54597830539569</v>
      </c>
      <c r="V38" s="71"/>
      <c r="W38" s="65" t="s">
        <v>148</v>
      </c>
      <c r="X38" s="67">
        <f>I46</f>
        <v>11306</v>
      </c>
    </row>
    <row r="39" spans="8:24" ht="15.75">
      <c r="H39" s="37" t="s">
        <v>104</v>
      </c>
      <c r="I39" s="60">
        <f>ONSV_AUX_2017!L57</f>
        <v>68979</v>
      </c>
      <c r="J39" s="10">
        <f>I39</f>
        <v>68979</v>
      </c>
      <c r="K39" s="11"/>
      <c r="L39" s="11"/>
      <c r="M39" s="11"/>
      <c r="N39" s="26" t="s">
        <v>149</v>
      </c>
      <c r="O39" s="76"/>
      <c r="P39" s="76"/>
      <c r="Q39" s="65" t="s">
        <v>150</v>
      </c>
      <c r="R39" s="60">
        <f>J41-R36</f>
        <v>115813.46828238583</v>
      </c>
      <c r="S39" s="48"/>
      <c r="T39" s="65" t="s">
        <v>151</v>
      </c>
      <c r="U39" s="72">
        <f>O44</f>
        <v>0</v>
      </c>
      <c r="V39" s="48"/>
      <c r="W39" s="65" t="s">
        <v>152</v>
      </c>
      <c r="X39" s="67">
        <f>I43</f>
        <v>3470</v>
      </c>
    </row>
    <row r="40" spans="8:24" ht="15.75">
      <c r="H40" s="37" t="s">
        <v>105</v>
      </c>
      <c r="I40" s="60">
        <f>ONSV_AUX_2017!L58</f>
        <v>30108</v>
      </c>
      <c r="J40" s="10">
        <f>I40</f>
        <v>30108</v>
      </c>
      <c r="K40" s="11"/>
      <c r="L40" s="11"/>
      <c r="M40" s="11"/>
      <c r="O40" s="73"/>
      <c r="P40" s="76"/>
      <c r="Q40" s="65" t="s">
        <v>136</v>
      </c>
      <c r="R40" s="60">
        <f>J42-R37</f>
        <v>22140.725671068627</v>
      </c>
      <c r="S40" s="48"/>
      <c r="T40" s="48"/>
      <c r="U40" s="62"/>
      <c r="V40" s="77"/>
      <c r="W40" s="48"/>
      <c r="X40" s="62"/>
    </row>
    <row r="41" spans="8:24" ht="15.75">
      <c r="H41" s="37" t="s">
        <v>106</v>
      </c>
      <c r="I41" s="60">
        <f>ONSV_AUX_2017!L59</f>
        <v>201694</v>
      </c>
      <c r="J41" s="61">
        <f>I41-(L34*I32)</f>
        <v>201639.59489058636</v>
      </c>
      <c r="K41" s="11"/>
      <c r="L41" s="11"/>
      <c r="M41" s="11"/>
      <c r="N41" s="28" t="s">
        <v>143</v>
      </c>
      <c r="O41" s="60">
        <f>I29</f>
        <v>48001</v>
      </c>
      <c r="P41" s="76"/>
      <c r="Q41" s="48"/>
      <c r="R41" s="48"/>
      <c r="S41" s="77"/>
      <c r="T41" s="65" t="s">
        <v>142</v>
      </c>
      <c r="U41" s="68">
        <f>R36</f>
        <v>85826.126608200531</v>
      </c>
      <c r="V41" s="48"/>
      <c r="W41" s="65" t="s">
        <v>153</v>
      </c>
      <c r="X41" s="67">
        <f>I44</f>
        <v>588881</v>
      </c>
    </row>
    <row r="42" spans="8:24" ht="15.75">
      <c r="H42" s="37" t="s">
        <v>107</v>
      </c>
      <c r="I42" s="60">
        <f>ONSV_AUX_2017!L60</f>
        <v>38559</v>
      </c>
      <c r="J42" s="61">
        <f>I42-(L35*I32)</f>
        <v>38548.599062868103</v>
      </c>
      <c r="K42" s="11"/>
      <c r="L42" s="11"/>
      <c r="M42" s="11"/>
      <c r="N42" s="28" t="s">
        <v>146</v>
      </c>
      <c r="O42" s="60">
        <f>I33</f>
        <v>1422</v>
      </c>
      <c r="P42" s="76"/>
      <c r="Q42" s="48"/>
      <c r="R42" s="48"/>
      <c r="S42" s="48"/>
      <c r="T42" s="65" t="s">
        <v>154</v>
      </c>
      <c r="U42" s="68">
        <f>I41-J41</f>
        <v>54.405109413637547</v>
      </c>
      <c r="V42" s="48"/>
      <c r="W42" s="65" t="s">
        <v>155</v>
      </c>
      <c r="X42" s="67">
        <f>I45</f>
        <v>208181</v>
      </c>
    </row>
    <row r="43" spans="8:24" ht="15.75">
      <c r="H43" s="37" t="s">
        <v>108</v>
      </c>
      <c r="I43" s="60">
        <f>ONSV_AUX_2017!L61</f>
        <v>3470</v>
      </c>
      <c r="J43" s="10">
        <f>I43</f>
        <v>3470</v>
      </c>
      <c r="K43" s="11"/>
      <c r="L43" s="11"/>
      <c r="M43" s="11"/>
      <c r="N43" s="28" t="s">
        <v>139</v>
      </c>
      <c r="O43" s="60">
        <f>IF(OR((O32*I30&gt;J38),((O41+O42+(O32*I30))&gt;J38)),(J38-O41-O42),(O32*I30))</f>
        <v>616021.4540216946</v>
      </c>
      <c r="P43" s="76"/>
      <c r="Q43" s="48"/>
      <c r="R43" s="78"/>
      <c r="S43" s="48"/>
      <c r="T43" s="65" t="s">
        <v>150</v>
      </c>
      <c r="U43" s="72">
        <f>R39</f>
        <v>115813.46828238583</v>
      </c>
      <c r="V43" s="48"/>
      <c r="W43" s="48"/>
      <c r="X43" s="48"/>
    </row>
    <row r="44" spans="8:24" ht="15.75">
      <c r="H44" s="37" t="s">
        <v>109</v>
      </c>
      <c r="I44" s="60">
        <f>ONSV_AUX_2017!L62</f>
        <v>588881</v>
      </c>
      <c r="J44" s="10">
        <f>I44</f>
        <v>588881</v>
      </c>
      <c r="K44" s="11"/>
      <c r="L44" s="11"/>
      <c r="M44" s="11"/>
      <c r="N44" s="28" t="s">
        <v>151</v>
      </c>
      <c r="O44" s="60">
        <f>IF((J38-O41-O43-O42)&lt;0,0,(J38-O41-O43-O42))</f>
        <v>0</v>
      </c>
      <c r="P44" s="48"/>
      <c r="Q44" s="48"/>
      <c r="R44" s="48"/>
      <c r="S44" s="48"/>
      <c r="T44" s="48"/>
      <c r="U44" s="62"/>
      <c r="V44" s="48"/>
      <c r="W44" s="48"/>
      <c r="X44" s="48"/>
    </row>
    <row r="45" spans="8:24" ht="15.75">
      <c r="H45" s="37" t="s">
        <v>110</v>
      </c>
      <c r="I45" s="60">
        <f>ONSV_AUX_2017!L63</f>
        <v>208181</v>
      </c>
      <c r="J45" s="10">
        <f>I45</f>
        <v>208181</v>
      </c>
      <c r="K45" s="11"/>
      <c r="L45" s="11"/>
      <c r="M45" s="11"/>
      <c r="O45" s="48"/>
      <c r="P45" s="76"/>
      <c r="Q45" s="48"/>
      <c r="R45" s="48"/>
      <c r="S45" s="48"/>
      <c r="T45" s="79" t="s">
        <v>156</v>
      </c>
      <c r="U45" s="80">
        <f>(SUM(U31:U43,X31:X42)/SUM(I38:I47))-1</f>
        <v>0</v>
      </c>
      <c r="V45" s="48"/>
      <c r="W45" s="79" t="s">
        <v>10</v>
      </c>
      <c r="X45" s="67">
        <f>SUM(U31:U43,X31:X42)</f>
        <v>1830326</v>
      </c>
    </row>
    <row r="46" spans="8:24" ht="15.75">
      <c r="H46" s="37" t="s">
        <v>111</v>
      </c>
      <c r="I46" s="60">
        <f>ONSV_AUX_2017!L64</f>
        <v>11306</v>
      </c>
      <c r="J46" s="10">
        <f>I46</f>
        <v>11306</v>
      </c>
      <c r="K46" s="11"/>
      <c r="L46" s="11"/>
      <c r="M46" s="11"/>
      <c r="O46" s="48"/>
      <c r="P46" s="76"/>
      <c r="Q46" s="48"/>
      <c r="R46" s="48"/>
      <c r="S46" s="48"/>
      <c r="T46" s="48"/>
      <c r="U46" s="48"/>
      <c r="V46" s="48"/>
      <c r="W46" s="48"/>
      <c r="X46" s="48"/>
    </row>
    <row r="47" spans="8:24" ht="15.75">
      <c r="H47" s="37" t="s">
        <v>112</v>
      </c>
      <c r="I47" s="60">
        <f>ONSV_AUX_2017!L65</f>
        <v>13524</v>
      </c>
      <c r="J47" s="61">
        <f>I47-(L36*I32)</f>
        <v>13520.352024850963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39"/>
      <c r="I48" s="40"/>
      <c r="J48" s="40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1" customFormat="1" ht="15.75">
      <c r="A50" s="101" t="str">
        <f>"MATO GROSSO/"&amp;ONSV_AUX_2016!$A$1&amp;""</f>
        <v>MATO GROSSO/2016</v>
      </c>
      <c r="B50" s="102"/>
      <c r="C50" s="102"/>
      <c r="D50" s="102"/>
      <c r="E50" s="102"/>
      <c r="F50" s="102"/>
    </row>
    <row r="52" spans="1:24" ht="15.75">
      <c r="H52" s="23" t="s">
        <v>118</v>
      </c>
      <c r="N52" s="26"/>
      <c r="O52" s="26"/>
      <c r="P52" s="9"/>
      <c r="Q52" s="26"/>
      <c r="R52" s="26"/>
      <c r="S52" s="26"/>
      <c r="T52" s="104"/>
      <c r="U52" s="104"/>
      <c r="V52" s="104"/>
      <c r="W52" s="104"/>
      <c r="X52" s="104"/>
    </row>
    <row r="53" spans="1:24" ht="15.75">
      <c r="J53" s="9"/>
      <c r="M53" s="25"/>
      <c r="N53" s="9"/>
      <c r="O53" s="9"/>
      <c r="P53" s="9"/>
      <c r="Q53" s="11"/>
      <c r="R53" s="11"/>
      <c r="S53" s="11"/>
    </row>
    <row r="54" spans="1:24" ht="15.75">
      <c r="H54" s="36" t="s">
        <v>81</v>
      </c>
      <c r="I54" s="60">
        <f>ONSV_AUX_2016!L27</f>
        <v>47773</v>
      </c>
      <c r="J54" s="9"/>
      <c r="K54" s="104" t="s">
        <v>119</v>
      </c>
      <c r="L54" s="104"/>
      <c r="M54" s="9"/>
      <c r="N54" s="26" t="s">
        <v>120</v>
      </c>
      <c r="O54" s="26"/>
      <c r="Q54" s="26" t="s">
        <v>121</v>
      </c>
      <c r="R54" s="26"/>
      <c r="S54" s="26"/>
      <c r="T54" s="25" t="s">
        <v>122</v>
      </c>
      <c r="U54" s="25"/>
      <c r="V54" s="25"/>
      <c r="W54" s="25"/>
      <c r="X54" s="25"/>
    </row>
    <row r="55" spans="1:24" ht="15.75">
      <c r="H55" s="36" t="s">
        <v>84</v>
      </c>
      <c r="I55" s="60">
        <f>ONSV_AUX_2016!L28</f>
        <v>631172</v>
      </c>
      <c r="J55" s="9"/>
      <c r="K55" s="9"/>
      <c r="L55" s="9"/>
      <c r="M55" s="9"/>
      <c r="N55" s="9"/>
      <c r="O55" s="9"/>
      <c r="P55" s="20"/>
      <c r="Q55" s="11"/>
      <c r="R55" s="11"/>
      <c r="S55" s="11"/>
    </row>
    <row r="56" spans="1:24" ht="15.75">
      <c r="H56" s="36" t="s">
        <v>85</v>
      </c>
      <c r="I56" s="60">
        <f>ONSV_AUX_2016!L29</f>
        <v>206779</v>
      </c>
      <c r="J56" s="9"/>
      <c r="K56" s="2" t="s">
        <v>123</v>
      </c>
      <c r="L56" s="60">
        <f>I63+I66+I67+I72</f>
        <v>872981</v>
      </c>
      <c r="N56" s="28" t="s">
        <v>124</v>
      </c>
      <c r="O56" s="60">
        <f>J63+J72</f>
        <v>646792.7716571152</v>
      </c>
      <c r="P56" s="64"/>
      <c r="Q56" s="65" t="s">
        <v>125</v>
      </c>
      <c r="R56" s="60">
        <f>J66+J67</f>
        <v>225961.22834288489</v>
      </c>
      <c r="S56" s="66"/>
      <c r="T56" s="65" t="s">
        <v>126</v>
      </c>
      <c r="U56" s="67">
        <f>O60</f>
        <v>11580.314176588696</v>
      </c>
      <c r="V56" s="48"/>
      <c r="W56" s="65" t="s">
        <v>127</v>
      </c>
      <c r="X56" s="68">
        <f>R62</f>
        <v>15349.303955402178</v>
      </c>
    </row>
    <row r="57" spans="1:24" ht="15.75">
      <c r="H57" s="36" t="s">
        <v>101</v>
      </c>
      <c r="I57" s="60">
        <f>ONSV_AUX_2016!L30</f>
        <v>227</v>
      </c>
      <c r="J57" s="9"/>
      <c r="K57" s="27"/>
      <c r="L57" s="62"/>
      <c r="M57" s="20"/>
      <c r="N57" s="28" t="s">
        <v>128</v>
      </c>
      <c r="O57" s="69">
        <f>J63/O56</f>
        <v>0.98165268076437362</v>
      </c>
      <c r="P57" s="64"/>
      <c r="Q57" s="70" t="s">
        <v>129</v>
      </c>
      <c r="R57" s="63">
        <f>J66/R56</f>
        <v>0.84130165472082119</v>
      </c>
      <c r="S57" s="71"/>
      <c r="T57" s="65" t="s">
        <v>130</v>
      </c>
      <c r="U57" s="67">
        <f>I72-J72</f>
        <v>3.0865391113893565</v>
      </c>
      <c r="V57" s="48"/>
      <c r="W57" s="65" t="s">
        <v>131</v>
      </c>
      <c r="X57" s="68">
        <f>I67-J67</f>
        <v>9.3269647334818728</v>
      </c>
    </row>
    <row r="58" spans="1:24" ht="15.75">
      <c r="H58" s="36" t="s">
        <v>16</v>
      </c>
      <c r="I58" s="60">
        <f>ONSV_AUX_2016!L31</f>
        <v>1454</v>
      </c>
      <c r="J58" s="9"/>
      <c r="K58" s="2" t="s">
        <v>132</v>
      </c>
      <c r="L58" s="63">
        <f>I63/L56</f>
        <v>0.72749693292293871</v>
      </c>
      <c r="M58" s="20"/>
      <c r="N58" s="28" t="s">
        <v>133</v>
      </c>
      <c r="O58" s="69">
        <f>J72/O56</f>
        <v>1.8347319235626255E-2</v>
      </c>
      <c r="P58" s="64"/>
      <c r="Q58" s="70" t="s">
        <v>134</v>
      </c>
      <c r="R58" s="63">
        <f>J67/R56</f>
        <v>0.15869834527917884</v>
      </c>
      <c r="S58" s="71"/>
      <c r="T58" s="65" t="s">
        <v>135</v>
      </c>
      <c r="U58" s="72">
        <f>O62</f>
        <v>286.59928429991487</v>
      </c>
      <c r="V58" s="73"/>
      <c r="W58" s="65" t="s">
        <v>136</v>
      </c>
      <c r="X58" s="72">
        <f>R65</f>
        <v>20510.36907986434</v>
      </c>
    </row>
    <row r="59" spans="1:24" ht="15.75">
      <c r="H59" s="36" t="s">
        <v>94</v>
      </c>
      <c r="I59" s="60">
        <f>ONSV_AUX_2016!L32</f>
        <v>864663</v>
      </c>
      <c r="J59" s="10"/>
      <c r="K59" s="2" t="s">
        <v>2</v>
      </c>
      <c r="L59" s="63">
        <f>I66/L56</f>
        <v>0.21781802811286843</v>
      </c>
      <c r="M59" s="20"/>
      <c r="N59" s="20"/>
      <c r="O59" s="74"/>
      <c r="P59" s="48"/>
      <c r="Q59" s="48"/>
      <c r="R59" s="48"/>
      <c r="S59" s="48"/>
      <c r="T59" s="48"/>
      <c r="U59" s="62"/>
      <c r="V59" s="75"/>
      <c r="W59" s="48"/>
      <c r="X59" s="62"/>
    </row>
    <row r="60" spans="1:24" ht="15.75">
      <c r="K60" s="2" t="s">
        <v>3</v>
      </c>
      <c r="L60" s="63">
        <f>I67/L56</f>
        <v>4.1087950367762874E-2</v>
      </c>
      <c r="M60" s="20"/>
      <c r="N60" s="28" t="s">
        <v>137</v>
      </c>
      <c r="O60" s="60">
        <f>IF(O58*I55&gt;J72,J72,O58*I55)</f>
        <v>11580.314176588696</v>
      </c>
      <c r="P60" s="76"/>
      <c r="Q60" s="65" t="s">
        <v>138</v>
      </c>
      <c r="R60" s="60">
        <f>I56-I64-I65-I68-I71</f>
        <v>96720</v>
      </c>
      <c r="S60" s="77"/>
      <c r="T60" s="65" t="s">
        <v>139</v>
      </c>
      <c r="U60" s="67">
        <f>O68</f>
        <v>585698.85819622653</v>
      </c>
      <c r="V60" s="76"/>
      <c r="W60" s="65" t="s">
        <v>140</v>
      </c>
      <c r="X60" s="67">
        <f>I64</f>
        <v>66752</v>
      </c>
    </row>
    <row r="61" spans="1:24" ht="15.75">
      <c r="H61" s="24" t="s">
        <v>141</v>
      </c>
      <c r="K61" s="2" t="s">
        <v>0</v>
      </c>
      <c r="L61" s="63">
        <f>I72/L56</f>
        <v>1.3597088596429933E-2</v>
      </c>
      <c r="O61" s="48"/>
      <c r="P61" s="76"/>
      <c r="Q61" s="65" t="s">
        <v>142</v>
      </c>
      <c r="R61" s="60">
        <f>R57*R60</f>
        <v>81370.696044597818</v>
      </c>
      <c r="S61" s="48"/>
      <c r="T61" s="65" t="s">
        <v>143</v>
      </c>
      <c r="U61" s="67">
        <f>O66</f>
        <v>47773</v>
      </c>
      <c r="V61" s="66"/>
      <c r="W61" s="65" t="s">
        <v>144</v>
      </c>
      <c r="X61" s="67">
        <f>I65</f>
        <v>29011</v>
      </c>
    </row>
    <row r="62" spans="1:24" ht="15.75">
      <c r="K62" s="11"/>
      <c r="L62" s="11"/>
      <c r="M62" s="11"/>
      <c r="N62" s="28" t="s">
        <v>145</v>
      </c>
      <c r="O62" s="60">
        <f>J72-O60</f>
        <v>286.59928429991487</v>
      </c>
      <c r="P62" s="76"/>
      <c r="Q62" s="65" t="s">
        <v>127</v>
      </c>
      <c r="R62" s="60">
        <f>R58*R60</f>
        <v>15349.303955402178</v>
      </c>
      <c r="S62" s="48"/>
      <c r="T62" s="65" t="s">
        <v>146</v>
      </c>
      <c r="U62" s="67">
        <f>O67</f>
        <v>1454</v>
      </c>
      <c r="V62" s="71"/>
      <c r="W62" s="48"/>
      <c r="X62" s="62"/>
    </row>
    <row r="63" spans="1:24" ht="15.75">
      <c r="H63" s="37" t="s">
        <v>103</v>
      </c>
      <c r="I63" s="60">
        <f>ONSV_AUX_2016!L56</f>
        <v>635091</v>
      </c>
      <c r="J63" s="61">
        <f>I63-(L58*I57)</f>
        <v>634925.85819622653</v>
      </c>
      <c r="K63" s="11"/>
      <c r="L63" s="11"/>
      <c r="M63" s="11"/>
      <c r="O63" s="76"/>
      <c r="P63" s="76"/>
      <c r="Q63" s="48"/>
      <c r="R63" s="78"/>
      <c r="S63" s="48"/>
      <c r="T63" s="65" t="s">
        <v>147</v>
      </c>
      <c r="U63" s="68">
        <f>I63-J63</f>
        <v>165.14180377346929</v>
      </c>
      <c r="V63" s="71"/>
      <c r="W63" s="65" t="s">
        <v>148</v>
      </c>
      <c r="X63" s="67">
        <f>I71</f>
        <v>10943</v>
      </c>
    </row>
    <row r="64" spans="1:24" ht="15.75">
      <c r="H64" s="37" t="s">
        <v>104</v>
      </c>
      <c r="I64" s="60">
        <f>ONSV_AUX_2016!L57</f>
        <v>66752</v>
      </c>
      <c r="J64" s="10">
        <f>I64</f>
        <v>66752</v>
      </c>
      <c r="K64" s="11"/>
      <c r="L64" s="11"/>
      <c r="M64" s="11"/>
      <c r="N64" s="26" t="s">
        <v>149</v>
      </c>
      <c r="O64" s="76"/>
      <c r="P64" s="76"/>
      <c r="Q64" s="65" t="s">
        <v>150</v>
      </c>
      <c r="R64" s="60">
        <f>J66-R61</f>
        <v>108730.85926302055</v>
      </c>
      <c r="S64" s="48"/>
      <c r="T64" s="65" t="s">
        <v>151</v>
      </c>
      <c r="U64" s="72">
        <f>O69</f>
        <v>0</v>
      </c>
      <c r="V64" s="48"/>
      <c r="W64" s="65" t="s">
        <v>152</v>
      </c>
      <c r="X64" s="67">
        <f>I68</f>
        <v>3353</v>
      </c>
    </row>
    <row r="65" spans="1:24" ht="15.75">
      <c r="H65" s="37" t="s">
        <v>105</v>
      </c>
      <c r="I65" s="60">
        <f>ONSV_AUX_2016!L58</f>
        <v>29011</v>
      </c>
      <c r="J65" s="10">
        <f>I65</f>
        <v>29011</v>
      </c>
      <c r="K65" s="11"/>
      <c r="L65" s="11"/>
      <c r="M65" s="11"/>
      <c r="O65" s="73"/>
      <c r="P65" s="76"/>
      <c r="Q65" s="65" t="s">
        <v>136</v>
      </c>
      <c r="R65" s="60">
        <f>J67-R62</f>
        <v>20510.36907986434</v>
      </c>
      <c r="S65" s="48"/>
      <c r="T65" s="48"/>
      <c r="U65" s="62"/>
      <c r="V65" s="77"/>
      <c r="W65" s="48"/>
      <c r="X65" s="62"/>
    </row>
    <row r="66" spans="1:24" ht="15.75">
      <c r="H66" s="37" t="s">
        <v>106</v>
      </c>
      <c r="I66" s="60">
        <f>ONSV_AUX_2016!L59</f>
        <v>190151</v>
      </c>
      <c r="J66" s="61">
        <f>I66-(L59*I57)</f>
        <v>190101.55530761837</v>
      </c>
      <c r="K66" s="11"/>
      <c r="L66" s="11"/>
      <c r="M66" s="11"/>
      <c r="N66" s="28" t="s">
        <v>143</v>
      </c>
      <c r="O66" s="60">
        <f>I54</f>
        <v>47773</v>
      </c>
      <c r="P66" s="76"/>
      <c r="Q66" s="48"/>
      <c r="R66" s="48"/>
      <c r="S66" s="77"/>
      <c r="T66" s="65" t="s">
        <v>142</v>
      </c>
      <c r="U66" s="68">
        <f>R61</f>
        <v>81370.696044597818</v>
      </c>
      <c r="V66" s="48"/>
      <c r="W66" s="65" t="s">
        <v>153</v>
      </c>
      <c r="X66" s="67">
        <f>I69</f>
        <v>566772</v>
      </c>
    </row>
    <row r="67" spans="1:24" ht="15.75">
      <c r="H67" s="37" t="s">
        <v>107</v>
      </c>
      <c r="I67" s="60">
        <f>ONSV_AUX_2016!L60</f>
        <v>35869</v>
      </c>
      <c r="J67" s="61">
        <f>I67-(L60*I57)</f>
        <v>35859.673035266518</v>
      </c>
      <c r="K67" s="11"/>
      <c r="L67" s="11"/>
      <c r="M67" s="11"/>
      <c r="N67" s="28" t="s">
        <v>146</v>
      </c>
      <c r="O67" s="60">
        <f>I58</f>
        <v>1454</v>
      </c>
      <c r="P67" s="76"/>
      <c r="Q67" s="48"/>
      <c r="R67" s="48"/>
      <c r="S67" s="48"/>
      <c r="T67" s="65" t="s">
        <v>154</v>
      </c>
      <c r="U67" s="68">
        <f>I66-J66</f>
        <v>49.444692381628556</v>
      </c>
      <c r="V67" s="48"/>
      <c r="W67" s="65" t="s">
        <v>155</v>
      </c>
      <c r="X67" s="67">
        <f>I70</f>
        <v>197032</v>
      </c>
    </row>
    <row r="68" spans="1:24" ht="15.75">
      <c r="H68" s="37" t="s">
        <v>108</v>
      </c>
      <c r="I68" s="60">
        <f>ONSV_AUX_2016!L61</f>
        <v>3353</v>
      </c>
      <c r="J68" s="10">
        <f>I68</f>
        <v>3353</v>
      </c>
      <c r="K68" s="11"/>
      <c r="L68" s="11"/>
      <c r="M68" s="11"/>
      <c r="N68" s="28" t="s">
        <v>139</v>
      </c>
      <c r="O68" s="60">
        <f>IF(OR((O57*I55&gt;J63),((O66+O67+(O57*I55))&gt;J63)),(J63-O66-O67),(O57*I55))</f>
        <v>585698.85819622653</v>
      </c>
      <c r="P68" s="76"/>
      <c r="Q68" s="48"/>
      <c r="R68" s="78"/>
      <c r="S68" s="48"/>
      <c r="T68" s="65" t="s">
        <v>150</v>
      </c>
      <c r="U68" s="72">
        <f>R64</f>
        <v>108730.85926302055</v>
      </c>
      <c r="V68" s="48"/>
      <c r="W68" s="48"/>
      <c r="X68" s="48"/>
    </row>
    <row r="69" spans="1:24" ht="15.75">
      <c r="H69" s="37" t="s">
        <v>109</v>
      </c>
      <c r="I69" s="60">
        <f>ONSV_AUX_2016!L62</f>
        <v>566772</v>
      </c>
      <c r="J69" s="10">
        <f>I69</f>
        <v>566772</v>
      </c>
      <c r="K69" s="11"/>
      <c r="L69" s="11"/>
      <c r="M69" s="11"/>
      <c r="N69" s="28" t="s">
        <v>151</v>
      </c>
      <c r="O69" s="60">
        <f>IF((J63-O66-O68-O67)&lt;0,0,(J63-O66-O68-O67))</f>
        <v>0</v>
      </c>
      <c r="P69" s="48"/>
      <c r="Q69" s="48"/>
      <c r="R69" s="48"/>
      <c r="S69" s="48"/>
      <c r="T69" s="48"/>
      <c r="U69" s="62"/>
      <c r="V69" s="48"/>
      <c r="W69" s="48"/>
      <c r="X69" s="48"/>
    </row>
    <row r="70" spans="1:24" ht="15.75">
      <c r="H70" s="37" t="s">
        <v>110</v>
      </c>
      <c r="I70" s="60">
        <f>ONSV_AUX_2016!L63</f>
        <v>197032</v>
      </c>
      <c r="J70" s="10">
        <f>I70</f>
        <v>197032</v>
      </c>
      <c r="K70" s="11"/>
      <c r="L70" s="11"/>
      <c r="M70" s="11"/>
      <c r="O70" s="48"/>
      <c r="P70" s="76"/>
      <c r="Q70" s="48"/>
      <c r="R70" s="48"/>
      <c r="S70" s="48"/>
      <c r="T70" s="79" t="s">
        <v>156</v>
      </c>
      <c r="U70" s="80">
        <f>(SUM(U56:U68,X56:X67)/SUM(I63:I72))-1</f>
        <v>0</v>
      </c>
      <c r="V70" s="48"/>
      <c r="W70" s="79" t="s">
        <v>10</v>
      </c>
      <c r="X70" s="67">
        <f>SUM(U56:U68,X56:X67)</f>
        <v>1746844</v>
      </c>
    </row>
    <row r="71" spans="1:24" ht="15.75">
      <c r="H71" s="37" t="s">
        <v>111</v>
      </c>
      <c r="I71" s="60">
        <f>ONSV_AUX_2016!L64</f>
        <v>10943</v>
      </c>
      <c r="J71" s="10">
        <f>I71</f>
        <v>10943</v>
      </c>
      <c r="K71" s="11"/>
      <c r="L71" s="11"/>
      <c r="M71" s="11"/>
      <c r="O71" s="48"/>
      <c r="P71" s="76"/>
      <c r="Q71" s="48"/>
      <c r="R71" s="48"/>
      <c r="S71" s="48"/>
      <c r="T71" s="48"/>
      <c r="U71" s="48"/>
      <c r="V71" s="48"/>
      <c r="W71" s="48"/>
      <c r="X71" s="48"/>
    </row>
    <row r="72" spans="1:24" ht="15.75">
      <c r="H72" s="37" t="s">
        <v>112</v>
      </c>
      <c r="I72" s="60">
        <f>ONSV_AUX_2016!L65</f>
        <v>11870</v>
      </c>
      <c r="J72" s="61">
        <f>I72-(L61*I57)</f>
        <v>11866.913460888611</v>
      </c>
      <c r="K72" s="12"/>
      <c r="L72" s="12"/>
      <c r="M72" s="12"/>
      <c r="N72" s="12"/>
      <c r="O72" s="12"/>
      <c r="P72" s="12"/>
      <c r="Q72" s="4"/>
      <c r="R72" s="4"/>
    </row>
    <row r="75" spans="1:24" s="31" customFormat="1" ht="15.75">
      <c r="A75" s="101" t="str">
        <f>"MATO GROSSO/"&amp;ONSV_AUX_2015!$A$1&amp;""</f>
        <v>MATO GROSSO/2015</v>
      </c>
      <c r="B75" s="102"/>
      <c r="C75" s="102"/>
      <c r="D75" s="102"/>
      <c r="E75" s="102"/>
      <c r="F75" s="102"/>
    </row>
    <row r="76" spans="1:24"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>
      <c r="H77" s="23" t="s">
        <v>118</v>
      </c>
      <c r="P77" s="9"/>
    </row>
    <row r="78" spans="1:24" ht="15.75">
      <c r="J78" s="9"/>
      <c r="M78" s="25"/>
      <c r="P78" s="9"/>
    </row>
    <row r="79" spans="1:24" ht="15.75">
      <c r="H79" s="36" t="s">
        <v>81</v>
      </c>
      <c r="I79" s="60">
        <f>ONSV_AUX_2015!L27</f>
        <v>47631</v>
      </c>
      <c r="J79" s="9"/>
      <c r="K79" s="104" t="s">
        <v>119</v>
      </c>
      <c r="L79" s="104"/>
      <c r="M79" s="9"/>
      <c r="N79" s="26" t="s">
        <v>120</v>
      </c>
      <c r="O79" s="26"/>
      <c r="Q79" s="26" t="s">
        <v>121</v>
      </c>
      <c r="R79" s="26"/>
      <c r="S79" s="26"/>
      <c r="T79" s="25" t="s">
        <v>122</v>
      </c>
      <c r="U79" s="25"/>
      <c r="V79" s="25"/>
      <c r="W79" s="25"/>
      <c r="X79" s="25"/>
    </row>
    <row r="80" spans="1:24" ht="15.75">
      <c r="H80" s="36" t="s">
        <v>84</v>
      </c>
      <c r="I80" s="60">
        <f>ONSV_AUX_2015!L28</f>
        <v>570243</v>
      </c>
      <c r="J80" s="9"/>
      <c r="K80" s="9"/>
      <c r="L80" s="9"/>
      <c r="M80" s="9"/>
      <c r="N80" s="9"/>
      <c r="O80" s="9"/>
      <c r="P80" s="20"/>
      <c r="Q80" s="11"/>
      <c r="R80" s="11"/>
      <c r="S80" s="11"/>
    </row>
    <row r="81" spans="8:24" ht="15.75">
      <c r="H81" s="36" t="s">
        <v>85</v>
      </c>
      <c r="I81" s="60">
        <f>ONSV_AUX_2015!L29</f>
        <v>200247</v>
      </c>
      <c r="J81" s="9"/>
      <c r="K81" s="2" t="s">
        <v>123</v>
      </c>
      <c r="L81" s="60">
        <f>I88+I91+I92+I97</f>
        <v>829632</v>
      </c>
      <c r="N81" s="28" t="s">
        <v>124</v>
      </c>
      <c r="O81" s="60">
        <f>J88+J97</f>
        <v>614975.62050885207</v>
      </c>
      <c r="P81" s="64"/>
      <c r="Q81" s="65" t="s">
        <v>125</v>
      </c>
      <c r="R81" s="60">
        <f>J91+J92</f>
        <v>214437.37949114788</v>
      </c>
      <c r="S81" s="66"/>
      <c r="T81" s="65" t="s">
        <v>126</v>
      </c>
      <c r="U81" s="67">
        <f>O85</f>
        <v>9817.1034304497534</v>
      </c>
      <c r="V81" s="48"/>
      <c r="W81" s="65" t="s">
        <v>127</v>
      </c>
      <c r="X81" s="68">
        <f>R87</f>
        <v>14615.984409820323</v>
      </c>
    </row>
    <row r="82" spans="8:24" ht="15.75">
      <c r="H82" s="36" t="s">
        <v>101</v>
      </c>
      <c r="I82" s="60">
        <f>ONSV_AUX_2015!L30</f>
        <v>219</v>
      </c>
      <c r="J82" s="9"/>
      <c r="K82" s="27"/>
      <c r="L82" s="62"/>
      <c r="M82" s="20"/>
      <c r="N82" s="28" t="s">
        <v>128</v>
      </c>
      <c r="O82" s="69">
        <f>J88/O81</f>
        <v>0.98278435082859461</v>
      </c>
      <c r="P82" s="64"/>
      <c r="Q82" s="70" t="s">
        <v>129</v>
      </c>
      <c r="R82" s="63">
        <f>J91/R81</f>
        <v>0.8435387470045782</v>
      </c>
      <c r="S82" s="71"/>
      <c r="T82" s="65" t="s">
        <v>130</v>
      </c>
      <c r="U82" s="67">
        <f>I97-J97</f>
        <v>2.7954683522330015</v>
      </c>
      <c r="V82" s="48"/>
      <c r="W82" s="65" t="s">
        <v>131</v>
      </c>
      <c r="X82" s="68">
        <f>I92-J92</f>
        <v>8.8589157602400519</v>
      </c>
    </row>
    <row r="83" spans="8:24" ht="15.75">
      <c r="H83" s="36" t="s">
        <v>16</v>
      </c>
      <c r="I83" s="60">
        <f>ONSV_AUX_2015!L31</f>
        <v>1493</v>
      </c>
      <c r="J83" s="9"/>
      <c r="K83" s="2" t="s">
        <v>132</v>
      </c>
      <c r="L83" s="63">
        <f>I88/L81</f>
        <v>0.72869416801666276</v>
      </c>
      <c r="M83" s="20"/>
      <c r="N83" s="28" t="s">
        <v>133</v>
      </c>
      <c r="O83" s="69">
        <f>J97/O81</f>
        <v>1.7215649171405441E-2</v>
      </c>
      <c r="P83" s="64"/>
      <c r="Q83" s="70" t="s">
        <v>134</v>
      </c>
      <c r="R83" s="63">
        <f>J92/R81</f>
        <v>0.1564612529954218</v>
      </c>
      <c r="S83" s="71"/>
      <c r="T83" s="65" t="s">
        <v>135</v>
      </c>
      <c r="U83" s="72">
        <f>O87</f>
        <v>770.10110119801357</v>
      </c>
      <c r="V83" s="73"/>
      <c r="W83" s="65" t="s">
        <v>136</v>
      </c>
      <c r="X83" s="72">
        <f>R90</f>
        <v>18935.156674419435</v>
      </c>
    </row>
    <row r="84" spans="8:24" ht="15.75">
      <c r="H84" s="36" t="s">
        <v>94</v>
      </c>
      <c r="I84" s="60">
        <f>ONSV_AUX_2015!L32</f>
        <v>852034</v>
      </c>
      <c r="J84" s="10"/>
      <c r="K84" s="2" t="s">
        <v>2</v>
      </c>
      <c r="L84" s="63">
        <f>I91/L81</f>
        <v>0.2180894661729538</v>
      </c>
      <c r="M84" s="20"/>
      <c r="N84" s="20"/>
      <c r="O84" s="74"/>
      <c r="P84" s="48"/>
      <c r="Q84" s="48"/>
      <c r="R84" s="48"/>
      <c r="S84" s="48"/>
      <c r="T84" s="48"/>
      <c r="U84" s="62"/>
      <c r="V84" s="75"/>
      <c r="W84" s="48"/>
      <c r="X84" s="62"/>
    </row>
    <row r="85" spans="8:24" ht="15.75">
      <c r="K85" s="2" t="s">
        <v>3</v>
      </c>
      <c r="L85" s="63">
        <f>I92/L81</f>
        <v>4.0451670138085323E-2</v>
      </c>
      <c r="M85" s="20"/>
      <c r="N85" s="28" t="s">
        <v>137</v>
      </c>
      <c r="O85" s="60">
        <f>IF(O83*I80&gt;J97,J97,O83*I80)</f>
        <v>9817.1034304497534</v>
      </c>
      <c r="P85" s="76"/>
      <c r="Q85" s="65" t="s">
        <v>138</v>
      </c>
      <c r="R85" s="60">
        <f>I81-I89-I90-I93-I96</f>
        <v>93416</v>
      </c>
      <c r="S85" s="77"/>
      <c r="T85" s="65" t="s">
        <v>139</v>
      </c>
      <c r="U85" s="67">
        <f>O93</f>
        <v>555264.41597720433</v>
      </c>
      <c r="V85" s="76"/>
      <c r="W85" s="65" t="s">
        <v>140</v>
      </c>
      <c r="X85" s="67">
        <f>I89</f>
        <v>64888</v>
      </c>
    </row>
    <row r="86" spans="8:24" ht="15.75">
      <c r="H86" s="24" t="s">
        <v>141</v>
      </c>
      <c r="K86" s="2" t="s">
        <v>0</v>
      </c>
      <c r="L86" s="63">
        <f>I97/L81</f>
        <v>1.276469567229808E-2</v>
      </c>
      <c r="O86" s="48"/>
      <c r="P86" s="76"/>
      <c r="Q86" s="65" t="s">
        <v>142</v>
      </c>
      <c r="R86" s="60">
        <f>R82*R85</f>
        <v>78800.015590179682</v>
      </c>
      <c r="S86" s="48"/>
      <c r="T86" s="65" t="s">
        <v>143</v>
      </c>
      <c r="U86" s="67">
        <f>O91</f>
        <v>47631</v>
      </c>
      <c r="V86" s="66"/>
      <c r="W86" s="65" t="s">
        <v>144</v>
      </c>
      <c r="X86" s="67">
        <f>I90</f>
        <v>28091</v>
      </c>
    </row>
    <row r="87" spans="8:24" ht="15.75">
      <c r="K87" s="11"/>
      <c r="L87" s="11"/>
      <c r="M87" s="11"/>
      <c r="N87" s="28" t="s">
        <v>145</v>
      </c>
      <c r="O87" s="60">
        <f>J97-O85</f>
        <v>770.10110119801357</v>
      </c>
      <c r="P87" s="76"/>
      <c r="Q87" s="65" t="s">
        <v>127</v>
      </c>
      <c r="R87" s="60">
        <f>R83*R85</f>
        <v>14615.984409820323</v>
      </c>
      <c r="S87" s="48"/>
      <c r="T87" s="65" t="s">
        <v>146</v>
      </c>
      <c r="U87" s="67">
        <f>O92</f>
        <v>1493</v>
      </c>
      <c r="V87" s="71"/>
      <c r="W87" s="48"/>
      <c r="X87" s="62"/>
    </row>
    <row r="88" spans="8:24" ht="15.75">
      <c r="H88" s="37" t="s">
        <v>103</v>
      </c>
      <c r="I88" s="60">
        <f>ONSV_AUX_2015!L56</f>
        <v>604548</v>
      </c>
      <c r="J88" s="61">
        <f>I88-(L83*I82)</f>
        <v>604388.41597720433</v>
      </c>
      <c r="K88" s="11"/>
      <c r="L88" s="11"/>
      <c r="M88" s="11"/>
      <c r="O88" s="76"/>
      <c r="P88" s="76"/>
      <c r="Q88" s="48"/>
      <c r="R88" s="78"/>
      <c r="S88" s="48"/>
      <c r="T88" s="65" t="s">
        <v>147</v>
      </c>
      <c r="U88" s="68">
        <f>I88-J88</f>
        <v>159.58402279566508</v>
      </c>
      <c r="V88" s="71"/>
      <c r="W88" s="65" t="s">
        <v>148</v>
      </c>
      <c r="X88" s="67">
        <f>I96</f>
        <v>10617</v>
      </c>
    </row>
    <row r="89" spans="8:24" ht="15.75">
      <c r="H89" s="37" t="s">
        <v>104</v>
      </c>
      <c r="I89" s="60">
        <f>ONSV_AUX_2015!L57</f>
        <v>64888</v>
      </c>
      <c r="J89" s="10">
        <f>I89</f>
        <v>64888</v>
      </c>
      <c r="K89" s="11"/>
      <c r="L89" s="11"/>
      <c r="M89" s="11"/>
      <c r="N89" s="26" t="s">
        <v>149</v>
      </c>
      <c r="O89" s="76"/>
      <c r="P89" s="76"/>
      <c r="Q89" s="65" t="s">
        <v>150</v>
      </c>
      <c r="R89" s="60">
        <f>J91-R86</f>
        <v>102086.22281672843</v>
      </c>
      <c r="S89" s="48"/>
      <c r="T89" s="65" t="s">
        <v>151</v>
      </c>
      <c r="U89" s="72">
        <f>O94</f>
        <v>0</v>
      </c>
      <c r="V89" s="48"/>
      <c r="W89" s="65" t="s">
        <v>152</v>
      </c>
      <c r="X89" s="67">
        <f>I93</f>
        <v>3235</v>
      </c>
    </row>
    <row r="90" spans="8:24" ht="15.75">
      <c r="H90" s="37" t="s">
        <v>105</v>
      </c>
      <c r="I90" s="60">
        <f>ONSV_AUX_2015!L58</f>
        <v>28091</v>
      </c>
      <c r="J90" s="10">
        <f>I90</f>
        <v>28091</v>
      </c>
      <c r="K90" s="11"/>
      <c r="L90" s="11"/>
      <c r="M90" s="11"/>
      <c r="O90" s="73"/>
      <c r="P90" s="76"/>
      <c r="Q90" s="65" t="s">
        <v>136</v>
      </c>
      <c r="R90" s="60">
        <f>J92-R87</f>
        <v>18935.156674419435</v>
      </c>
      <c r="S90" s="48"/>
      <c r="T90" s="48"/>
      <c r="U90" s="62"/>
      <c r="V90" s="77"/>
      <c r="W90" s="48"/>
      <c r="X90" s="62"/>
    </row>
    <row r="91" spans="8:24" ht="15.75">
      <c r="H91" s="37" t="s">
        <v>106</v>
      </c>
      <c r="I91" s="60">
        <f>ONSV_AUX_2015!L59</f>
        <v>180934</v>
      </c>
      <c r="J91" s="61">
        <f>I91-(L84*I82)</f>
        <v>180886.23840690812</v>
      </c>
      <c r="K91" s="11"/>
      <c r="L91" s="11"/>
      <c r="M91" s="11"/>
      <c r="N91" s="28" t="s">
        <v>143</v>
      </c>
      <c r="O91" s="60">
        <f>I79</f>
        <v>47631</v>
      </c>
      <c r="P91" s="76"/>
      <c r="Q91" s="48"/>
      <c r="R91" s="48"/>
      <c r="S91" s="77"/>
      <c r="T91" s="65" t="s">
        <v>142</v>
      </c>
      <c r="U91" s="68">
        <f>R86</f>
        <v>78800.015590179682</v>
      </c>
      <c r="V91" s="48"/>
      <c r="W91" s="65" t="s">
        <v>153</v>
      </c>
      <c r="X91" s="67">
        <f>I94</f>
        <v>542740</v>
      </c>
    </row>
    <row r="92" spans="8:24" ht="15.75">
      <c r="H92" s="37" t="s">
        <v>107</v>
      </c>
      <c r="I92" s="60">
        <f>ONSV_AUX_2015!L60</f>
        <v>33560</v>
      </c>
      <c r="J92" s="61">
        <f>I92-(L85*I82)</f>
        <v>33551.14108423976</v>
      </c>
      <c r="K92" s="11"/>
      <c r="L92" s="11"/>
      <c r="M92" s="11"/>
      <c r="N92" s="28" t="s">
        <v>146</v>
      </c>
      <c r="O92" s="60">
        <f>I83</f>
        <v>1493</v>
      </c>
      <c r="P92" s="76"/>
      <c r="Q92" s="48"/>
      <c r="R92" s="48"/>
      <c r="S92" s="48"/>
      <c r="T92" s="65" t="s">
        <v>154</v>
      </c>
      <c r="U92" s="68">
        <f>I91-J91</f>
        <v>47.761593091883697</v>
      </c>
      <c r="V92" s="48"/>
      <c r="W92" s="65" t="s">
        <v>155</v>
      </c>
      <c r="X92" s="67">
        <f>I95</f>
        <v>185004</v>
      </c>
    </row>
    <row r="93" spans="8:24" ht="15.75">
      <c r="H93" s="37" t="s">
        <v>108</v>
      </c>
      <c r="I93" s="60">
        <f>ONSV_AUX_2015!L61</f>
        <v>3235</v>
      </c>
      <c r="J93" s="10">
        <f>I93</f>
        <v>3235</v>
      </c>
      <c r="K93" s="11"/>
      <c r="L93" s="11"/>
      <c r="M93" s="11"/>
      <c r="N93" s="28" t="s">
        <v>139</v>
      </c>
      <c r="O93" s="60">
        <f>IF(OR((O82*I80&gt;J88),((O91+O92+(O82*I80))&gt;J88)),(J88-O91-O92),(O82*I80))</f>
        <v>555264.41597720433</v>
      </c>
      <c r="P93" s="76"/>
      <c r="Q93" s="48"/>
      <c r="R93" s="78"/>
      <c r="S93" s="48"/>
      <c r="T93" s="65" t="s">
        <v>150</v>
      </c>
      <c r="U93" s="72">
        <f>R89</f>
        <v>102086.22281672843</v>
      </c>
      <c r="V93" s="48"/>
      <c r="W93" s="48"/>
      <c r="X93" s="48"/>
    </row>
    <row r="94" spans="8:24" ht="15.75">
      <c r="H94" s="37" t="s">
        <v>109</v>
      </c>
      <c r="I94" s="60">
        <f>ONSV_AUX_2015!L62</f>
        <v>542740</v>
      </c>
      <c r="J94" s="10">
        <f>I94</f>
        <v>542740</v>
      </c>
      <c r="K94" s="11"/>
      <c r="L94" s="11"/>
      <c r="M94" s="11"/>
      <c r="N94" s="28" t="s">
        <v>151</v>
      </c>
      <c r="O94" s="60">
        <f>IF((J88-O91-O93-O92)&lt;0,0,(J88-O91-O93-O92))</f>
        <v>0</v>
      </c>
      <c r="P94" s="48"/>
      <c r="Q94" s="48"/>
      <c r="R94" s="48"/>
      <c r="S94" s="48"/>
      <c r="T94" s="48"/>
      <c r="U94" s="62"/>
      <c r="V94" s="48"/>
      <c r="W94" s="48"/>
      <c r="X94" s="48"/>
    </row>
    <row r="95" spans="8:24" ht="15.75">
      <c r="H95" s="37" t="s">
        <v>110</v>
      </c>
      <c r="I95" s="60">
        <f>ONSV_AUX_2015!L63</f>
        <v>185004</v>
      </c>
      <c r="J95" s="10">
        <f>I95</f>
        <v>185004</v>
      </c>
      <c r="K95" s="11"/>
      <c r="L95" s="11"/>
      <c r="M95" s="11"/>
      <c r="O95" s="48"/>
      <c r="P95" s="76"/>
      <c r="Q95" s="48"/>
      <c r="R95" s="48"/>
      <c r="S95" s="48"/>
      <c r="T95" s="79" t="s">
        <v>156</v>
      </c>
      <c r="U95" s="80">
        <f>(SUM(U81:U93,X81:X92)/SUM(I88:I97))-1</f>
        <v>0</v>
      </c>
      <c r="V95" s="48"/>
      <c r="W95" s="79" t="s">
        <v>10</v>
      </c>
      <c r="X95" s="67">
        <f>SUM(U81:U93,X81:X92)</f>
        <v>1664207</v>
      </c>
    </row>
    <row r="96" spans="8:24" ht="15.75">
      <c r="H96" s="37" t="s">
        <v>111</v>
      </c>
      <c r="I96" s="60">
        <f>ONSV_AUX_2015!L64</f>
        <v>10617</v>
      </c>
      <c r="J96" s="10">
        <f>I96</f>
        <v>10617</v>
      </c>
      <c r="K96" s="11"/>
      <c r="L96" s="11"/>
      <c r="M96" s="11"/>
      <c r="O96" s="48"/>
      <c r="P96" s="76"/>
      <c r="Q96" s="48"/>
      <c r="R96" s="48"/>
      <c r="S96" s="48"/>
      <c r="T96" s="48"/>
      <c r="U96" s="48"/>
      <c r="V96" s="48"/>
      <c r="W96" s="48"/>
      <c r="X96" s="48"/>
    </row>
    <row r="97" spans="1:24" ht="15.75">
      <c r="H97" s="37" t="s">
        <v>112</v>
      </c>
      <c r="I97" s="60">
        <f>ONSV_AUX_2015!L65</f>
        <v>10590</v>
      </c>
      <c r="J97" s="61">
        <f>I97-(L86*I82)</f>
        <v>10587.204531647767</v>
      </c>
      <c r="K97" s="12"/>
      <c r="L97" s="12"/>
      <c r="M97" s="12"/>
      <c r="N97" s="12"/>
      <c r="O97" s="12"/>
      <c r="P97" s="12"/>
      <c r="Q97" s="4"/>
      <c r="R97" s="4"/>
    </row>
    <row r="98" spans="1:24" ht="15.75">
      <c r="I98" s="40"/>
      <c r="J98" s="21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4" ht="15.75">
      <c r="I99" s="40"/>
      <c r="J99" s="21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4" s="31" customFormat="1" ht="15.75">
      <c r="A100" s="101" t="str">
        <f>"MATO GROSSO/"&amp;ONSV_AUX_2014!$A$1&amp;""</f>
        <v>MATO GROSSO/2014</v>
      </c>
      <c r="B100" s="102"/>
      <c r="C100" s="102"/>
      <c r="D100" s="102"/>
      <c r="E100" s="102"/>
      <c r="F100" s="102"/>
      <c r="G100" s="102"/>
    </row>
    <row r="101" spans="1:24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>
      <c r="H102" s="23" t="s">
        <v>118</v>
      </c>
      <c r="N102" s="26"/>
      <c r="O102" s="26"/>
      <c r="P102" s="9"/>
      <c r="Q102" s="26"/>
      <c r="R102" s="26"/>
      <c r="S102" s="26"/>
      <c r="T102" s="25"/>
      <c r="U102" s="25"/>
      <c r="V102" s="25"/>
      <c r="W102" s="25"/>
      <c r="X102" s="25"/>
    </row>
    <row r="103" spans="1:24" ht="15.75">
      <c r="J103" s="9"/>
      <c r="M103" s="25"/>
      <c r="N103" s="9"/>
      <c r="O103" s="9"/>
      <c r="P103" s="9"/>
      <c r="Q103" s="11"/>
      <c r="R103" s="11"/>
      <c r="S103" s="11"/>
    </row>
    <row r="104" spans="1:24" ht="15.75">
      <c r="H104" s="36" t="s">
        <v>81</v>
      </c>
      <c r="I104" s="60">
        <f>ONSV_AUX_2014!L27</f>
        <v>47447</v>
      </c>
      <c r="J104" s="9"/>
      <c r="K104" s="104" t="s">
        <v>119</v>
      </c>
      <c r="L104" s="104"/>
      <c r="M104" s="9"/>
      <c r="N104" s="26" t="s">
        <v>120</v>
      </c>
      <c r="O104" s="26"/>
      <c r="Q104" s="26" t="s">
        <v>121</v>
      </c>
      <c r="R104" s="26"/>
      <c r="S104" s="26"/>
      <c r="T104" s="25" t="s">
        <v>122</v>
      </c>
      <c r="U104" s="25"/>
      <c r="V104" s="25"/>
      <c r="W104" s="25"/>
      <c r="X104" s="25"/>
    </row>
    <row r="105" spans="1:24" ht="15.75">
      <c r="H105" s="36" t="s">
        <v>84</v>
      </c>
      <c r="I105" s="60">
        <f>ONSV_AUX_2014!L28</f>
        <v>485237</v>
      </c>
      <c r="J105" s="9"/>
      <c r="K105" s="9"/>
      <c r="L105" s="9"/>
      <c r="M105" s="9"/>
      <c r="N105" s="9"/>
      <c r="O105" s="9"/>
      <c r="P105" s="20"/>
      <c r="Q105" s="11"/>
      <c r="R105" s="11"/>
      <c r="S105" s="11"/>
    </row>
    <row r="106" spans="1:24" ht="15.75">
      <c r="H106" s="36" t="s">
        <v>85</v>
      </c>
      <c r="I106" s="60">
        <f>ONSV_AUX_2014!L29</f>
        <v>189008</v>
      </c>
      <c r="J106" s="9"/>
      <c r="K106" s="2" t="s">
        <v>123</v>
      </c>
      <c r="L106" s="60">
        <f>I113+I116+I117+I122</f>
        <v>768992</v>
      </c>
      <c r="N106" s="28" t="s">
        <v>124</v>
      </c>
      <c r="O106" s="60">
        <f>J113+J122</f>
        <v>572722.81022429361</v>
      </c>
      <c r="P106" s="64"/>
      <c r="Q106" s="65" t="s">
        <v>125</v>
      </c>
      <c r="R106" s="60">
        <f>J116+J117</f>
        <v>196058.18977570639</v>
      </c>
      <c r="S106" s="66"/>
      <c r="T106" s="65" t="s">
        <v>126</v>
      </c>
      <c r="U106" s="67">
        <f>O110</f>
        <v>7740.0078655215757</v>
      </c>
      <c r="V106" s="48"/>
      <c r="W106" s="65" t="s">
        <v>127</v>
      </c>
      <c r="X106" s="68">
        <f>R112</f>
        <v>13760.990979644284</v>
      </c>
    </row>
    <row r="107" spans="1:24" ht="15.75">
      <c r="H107" s="36" t="s">
        <v>101</v>
      </c>
      <c r="I107" s="60">
        <f>ONSV_AUX_2014!L30</f>
        <v>211</v>
      </c>
      <c r="J107" s="9"/>
      <c r="K107" s="27"/>
      <c r="L107" s="62"/>
      <c r="M107" s="20"/>
      <c r="N107" s="28" t="s">
        <v>128</v>
      </c>
      <c r="O107" s="69">
        <f>J113/O106</f>
        <v>0.9840490155006284</v>
      </c>
      <c r="P107" s="64"/>
      <c r="Q107" s="70" t="s">
        <v>129</v>
      </c>
      <c r="R107" s="63">
        <f>J116/R106</f>
        <v>0.84328852900383455</v>
      </c>
      <c r="S107" s="71"/>
      <c r="T107" s="65" t="s">
        <v>130</v>
      </c>
      <c r="U107" s="67">
        <f>I122-J122</f>
        <v>2.5073316757516295</v>
      </c>
      <c r="V107" s="48"/>
      <c r="W107" s="65" t="s">
        <v>131</v>
      </c>
      <c r="X107" s="68">
        <f>I117-J117</f>
        <v>8.432679403686052</v>
      </c>
    </row>
    <row r="108" spans="1:24" ht="15.75">
      <c r="H108" s="36" t="s">
        <v>16</v>
      </c>
      <c r="I108" s="60">
        <f>ONSV_AUX_2014!L31</f>
        <v>1534</v>
      </c>
      <c r="J108" s="9"/>
      <c r="K108" s="2" t="s">
        <v>132</v>
      </c>
      <c r="L108" s="63">
        <f>I113/L106</f>
        <v>0.73309215180391996</v>
      </c>
      <c r="M108" s="20"/>
      <c r="N108" s="28" t="s">
        <v>133</v>
      </c>
      <c r="O108" s="69">
        <f>J122/O106</f>
        <v>1.5950984499371598E-2</v>
      </c>
      <c r="P108" s="64"/>
      <c r="Q108" s="70" t="s">
        <v>134</v>
      </c>
      <c r="R108" s="63">
        <f>J117/R106</f>
        <v>0.15671147099616545</v>
      </c>
      <c r="S108" s="71"/>
      <c r="T108" s="65" t="s">
        <v>135</v>
      </c>
      <c r="U108" s="72">
        <f>O112</f>
        <v>1395.4848028026727</v>
      </c>
      <c r="V108" s="73"/>
      <c r="W108" s="65" t="s">
        <v>136</v>
      </c>
      <c r="X108" s="72">
        <f>R115</f>
        <v>16963.57634095203</v>
      </c>
    </row>
    <row r="109" spans="1:24" ht="15.75">
      <c r="H109" s="36" t="s">
        <v>94</v>
      </c>
      <c r="I109" s="60">
        <f>ONSV_AUX_2014!L32</f>
        <v>833554</v>
      </c>
      <c r="J109" s="10"/>
      <c r="K109" s="2" t="s">
        <v>2</v>
      </c>
      <c r="L109" s="63">
        <f>I116/L106</f>
        <v>0.21505945445466274</v>
      </c>
      <c r="M109" s="20"/>
      <c r="N109" s="20"/>
      <c r="O109" s="74"/>
      <c r="P109" s="48"/>
      <c r="Q109" s="48"/>
      <c r="R109" s="48"/>
      <c r="S109" s="48"/>
      <c r="T109" s="48"/>
      <c r="U109" s="62"/>
      <c r="V109" s="75"/>
      <c r="W109" s="48"/>
      <c r="X109" s="62"/>
    </row>
    <row r="110" spans="1:24" ht="15.75">
      <c r="K110" s="2" t="s">
        <v>3</v>
      </c>
      <c r="L110" s="63">
        <f>I117/L106</f>
        <v>3.9965305230743625E-2</v>
      </c>
      <c r="M110" s="20"/>
      <c r="N110" s="28" t="s">
        <v>137</v>
      </c>
      <c r="O110" s="60">
        <f>IF(O108*I105&gt;J122,J122,O108*I105)</f>
        <v>7740.0078655215757</v>
      </c>
      <c r="P110" s="76"/>
      <c r="Q110" s="65" t="s">
        <v>138</v>
      </c>
      <c r="R110" s="60">
        <f>I106-I114-I115-I118-I121</f>
        <v>87811</v>
      </c>
      <c r="S110" s="77"/>
      <c r="T110" s="65" t="s">
        <v>139</v>
      </c>
      <c r="U110" s="67">
        <f>O118</f>
        <v>477496.99213447841</v>
      </c>
      <c r="V110" s="76"/>
      <c r="W110" s="65" t="s">
        <v>140</v>
      </c>
      <c r="X110" s="67">
        <f>I114</f>
        <v>61542</v>
      </c>
    </row>
    <row r="111" spans="1:24" ht="15.75">
      <c r="H111" s="24" t="s">
        <v>141</v>
      </c>
      <c r="K111" s="2" t="s">
        <v>0</v>
      </c>
      <c r="L111" s="63">
        <f>I122/L106</f>
        <v>1.1883088510673713E-2</v>
      </c>
      <c r="O111" s="48"/>
      <c r="P111" s="76"/>
      <c r="Q111" s="65" t="s">
        <v>142</v>
      </c>
      <c r="R111" s="60">
        <f>R107*R110</f>
        <v>74050.009020355719</v>
      </c>
      <c r="S111" s="48"/>
      <c r="T111" s="65" t="s">
        <v>143</v>
      </c>
      <c r="U111" s="67">
        <f>O116</f>
        <v>47447</v>
      </c>
      <c r="V111" s="66"/>
      <c r="W111" s="65" t="s">
        <v>144</v>
      </c>
      <c r="X111" s="67">
        <f>I115</f>
        <v>26722</v>
      </c>
    </row>
    <row r="112" spans="1:24" ht="15.75">
      <c r="K112" s="11"/>
      <c r="L112" s="11"/>
      <c r="M112" s="11"/>
      <c r="N112" s="28" t="s">
        <v>145</v>
      </c>
      <c r="O112" s="60">
        <f>J122-O110</f>
        <v>1395.4848028026727</v>
      </c>
      <c r="P112" s="76"/>
      <c r="Q112" s="65" t="s">
        <v>127</v>
      </c>
      <c r="R112" s="60">
        <f>R108*R110</f>
        <v>13760.990979644284</v>
      </c>
      <c r="S112" s="48"/>
      <c r="T112" s="65" t="s">
        <v>146</v>
      </c>
      <c r="U112" s="67">
        <f>O117</f>
        <v>1534</v>
      </c>
      <c r="V112" s="71"/>
      <c r="W112" s="48"/>
      <c r="X112" s="62"/>
    </row>
    <row r="113" spans="8:24" ht="15.75">
      <c r="H113" s="37" t="s">
        <v>103</v>
      </c>
      <c r="I113" s="60">
        <f>ONSV_AUX_2014!L56</f>
        <v>563742</v>
      </c>
      <c r="J113" s="61">
        <f>I113-(L108*I107)</f>
        <v>563587.31755596935</v>
      </c>
      <c r="K113" s="11"/>
      <c r="L113" s="11"/>
      <c r="M113" s="11"/>
      <c r="O113" s="76"/>
      <c r="P113" s="76"/>
      <c r="Q113" s="48"/>
      <c r="R113" s="78"/>
      <c r="S113" s="48"/>
      <c r="T113" s="65" t="s">
        <v>147</v>
      </c>
      <c r="U113" s="68">
        <f>I113-J113</f>
        <v>154.68244403065182</v>
      </c>
      <c r="V113" s="71"/>
      <c r="W113" s="65" t="s">
        <v>148</v>
      </c>
      <c r="X113" s="67">
        <f>I121</f>
        <v>9924</v>
      </c>
    </row>
    <row r="114" spans="8:24" ht="15.75">
      <c r="H114" s="37" t="s">
        <v>104</v>
      </c>
      <c r="I114" s="60">
        <f>ONSV_AUX_2014!L57</f>
        <v>61542</v>
      </c>
      <c r="J114" s="10">
        <f>I114</f>
        <v>61542</v>
      </c>
      <c r="K114" s="11"/>
      <c r="L114" s="11"/>
      <c r="M114" s="11"/>
      <c r="N114" s="26" t="s">
        <v>149</v>
      </c>
      <c r="O114" s="76"/>
      <c r="P114" s="76"/>
      <c r="Q114" s="65" t="s">
        <v>150</v>
      </c>
      <c r="R114" s="60">
        <f>J116-R111</f>
        <v>91283.613434754356</v>
      </c>
      <c r="S114" s="48"/>
      <c r="T114" s="65" t="s">
        <v>151</v>
      </c>
      <c r="U114" s="72">
        <f>O119</f>
        <v>37109.325421490939</v>
      </c>
      <c r="V114" s="48"/>
      <c r="W114" s="65" t="s">
        <v>152</v>
      </c>
      <c r="X114" s="67">
        <f>I118</f>
        <v>3009</v>
      </c>
    </row>
    <row r="115" spans="8:24" ht="15.75">
      <c r="H115" s="37" t="s">
        <v>105</v>
      </c>
      <c r="I115" s="60">
        <f>ONSV_AUX_2014!L58</f>
        <v>26722</v>
      </c>
      <c r="J115" s="10">
        <f>I115</f>
        <v>26722</v>
      </c>
      <c r="K115" s="11"/>
      <c r="L115" s="11"/>
      <c r="M115" s="11"/>
      <c r="O115" s="73"/>
      <c r="P115" s="76"/>
      <c r="Q115" s="65" t="s">
        <v>136</v>
      </c>
      <c r="R115" s="60">
        <f>J117-R112</f>
        <v>16963.57634095203</v>
      </c>
      <c r="S115" s="48"/>
      <c r="T115" s="48"/>
      <c r="U115" s="62"/>
      <c r="V115" s="77"/>
      <c r="W115" s="48"/>
      <c r="X115" s="62"/>
    </row>
    <row r="116" spans="8:24" ht="15.75">
      <c r="H116" s="37" t="s">
        <v>106</v>
      </c>
      <c r="I116" s="60">
        <f>ONSV_AUX_2014!L59</f>
        <v>165379</v>
      </c>
      <c r="J116" s="61">
        <f>I116-(L109*I107)</f>
        <v>165333.62245511007</v>
      </c>
      <c r="K116" s="11"/>
      <c r="L116" s="11"/>
      <c r="M116" s="11"/>
      <c r="N116" s="28" t="s">
        <v>143</v>
      </c>
      <c r="O116" s="60">
        <f>I104</f>
        <v>47447</v>
      </c>
      <c r="P116" s="76"/>
      <c r="Q116" s="48"/>
      <c r="R116" s="48"/>
      <c r="S116" s="77"/>
      <c r="T116" s="65" t="s">
        <v>142</v>
      </c>
      <c r="U116" s="68">
        <f>R111</f>
        <v>74050.009020355719</v>
      </c>
      <c r="V116" s="48"/>
      <c r="W116" s="65" t="s">
        <v>153</v>
      </c>
      <c r="X116" s="67">
        <f>I119</f>
        <v>511150</v>
      </c>
    </row>
    <row r="117" spans="8:24" ht="15.75">
      <c r="H117" s="37" t="s">
        <v>107</v>
      </c>
      <c r="I117" s="60">
        <f>ONSV_AUX_2014!L60</f>
        <v>30733</v>
      </c>
      <c r="J117" s="61">
        <f>I117-(L110*I107)</f>
        <v>30724.567320596314</v>
      </c>
      <c r="K117" s="11"/>
      <c r="L117" s="11"/>
      <c r="M117" s="11"/>
      <c r="N117" s="28" t="s">
        <v>146</v>
      </c>
      <c r="O117" s="60">
        <f>I108</f>
        <v>1534</v>
      </c>
      <c r="P117" s="76"/>
      <c r="Q117" s="48"/>
      <c r="R117" s="48"/>
      <c r="S117" s="48"/>
      <c r="T117" s="65" t="s">
        <v>154</v>
      </c>
      <c r="U117" s="68">
        <f>I116-J116</f>
        <v>45.377544889925048</v>
      </c>
      <c r="V117" s="48"/>
      <c r="W117" s="65" t="s">
        <v>155</v>
      </c>
      <c r="X117" s="67">
        <f>I120</f>
        <v>168012</v>
      </c>
    </row>
    <row r="118" spans="8:24" ht="15.75">
      <c r="H118" s="37" t="s">
        <v>108</v>
      </c>
      <c r="I118" s="60">
        <f>ONSV_AUX_2014!L61</f>
        <v>3009</v>
      </c>
      <c r="J118" s="10">
        <f>I118</f>
        <v>3009</v>
      </c>
      <c r="K118" s="11"/>
      <c r="L118" s="11"/>
      <c r="M118" s="11"/>
      <c r="N118" s="28" t="s">
        <v>139</v>
      </c>
      <c r="O118" s="60">
        <f>IF(OR((O107*I105&gt;J113),((O116+O117+(O107*I105))&gt;J113)),(J113-O116-O117),(O107*I105))</f>
        <v>477496.99213447841</v>
      </c>
      <c r="P118" s="76"/>
      <c r="Q118" s="48"/>
      <c r="R118" s="78"/>
      <c r="S118" s="48"/>
      <c r="T118" s="65" t="s">
        <v>150</v>
      </c>
      <c r="U118" s="72">
        <f>R114</f>
        <v>91283.613434754356</v>
      </c>
      <c r="V118" s="48"/>
      <c r="W118" s="48"/>
      <c r="X118" s="48"/>
    </row>
    <row r="119" spans="8:24" ht="15.75">
      <c r="H119" s="37" t="s">
        <v>109</v>
      </c>
      <c r="I119" s="60">
        <f>ONSV_AUX_2014!L62</f>
        <v>511150</v>
      </c>
      <c r="J119" s="10">
        <f>I119</f>
        <v>511150</v>
      </c>
      <c r="K119" s="11"/>
      <c r="L119" s="11"/>
      <c r="M119" s="11"/>
      <c r="N119" s="28" t="s">
        <v>151</v>
      </c>
      <c r="O119" s="60">
        <f>IF((J113-O116-O118-O117)&lt;0,0,(J113-O116-O118-O117))</f>
        <v>37109.325421490939</v>
      </c>
      <c r="P119" s="48"/>
      <c r="Q119" s="48"/>
      <c r="R119" s="48"/>
      <c r="S119" s="48"/>
      <c r="T119" s="48"/>
      <c r="U119" s="62"/>
      <c r="V119" s="48"/>
      <c r="W119" s="48"/>
      <c r="X119" s="48"/>
    </row>
    <row r="120" spans="8:24" ht="15.75">
      <c r="H120" s="37" t="s">
        <v>110</v>
      </c>
      <c r="I120" s="60">
        <f>ONSV_AUX_2014!L63</f>
        <v>168012</v>
      </c>
      <c r="J120" s="10">
        <f>I120</f>
        <v>168012</v>
      </c>
      <c r="K120" s="11"/>
      <c r="L120" s="11"/>
      <c r="M120" s="11"/>
      <c r="O120" s="48"/>
      <c r="P120" s="76"/>
      <c r="Q120" s="48"/>
      <c r="R120" s="48"/>
      <c r="S120" s="48"/>
      <c r="T120" s="79" t="s">
        <v>156</v>
      </c>
      <c r="U120" s="80">
        <f>(SUM(U106:U118,X106:X117)/SUM(I113:I122))-1</f>
        <v>0</v>
      </c>
      <c r="V120" s="48"/>
      <c r="W120" s="79" t="s">
        <v>10</v>
      </c>
      <c r="X120" s="67">
        <f>SUM(U106:U118,X106:X117)</f>
        <v>1549351</v>
      </c>
    </row>
    <row r="121" spans="8:24" ht="15.75">
      <c r="H121" s="37" t="s">
        <v>111</v>
      </c>
      <c r="I121" s="60">
        <f>ONSV_AUX_2014!L64</f>
        <v>9924</v>
      </c>
      <c r="J121" s="10">
        <f>I121</f>
        <v>9924</v>
      </c>
      <c r="K121" s="11"/>
      <c r="L121" s="11"/>
      <c r="M121" s="11"/>
      <c r="O121" s="48"/>
      <c r="P121" s="76"/>
      <c r="Q121" s="48"/>
      <c r="R121" s="48"/>
      <c r="S121" s="48"/>
      <c r="T121" s="48"/>
      <c r="U121" s="48"/>
      <c r="V121" s="48"/>
      <c r="W121" s="48"/>
      <c r="X121" s="48"/>
    </row>
    <row r="122" spans="8:24" ht="15.75">
      <c r="H122" s="37" t="s">
        <v>112</v>
      </c>
      <c r="I122" s="60">
        <f>ONSV_AUX_2014!L65</f>
        <v>9138</v>
      </c>
      <c r="J122" s="61">
        <f>I122-(L111*I107)</f>
        <v>9135.4926683242484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Q4:R4"/>
    <mergeCell ref="T4:X4"/>
    <mergeCell ref="K5:L5"/>
    <mergeCell ref="A75:F75"/>
    <mergeCell ref="K29:L29"/>
    <mergeCell ref="A25:F25"/>
    <mergeCell ref="A50:F50"/>
    <mergeCell ref="T27:X27"/>
    <mergeCell ref="T52:X52"/>
    <mergeCell ref="K104:L104"/>
    <mergeCell ref="K54:L54"/>
    <mergeCell ref="K79:L79"/>
    <mergeCell ref="A100:G100"/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39997558519241921"/>
  </sheetPr>
  <dimension ref="A1:X122"/>
  <sheetViews>
    <sheetView showGridLines="0" zoomScale="90" zoomScaleNormal="90" workbookViewId="0">
      <selection activeCell="F3" sqref="F3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</cols>
  <sheetData>
    <row r="1" spans="1:24" s="31" customFormat="1" ht="15.75">
      <c r="A1" s="101" t="str">
        <f>"MATO GROSSO DO SUL/"&amp;ONSV_AUX_2018!$A$1&amp;""</f>
        <v>MATO GROSSO DO SUL/2018</v>
      </c>
      <c r="B1" s="102"/>
      <c r="C1" s="102"/>
      <c r="D1" s="102"/>
      <c r="E1" s="102"/>
      <c r="F1" s="102"/>
    </row>
    <row r="2" spans="1:24" s="4" customFormat="1" ht="15.75">
      <c r="A2" s="32"/>
      <c r="B2" s="32"/>
      <c r="C2" s="32"/>
      <c r="D2" s="32"/>
      <c r="E2" s="32"/>
      <c r="F2" s="32"/>
    </row>
    <row r="3" spans="1:24" ht="15.75">
      <c r="A3" s="12"/>
      <c r="H3" s="23" t="s">
        <v>118</v>
      </c>
    </row>
    <row r="4" spans="1:24" ht="15.75">
      <c r="B4" s="5"/>
      <c r="J4" s="9"/>
      <c r="M4" s="25"/>
      <c r="N4" s="25"/>
      <c r="O4" s="25"/>
      <c r="P4" s="25"/>
      <c r="Q4" s="103"/>
      <c r="R4" s="103"/>
      <c r="S4" s="22"/>
      <c r="T4" s="104"/>
      <c r="U4" s="104"/>
      <c r="V4" s="104"/>
      <c r="W4" s="104"/>
      <c r="X4" s="104"/>
    </row>
    <row r="5" spans="1:24" ht="15.75">
      <c r="H5" s="36" t="s">
        <v>81</v>
      </c>
      <c r="I5" s="60">
        <f>ONSV_AUX_2018!M27</f>
        <v>53858</v>
      </c>
      <c r="J5" s="9"/>
      <c r="K5" s="104" t="s">
        <v>119</v>
      </c>
      <c r="L5" s="104"/>
      <c r="M5" s="9"/>
      <c r="N5" s="26" t="s">
        <v>120</v>
      </c>
      <c r="O5" s="26"/>
      <c r="Q5" s="26" t="s">
        <v>121</v>
      </c>
      <c r="R5" s="26"/>
      <c r="S5" s="26"/>
      <c r="T5" s="25" t="s">
        <v>122</v>
      </c>
      <c r="U5" s="25"/>
      <c r="V5" s="25"/>
      <c r="W5" s="25"/>
      <c r="X5" s="25"/>
    </row>
    <row r="6" spans="1:24" ht="15.75">
      <c r="H6" s="36" t="s">
        <v>84</v>
      </c>
      <c r="I6" s="60">
        <f>ONSV_AUX_2018!M28</f>
        <v>548527</v>
      </c>
      <c r="J6" s="9"/>
      <c r="K6" s="9"/>
      <c r="L6" s="9"/>
      <c r="M6" s="9"/>
      <c r="N6" s="9"/>
      <c r="O6" s="9"/>
      <c r="P6" s="20"/>
      <c r="Q6" s="11"/>
      <c r="R6" s="11"/>
      <c r="S6" s="11"/>
    </row>
    <row r="7" spans="1:24" ht="15.75">
      <c r="H7" s="36" t="s">
        <v>85</v>
      </c>
      <c r="I7" s="60">
        <f>ONSV_AUX_2018!M29</f>
        <v>161938</v>
      </c>
      <c r="J7" s="9"/>
      <c r="K7" s="2" t="s">
        <v>123</v>
      </c>
      <c r="L7" s="60">
        <f>I14+I17+I18+I23</f>
        <v>928563</v>
      </c>
      <c r="N7" s="28" t="s">
        <v>124</v>
      </c>
      <c r="O7" s="60">
        <f>J14+J23</f>
        <v>731507.30170704622</v>
      </c>
      <c r="P7" s="64"/>
      <c r="Q7" s="65" t="s">
        <v>125</v>
      </c>
      <c r="R7" s="60">
        <f>J17+J18</f>
        <v>196931.69829295375</v>
      </c>
      <c r="S7" s="66"/>
      <c r="T7" s="65" t="s">
        <v>126</v>
      </c>
      <c r="U7" s="67">
        <f>O11</f>
        <v>9455.2032818255757</v>
      </c>
      <c r="V7" s="48"/>
      <c r="W7" s="65" t="s">
        <v>127</v>
      </c>
      <c r="X7" s="68">
        <f>R13</f>
        <v>15933.853369753957</v>
      </c>
    </row>
    <row r="8" spans="1:24" ht="15.75">
      <c r="H8" s="36" t="s">
        <v>101</v>
      </c>
      <c r="I8" s="60">
        <f>ONSV_AUX_2018!M30</f>
        <v>124</v>
      </c>
      <c r="J8" s="9"/>
      <c r="K8" s="27"/>
      <c r="L8" s="62"/>
      <c r="M8" s="20"/>
      <c r="N8" s="28" t="s">
        <v>128</v>
      </c>
      <c r="O8" s="69">
        <f>J14/O7</f>
        <v>0.98276255629745557</v>
      </c>
      <c r="P8" s="64"/>
      <c r="Q8" s="70" t="s">
        <v>129</v>
      </c>
      <c r="R8" s="63">
        <f>J17/R7</f>
        <v>0.79880482133246677</v>
      </c>
      <c r="S8" s="71"/>
      <c r="T8" s="65" t="s">
        <v>130</v>
      </c>
      <c r="U8" s="67">
        <f>I23-J23</f>
        <v>1.6840688246247737</v>
      </c>
      <c r="V8" s="48"/>
      <c r="W8" s="65" t="s">
        <v>131</v>
      </c>
      <c r="X8" s="68">
        <f>I18-J18</f>
        <v>5.2917766484315507</v>
      </c>
    </row>
    <row r="9" spans="1:24" ht="15.75">
      <c r="H9" s="36" t="s">
        <v>16</v>
      </c>
      <c r="I9" s="60">
        <f>ONSV_AUX_2018!M31</f>
        <v>5249</v>
      </c>
      <c r="J9" s="9"/>
      <c r="K9" s="2" t="s">
        <v>132</v>
      </c>
      <c r="L9" s="63">
        <f>I14/L7</f>
        <v>0.77430825910573653</v>
      </c>
      <c r="M9" s="20"/>
      <c r="N9" s="28" t="s">
        <v>133</v>
      </c>
      <c r="O9" s="69">
        <f>J23/O7</f>
        <v>1.7237443702544406E-2</v>
      </c>
      <c r="P9" s="64"/>
      <c r="Q9" s="70" t="s">
        <v>134</v>
      </c>
      <c r="R9" s="63">
        <f>J18/R7</f>
        <v>0.20119517866753317</v>
      </c>
      <c r="S9" s="71"/>
      <c r="T9" s="65" t="s">
        <v>135</v>
      </c>
      <c r="U9" s="72">
        <f>O13</f>
        <v>3154.1126493497995</v>
      </c>
      <c r="V9" s="73"/>
      <c r="W9" s="65" t="s">
        <v>136</v>
      </c>
      <c r="X9" s="72">
        <f>R16</f>
        <v>23687.854853597612</v>
      </c>
    </row>
    <row r="10" spans="1:24" ht="15.75">
      <c r="H10" s="36" t="s">
        <v>94</v>
      </c>
      <c r="I10" s="60">
        <f>ONSV_AUX_2018!M32</f>
        <v>713423</v>
      </c>
      <c r="J10" s="10"/>
      <c r="K10" s="2" t="s">
        <v>2</v>
      </c>
      <c r="L10" s="63">
        <f>I17/L7</f>
        <v>0.16943492256314327</v>
      </c>
      <c r="M10" s="20"/>
      <c r="N10" s="20"/>
      <c r="O10" s="74"/>
      <c r="P10" s="48"/>
      <c r="Q10" s="48"/>
      <c r="R10" s="48"/>
      <c r="S10" s="48"/>
      <c r="T10" s="48"/>
      <c r="U10" s="62"/>
      <c r="V10" s="75"/>
      <c r="W10" s="48"/>
      <c r="X10" s="62"/>
    </row>
    <row r="11" spans="1:24" ht="15.75">
      <c r="K11" s="2" t="s">
        <v>3</v>
      </c>
      <c r="L11" s="63">
        <f>I18/L7</f>
        <v>4.2675618132533816E-2</v>
      </c>
      <c r="M11" s="20"/>
      <c r="N11" s="28" t="s">
        <v>137</v>
      </c>
      <c r="O11" s="60">
        <f>IF(O9*I6&gt;J23,J23,O9*I6)</f>
        <v>9455.2032818255757</v>
      </c>
      <c r="P11" s="76"/>
      <c r="Q11" s="65" t="s">
        <v>138</v>
      </c>
      <c r="R11" s="60">
        <f>I7-I15-I16-I19-I22</f>
        <v>79196</v>
      </c>
      <c r="S11" s="77"/>
      <c r="T11" s="65" t="s">
        <v>139</v>
      </c>
      <c r="U11" s="67">
        <f>O19</f>
        <v>539071.79671817436</v>
      </c>
      <c r="V11" s="76"/>
      <c r="W11" s="65" t="s">
        <v>140</v>
      </c>
      <c r="X11" s="67">
        <f>I15</f>
        <v>52435</v>
      </c>
    </row>
    <row r="12" spans="1:24" ht="15.75">
      <c r="H12" s="24" t="s">
        <v>141</v>
      </c>
      <c r="K12" s="2" t="s">
        <v>0</v>
      </c>
      <c r="L12" s="63">
        <f>I23/L7</f>
        <v>1.3581200198586418E-2</v>
      </c>
      <c r="O12" s="48"/>
      <c r="P12" s="76"/>
      <c r="Q12" s="65" t="s">
        <v>142</v>
      </c>
      <c r="R12" s="60">
        <f>R8*R11</f>
        <v>63262.146630246039</v>
      </c>
      <c r="S12" s="48"/>
      <c r="T12" s="65" t="s">
        <v>143</v>
      </c>
      <c r="U12" s="67">
        <f>O17</f>
        <v>53858</v>
      </c>
      <c r="V12" s="66"/>
      <c r="W12" s="65" t="s">
        <v>144</v>
      </c>
      <c r="X12" s="67">
        <f>I16</f>
        <v>16900</v>
      </c>
    </row>
    <row r="13" spans="1:24" ht="15.75">
      <c r="K13" s="11"/>
      <c r="L13" s="11"/>
      <c r="M13" s="11"/>
      <c r="N13" s="28" t="s">
        <v>145</v>
      </c>
      <c r="O13" s="60">
        <f>J23-O11</f>
        <v>3154.1126493497995</v>
      </c>
      <c r="P13" s="76"/>
      <c r="Q13" s="65" t="s">
        <v>127</v>
      </c>
      <c r="R13" s="60">
        <f>R9*R11</f>
        <v>15933.853369753957</v>
      </c>
      <c r="S13" s="48"/>
      <c r="T13" s="65" t="s">
        <v>146</v>
      </c>
      <c r="U13" s="67">
        <f>O18</f>
        <v>5249</v>
      </c>
      <c r="V13" s="71"/>
      <c r="W13" s="48"/>
      <c r="X13" s="62"/>
    </row>
    <row r="14" spans="1:24" ht="15.75">
      <c r="H14" s="37" t="s">
        <v>103</v>
      </c>
      <c r="I14" s="60">
        <f>ONSV_AUX_2018!M56</f>
        <v>718994</v>
      </c>
      <c r="J14" s="61">
        <f>I14-(L9*I8)</f>
        <v>718897.98577587085</v>
      </c>
      <c r="K14" s="11"/>
      <c r="L14" s="11"/>
      <c r="M14" s="11"/>
      <c r="O14" s="76"/>
      <c r="P14" s="76"/>
      <c r="Q14" s="48"/>
      <c r="R14" s="78"/>
      <c r="S14" s="48"/>
      <c r="T14" s="65" t="s">
        <v>147</v>
      </c>
      <c r="U14" s="68">
        <f>I14-J14</f>
        <v>96.014224129146896</v>
      </c>
      <c r="V14" s="71"/>
      <c r="W14" s="65" t="s">
        <v>148</v>
      </c>
      <c r="X14" s="67">
        <f>I22</f>
        <v>9557</v>
      </c>
    </row>
    <row r="15" spans="1:24" ht="15.75">
      <c r="H15" s="37" t="s">
        <v>104</v>
      </c>
      <c r="I15" s="60">
        <f>ONSV_AUX_2018!M57</f>
        <v>52435</v>
      </c>
      <c r="J15" s="10">
        <f>I15</f>
        <v>52435</v>
      </c>
      <c r="K15" s="11"/>
      <c r="L15" s="11"/>
      <c r="M15" s="11"/>
      <c r="N15" s="26" t="s">
        <v>149</v>
      </c>
      <c r="O15" s="76"/>
      <c r="P15" s="76"/>
      <c r="Q15" s="65" t="s">
        <v>150</v>
      </c>
      <c r="R15" s="60">
        <f>J17-R12</f>
        <v>94047.843439356133</v>
      </c>
      <c r="S15" s="48"/>
      <c r="T15" s="65" t="s">
        <v>151</v>
      </c>
      <c r="U15" s="72">
        <f>O20</f>
        <v>120719.18905769649</v>
      </c>
      <c r="V15" s="48"/>
      <c r="W15" s="65" t="s">
        <v>152</v>
      </c>
      <c r="X15" s="67">
        <f>I19</f>
        <v>3850</v>
      </c>
    </row>
    <row r="16" spans="1:24" ht="15.75">
      <c r="H16" s="37" t="s">
        <v>105</v>
      </c>
      <c r="I16" s="60">
        <f>ONSV_AUX_2018!M58</f>
        <v>16900</v>
      </c>
      <c r="J16" s="10">
        <f>I16</f>
        <v>16900</v>
      </c>
      <c r="K16" s="11"/>
      <c r="L16" s="11"/>
      <c r="M16" s="11"/>
      <c r="O16" s="73"/>
      <c r="P16" s="76"/>
      <c r="Q16" s="65" t="s">
        <v>136</v>
      </c>
      <c r="R16" s="60">
        <f>J18-R13</f>
        <v>23687.854853597612</v>
      </c>
      <c r="S16" s="48"/>
      <c r="T16" s="48"/>
      <c r="U16" s="62"/>
      <c r="V16" s="77"/>
      <c r="W16" s="48"/>
      <c r="X16" s="62"/>
    </row>
    <row r="17" spans="1:24" ht="15.75">
      <c r="H17" s="37" t="s">
        <v>106</v>
      </c>
      <c r="I17" s="60">
        <f>ONSV_AUX_2018!M59</f>
        <v>157331</v>
      </c>
      <c r="J17" s="61">
        <f>I17-(L10*I8)</f>
        <v>157309.99006960218</v>
      </c>
      <c r="K17" s="11"/>
      <c r="L17" s="11"/>
      <c r="M17" s="11"/>
      <c r="N17" s="28" t="s">
        <v>143</v>
      </c>
      <c r="O17" s="60">
        <f>I5</f>
        <v>53858</v>
      </c>
      <c r="P17" s="76"/>
      <c r="Q17" s="48"/>
      <c r="R17" s="48"/>
      <c r="S17" s="77"/>
      <c r="T17" s="65" t="s">
        <v>142</v>
      </c>
      <c r="U17" s="68">
        <f>R12</f>
        <v>63262.146630246039</v>
      </c>
      <c r="V17" s="48"/>
      <c r="W17" s="65" t="s">
        <v>153</v>
      </c>
      <c r="X17" s="67">
        <f>I20</f>
        <v>364765</v>
      </c>
    </row>
    <row r="18" spans="1:24" ht="15.75">
      <c r="H18" s="37" t="s">
        <v>107</v>
      </c>
      <c r="I18" s="60">
        <f>ONSV_AUX_2018!M60</f>
        <v>39627</v>
      </c>
      <c r="J18" s="61">
        <f>I18-(L11*I8)</f>
        <v>39621.708223351568</v>
      </c>
      <c r="K18" s="11"/>
      <c r="L18" s="11"/>
      <c r="M18" s="11"/>
      <c r="N18" s="28" t="s">
        <v>146</v>
      </c>
      <c r="O18" s="60">
        <f>I9</f>
        <v>5249</v>
      </c>
      <c r="P18" s="76"/>
      <c r="Q18" s="48"/>
      <c r="R18" s="48"/>
      <c r="S18" s="48"/>
      <c r="T18" s="65" t="s">
        <v>154</v>
      </c>
      <c r="U18" s="68">
        <f>I17-J17</f>
        <v>21.009930397820426</v>
      </c>
      <c r="V18" s="48"/>
      <c r="W18" s="65" t="s">
        <v>155</v>
      </c>
      <c r="X18" s="67">
        <f>I21</f>
        <v>108804</v>
      </c>
    </row>
    <row r="19" spans="1:24" ht="15.75">
      <c r="H19" s="37" t="s">
        <v>108</v>
      </c>
      <c r="I19" s="60">
        <f>ONSV_AUX_2018!M61</f>
        <v>3850</v>
      </c>
      <c r="J19" s="10">
        <f>I19</f>
        <v>3850</v>
      </c>
      <c r="K19" s="11"/>
      <c r="L19" s="11"/>
      <c r="M19" s="11"/>
      <c r="N19" s="28" t="s">
        <v>139</v>
      </c>
      <c r="O19" s="60">
        <f>IF(OR((O8*I6&gt;J14),((O17+O18+(O8*I6))&gt;J14)),(J14-O17-O18),(O8*I6))</f>
        <v>539071.79671817436</v>
      </c>
      <c r="P19" s="76"/>
      <c r="Q19" s="48"/>
      <c r="R19" s="78"/>
      <c r="S19" s="48"/>
      <c r="T19" s="65" t="s">
        <v>150</v>
      </c>
      <c r="U19" s="72">
        <f>R15</f>
        <v>94047.843439356133</v>
      </c>
      <c r="V19" s="48"/>
      <c r="W19" s="48"/>
      <c r="X19" s="48"/>
    </row>
    <row r="20" spans="1:24" ht="15.75">
      <c r="H20" s="37" t="s">
        <v>109</v>
      </c>
      <c r="I20" s="60">
        <f>ONSV_AUX_2018!M62</f>
        <v>364765</v>
      </c>
      <c r="J20" s="10">
        <f t="shared" ref="J20:J22" si="0">I20</f>
        <v>364765</v>
      </c>
      <c r="K20" s="11"/>
      <c r="L20" s="11"/>
      <c r="M20" s="11"/>
      <c r="N20" s="28" t="s">
        <v>151</v>
      </c>
      <c r="O20" s="60">
        <f>IF((J14-O17-O19-O18)&lt;0,0,(J14-O17-O19-O18))</f>
        <v>120719.18905769649</v>
      </c>
      <c r="P20" s="48"/>
      <c r="Q20" s="48"/>
      <c r="R20" s="48"/>
      <c r="S20" s="48"/>
      <c r="T20" s="48"/>
      <c r="U20" s="62"/>
      <c r="V20" s="48"/>
      <c r="W20" s="48"/>
      <c r="X20" s="48"/>
    </row>
    <row r="21" spans="1:24" ht="15.75">
      <c r="H21" s="37" t="s">
        <v>110</v>
      </c>
      <c r="I21" s="60">
        <f>ONSV_AUX_2018!M63</f>
        <v>108804</v>
      </c>
      <c r="J21" s="10">
        <f t="shared" si="0"/>
        <v>108804</v>
      </c>
      <c r="K21" s="11"/>
      <c r="L21" s="11"/>
      <c r="M21" s="11"/>
      <c r="O21" s="48"/>
      <c r="P21" s="76"/>
      <c r="Q21" s="48"/>
      <c r="R21" s="48"/>
      <c r="S21" s="48"/>
      <c r="T21" s="79" t="s">
        <v>156</v>
      </c>
      <c r="U21" s="80">
        <f>(SUM(U7:U19,X7:X18)/SUM(I14:I23))-1</f>
        <v>0</v>
      </c>
      <c r="V21" s="48"/>
      <c r="W21" s="79" t="s">
        <v>10</v>
      </c>
      <c r="X21" s="67">
        <f>SUM(U7:U19,X7:X18)</f>
        <v>1484874</v>
      </c>
    </row>
    <row r="22" spans="1:24" ht="15.75">
      <c r="H22" s="37" t="s">
        <v>111</v>
      </c>
      <c r="I22" s="60">
        <f>ONSV_AUX_2018!M64</f>
        <v>9557</v>
      </c>
      <c r="J22" s="10">
        <f t="shared" si="0"/>
        <v>9557</v>
      </c>
      <c r="K22" s="11"/>
      <c r="L22" s="11"/>
      <c r="M22" s="11"/>
      <c r="O22" s="48"/>
      <c r="P22" s="76"/>
      <c r="Q22" s="48"/>
      <c r="R22" s="48"/>
      <c r="S22" s="48"/>
      <c r="T22" s="48"/>
      <c r="U22" s="48"/>
      <c r="V22" s="48"/>
      <c r="W22" s="48"/>
      <c r="X22" s="48"/>
    </row>
    <row r="23" spans="1:24" ht="15.75">
      <c r="H23" s="37" t="s">
        <v>112</v>
      </c>
      <c r="I23" s="60">
        <f>ONSV_AUX_2018!M65</f>
        <v>12611</v>
      </c>
      <c r="J23" s="61">
        <f>I23-(L12*I8)</f>
        <v>12609.315931175375</v>
      </c>
      <c r="K23" s="12"/>
      <c r="L23" s="12"/>
      <c r="M23" s="12"/>
      <c r="N23" s="12"/>
      <c r="O23" s="12"/>
      <c r="P23" s="12"/>
      <c r="Q23" s="4"/>
      <c r="R23" s="4"/>
    </row>
    <row r="25" spans="1:24" s="34" customFormat="1" ht="15.75">
      <c r="A25" s="101" t="str">
        <f>"MATO GROSSO DO SUL/"&amp;ONSV_AUX_2017!$A$1&amp;""</f>
        <v>MATO GROSSO DO SUL/2017</v>
      </c>
      <c r="B25" s="102"/>
      <c r="C25" s="102"/>
      <c r="D25" s="102"/>
      <c r="E25" s="102"/>
      <c r="F25" s="102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 spans="1:24" ht="15.75">
      <c r="A26" s="3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>
      <c r="A27" s="12"/>
      <c r="H27" s="23" t="s">
        <v>118</v>
      </c>
      <c r="N27" s="26"/>
      <c r="O27" s="26"/>
      <c r="P27" s="9"/>
      <c r="Q27" s="26"/>
      <c r="R27" s="26"/>
      <c r="S27" s="26"/>
      <c r="T27" s="104"/>
      <c r="U27" s="104"/>
      <c r="V27" s="104"/>
      <c r="W27" s="104"/>
      <c r="X27" s="104"/>
    </row>
    <row r="28" spans="1:24" ht="15.75">
      <c r="B28" s="5"/>
      <c r="J28" s="9"/>
      <c r="M28" s="25"/>
    </row>
    <row r="29" spans="1:24" ht="15.75">
      <c r="H29" s="36" t="s">
        <v>81</v>
      </c>
      <c r="I29" s="60">
        <f>ONSV_AUX_2017!M27</f>
        <v>53554</v>
      </c>
      <c r="J29" s="9"/>
      <c r="K29" s="104" t="s">
        <v>119</v>
      </c>
      <c r="L29" s="104"/>
      <c r="M29" s="9"/>
      <c r="N29" s="26" t="s">
        <v>120</v>
      </c>
      <c r="O29" s="26"/>
      <c r="Q29" s="26" t="s">
        <v>121</v>
      </c>
      <c r="R29" s="26"/>
      <c r="S29" s="26"/>
      <c r="T29" s="25" t="s">
        <v>122</v>
      </c>
      <c r="U29" s="25"/>
      <c r="V29" s="25"/>
      <c r="W29" s="25"/>
      <c r="X29" s="25"/>
    </row>
    <row r="30" spans="1:24" ht="15.75">
      <c r="H30" s="36" t="s">
        <v>84</v>
      </c>
      <c r="I30" s="60">
        <f>ONSV_AUX_2017!M28</f>
        <v>506965</v>
      </c>
      <c r="J30" s="9"/>
      <c r="K30" s="9"/>
      <c r="L30" s="9"/>
      <c r="M30" s="9"/>
      <c r="N30" s="9"/>
      <c r="O30" s="9"/>
      <c r="P30" s="20"/>
      <c r="Q30" s="11"/>
      <c r="R30" s="11"/>
      <c r="S30" s="11"/>
    </row>
    <row r="31" spans="1:24" ht="15.75">
      <c r="H31" s="36" t="s">
        <v>85</v>
      </c>
      <c r="I31" s="60">
        <f>ONSV_AUX_2017!M29</f>
        <v>155046</v>
      </c>
      <c r="J31" s="9"/>
      <c r="K31" s="2" t="s">
        <v>123</v>
      </c>
      <c r="L31" s="60">
        <f>I38+I41+I42+I47</f>
        <v>888858</v>
      </c>
      <c r="N31" s="28" t="s">
        <v>124</v>
      </c>
      <c r="O31" s="60">
        <f>J38+J47</f>
        <v>702164.58740653738</v>
      </c>
      <c r="P31" s="64"/>
      <c r="Q31" s="65" t="s">
        <v>125</v>
      </c>
      <c r="R31" s="60">
        <f>J41+J42</f>
        <v>186614.41259346262</v>
      </c>
      <c r="S31" s="66"/>
      <c r="T31" s="65" t="s">
        <v>126</v>
      </c>
      <c r="U31" s="67">
        <f>O35</f>
        <v>8194.7286489981143</v>
      </c>
      <c r="V31" s="48"/>
      <c r="W31" s="65" t="s">
        <v>127</v>
      </c>
      <c r="X31" s="68">
        <f>R37</f>
        <v>15097.684393267999</v>
      </c>
    </row>
    <row r="32" spans="1:24" ht="15.75">
      <c r="H32" s="36" t="s">
        <v>101</v>
      </c>
      <c r="I32" s="60">
        <f>ONSV_AUX_2017!M30</f>
        <v>79</v>
      </c>
      <c r="J32" s="9"/>
      <c r="K32" s="27"/>
      <c r="L32" s="62"/>
      <c r="M32" s="20"/>
      <c r="N32" s="28" t="s">
        <v>128</v>
      </c>
      <c r="O32" s="69">
        <f>J38/O31</f>
        <v>0.98383571124436964</v>
      </c>
      <c r="P32" s="64"/>
      <c r="Q32" s="70" t="s">
        <v>129</v>
      </c>
      <c r="R32" s="63">
        <f>J41/R31</f>
        <v>0.8002529054658658</v>
      </c>
      <c r="S32" s="71"/>
      <c r="T32" s="65" t="s">
        <v>130</v>
      </c>
      <c r="U32" s="67">
        <f>I47-J47</f>
        <v>1.0088551827175252</v>
      </c>
      <c r="V32" s="48"/>
      <c r="W32" s="65" t="s">
        <v>131</v>
      </c>
      <c r="X32" s="68">
        <f>I42-J42</f>
        <v>3.3132862616985221</v>
      </c>
    </row>
    <row r="33" spans="8:24" ht="15.75">
      <c r="H33" s="36" t="s">
        <v>16</v>
      </c>
      <c r="I33" s="60">
        <f>ONSV_AUX_2017!M31</f>
        <v>5330</v>
      </c>
      <c r="J33" s="9"/>
      <c r="K33" s="2" t="s">
        <v>132</v>
      </c>
      <c r="L33" s="63">
        <f>I38/L31</f>
        <v>0.77726250987221801</v>
      </c>
      <c r="M33" s="20"/>
      <c r="N33" s="28" t="s">
        <v>133</v>
      </c>
      <c r="O33" s="69">
        <f>J47/O31</f>
        <v>1.61642887556303E-2</v>
      </c>
      <c r="P33" s="64"/>
      <c r="Q33" s="70" t="s">
        <v>134</v>
      </c>
      <c r="R33" s="63">
        <f>J42/R31</f>
        <v>0.1997470945341342</v>
      </c>
      <c r="S33" s="71"/>
      <c r="T33" s="65" t="s">
        <v>135</v>
      </c>
      <c r="U33" s="72">
        <f>O37</f>
        <v>3155.2624958191682</v>
      </c>
      <c r="V33" s="73"/>
      <c r="W33" s="65" t="s">
        <v>136</v>
      </c>
      <c r="X33" s="72">
        <f>R40</f>
        <v>22178.002320470303</v>
      </c>
    </row>
    <row r="34" spans="8:24" ht="15.75">
      <c r="H34" s="36" t="s">
        <v>94</v>
      </c>
      <c r="I34" s="60">
        <f>ONSV_AUX_2017!M32</f>
        <v>705621</v>
      </c>
      <c r="J34" s="10"/>
      <c r="K34" s="2" t="s">
        <v>2</v>
      </c>
      <c r="L34" s="63">
        <f>I41/L31</f>
        <v>0.16802683893265291</v>
      </c>
      <c r="M34" s="20"/>
      <c r="N34" s="20"/>
      <c r="O34" s="74"/>
      <c r="P34" s="48"/>
      <c r="Q34" s="48"/>
      <c r="R34" s="48"/>
      <c r="S34" s="48"/>
      <c r="T34" s="48"/>
      <c r="U34" s="62"/>
      <c r="V34" s="75"/>
      <c r="W34" s="48"/>
      <c r="X34" s="62"/>
    </row>
    <row r="35" spans="8:24" ht="15.75">
      <c r="K35" s="2" t="s">
        <v>3</v>
      </c>
      <c r="L35" s="63">
        <f>I42/L31</f>
        <v>4.1940332426551825E-2</v>
      </c>
      <c r="M35" s="20"/>
      <c r="N35" s="28" t="s">
        <v>137</v>
      </c>
      <c r="O35" s="60">
        <f>IF(O33*I30&gt;J47,J47,O33*I30)</f>
        <v>8194.7286489981143</v>
      </c>
      <c r="P35" s="76"/>
      <c r="Q35" s="65" t="s">
        <v>138</v>
      </c>
      <c r="R35" s="60">
        <f>I31-I39-I40-I43-I46</f>
        <v>75584</v>
      </c>
      <c r="S35" s="77"/>
      <c r="T35" s="65" t="s">
        <v>139</v>
      </c>
      <c r="U35" s="67">
        <f>O43</f>
        <v>498770.27135100187</v>
      </c>
      <c r="V35" s="76"/>
      <c r="W35" s="65" t="s">
        <v>140</v>
      </c>
      <c r="X35" s="67">
        <f>I39</f>
        <v>50584</v>
      </c>
    </row>
    <row r="36" spans="8:24" ht="15.75">
      <c r="H36" s="24" t="s">
        <v>141</v>
      </c>
      <c r="K36" s="2" t="s">
        <v>0</v>
      </c>
      <c r="L36" s="63">
        <f>I47/L31</f>
        <v>1.2770318768577208E-2</v>
      </c>
      <c r="O36" s="48"/>
      <c r="P36" s="76"/>
      <c r="Q36" s="65" t="s">
        <v>142</v>
      </c>
      <c r="R36" s="60">
        <f>R32*R35</f>
        <v>60486.315606732001</v>
      </c>
      <c r="S36" s="48"/>
      <c r="T36" s="65" t="s">
        <v>143</v>
      </c>
      <c r="U36" s="67">
        <f>O41</f>
        <v>53554</v>
      </c>
      <c r="V36" s="66"/>
      <c r="W36" s="65" t="s">
        <v>144</v>
      </c>
      <c r="X36" s="67">
        <f>I40</f>
        <v>15855</v>
      </c>
    </row>
    <row r="37" spans="8:24" ht="15.75">
      <c r="K37" s="11"/>
      <c r="L37" s="11"/>
      <c r="M37" s="11"/>
      <c r="N37" s="28" t="s">
        <v>145</v>
      </c>
      <c r="O37" s="60">
        <f>J47-O35</f>
        <v>3155.2624958191682</v>
      </c>
      <c r="P37" s="76"/>
      <c r="Q37" s="65" t="s">
        <v>127</v>
      </c>
      <c r="R37" s="60">
        <f>R33*R35</f>
        <v>15097.684393267999</v>
      </c>
      <c r="S37" s="48"/>
      <c r="T37" s="65" t="s">
        <v>146</v>
      </c>
      <c r="U37" s="67">
        <f>O42</f>
        <v>5330</v>
      </c>
      <c r="V37" s="71"/>
      <c r="W37" s="48"/>
      <c r="X37" s="62"/>
    </row>
    <row r="38" spans="8:24" ht="15.75">
      <c r="H38" s="37" t="s">
        <v>103</v>
      </c>
      <c r="I38" s="60">
        <f>ONSV_AUX_2017!M56</f>
        <v>690876</v>
      </c>
      <c r="J38" s="61">
        <f>I38-(L33*I32)</f>
        <v>690814.59626172006</v>
      </c>
      <c r="K38" s="11"/>
      <c r="L38" s="11"/>
      <c r="M38" s="11"/>
      <c r="O38" s="76"/>
      <c r="P38" s="76"/>
      <c r="Q38" s="48"/>
      <c r="R38" s="78"/>
      <c r="S38" s="48"/>
      <c r="T38" s="65" t="s">
        <v>147</v>
      </c>
      <c r="U38" s="68">
        <f>I38-J38</f>
        <v>61.403738279943354</v>
      </c>
      <c r="V38" s="71"/>
      <c r="W38" s="65" t="s">
        <v>148</v>
      </c>
      <c r="X38" s="67">
        <f>I46</f>
        <v>9321</v>
      </c>
    </row>
    <row r="39" spans="8:24" ht="15.75">
      <c r="H39" s="37" t="s">
        <v>104</v>
      </c>
      <c r="I39" s="60">
        <f>ONSV_AUX_2017!M57</f>
        <v>50584</v>
      </c>
      <c r="J39" s="10">
        <f>I39</f>
        <v>50584</v>
      </c>
      <c r="K39" s="11"/>
      <c r="L39" s="11"/>
      <c r="M39" s="11"/>
      <c r="N39" s="26" t="s">
        <v>149</v>
      </c>
      <c r="O39" s="76"/>
      <c r="P39" s="76"/>
      <c r="Q39" s="65" t="s">
        <v>150</v>
      </c>
      <c r="R39" s="60">
        <f>J41-R36</f>
        <v>88852.410272992303</v>
      </c>
      <c r="S39" s="48"/>
      <c r="T39" s="65" t="s">
        <v>151</v>
      </c>
      <c r="U39" s="72">
        <f>O44</f>
        <v>133160.32491071819</v>
      </c>
      <c r="V39" s="48"/>
      <c r="W39" s="65" t="s">
        <v>152</v>
      </c>
      <c r="X39" s="67">
        <f>I43</f>
        <v>3702</v>
      </c>
    </row>
    <row r="40" spans="8:24" ht="15.75">
      <c r="H40" s="37" t="s">
        <v>105</v>
      </c>
      <c r="I40" s="60">
        <f>ONSV_AUX_2017!M58</f>
        <v>15855</v>
      </c>
      <c r="J40" s="10">
        <f>I40</f>
        <v>15855</v>
      </c>
      <c r="K40" s="11"/>
      <c r="L40" s="11"/>
      <c r="M40" s="11"/>
      <c r="O40" s="73"/>
      <c r="P40" s="76"/>
      <c r="Q40" s="65" t="s">
        <v>136</v>
      </c>
      <c r="R40" s="60">
        <f>J42-R37</f>
        <v>22178.002320470303</v>
      </c>
      <c r="S40" s="48"/>
      <c r="T40" s="48"/>
      <c r="U40" s="62"/>
      <c r="V40" s="77"/>
      <c r="W40" s="48"/>
      <c r="X40" s="62"/>
    </row>
    <row r="41" spans="8:24" ht="15.75">
      <c r="H41" s="37" t="s">
        <v>106</v>
      </c>
      <c r="I41" s="60">
        <f>ONSV_AUX_2017!M59</f>
        <v>149352</v>
      </c>
      <c r="J41" s="61">
        <f>I41-(L34*I32)</f>
        <v>149338.72587972431</v>
      </c>
      <c r="K41" s="11"/>
      <c r="L41" s="11"/>
      <c r="M41" s="11"/>
      <c r="N41" s="28" t="s">
        <v>143</v>
      </c>
      <c r="O41" s="60">
        <f>I29</f>
        <v>53554</v>
      </c>
      <c r="P41" s="76"/>
      <c r="Q41" s="48"/>
      <c r="R41" s="48"/>
      <c r="S41" s="77"/>
      <c r="T41" s="65" t="s">
        <v>142</v>
      </c>
      <c r="U41" s="68">
        <f>R36</f>
        <v>60486.315606732001</v>
      </c>
      <c r="V41" s="48"/>
      <c r="W41" s="65" t="s">
        <v>153</v>
      </c>
      <c r="X41" s="67">
        <f>I44</f>
        <v>354625</v>
      </c>
    </row>
    <row r="42" spans="8:24" ht="15.75">
      <c r="H42" s="37" t="s">
        <v>107</v>
      </c>
      <c r="I42" s="60">
        <f>ONSV_AUX_2017!M60</f>
        <v>37279</v>
      </c>
      <c r="J42" s="61">
        <f>I42-(L35*I32)</f>
        <v>37275.686713738301</v>
      </c>
      <c r="K42" s="11"/>
      <c r="L42" s="11"/>
      <c r="M42" s="11"/>
      <c r="N42" s="28" t="s">
        <v>146</v>
      </c>
      <c r="O42" s="60">
        <f>I33</f>
        <v>5330</v>
      </c>
      <c r="P42" s="76"/>
      <c r="Q42" s="48"/>
      <c r="R42" s="48"/>
      <c r="S42" s="48"/>
      <c r="T42" s="65" t="s">
        <v>154</v>
      </c>
      <c r="U42" s="68">
        <f>I41-J41</f>
        <v>13.274120275687892</v>
      </c>
      <c r="V42" s="48"/>
      <c r="W42" s="65" t="s">
        <v>155</v>
      </c>
      <c r="X42" s="67">
        <f>I45</f>
        <v>105220</v>
      </c>
    </row>
    <row r="43" spans="8:24" ht="15.75">
      <c r="H43" s="37" t="s">
        <v>108</v>
      </c>
      <c r="I43" s="60">
        <f>ONSV_AUX_2017!M61</f>
        <v>3702</v>
      </c>
      <c r="J43" s="10">
        <f>I43</f>
        <v>3702</v>
      </c>
      <c r="K43" s="11"/>
      <c r="L43" s="11"/>
      <c r="M43" s="11"/>
      <c r="N43" s="28" t="s">
        <v>139</v>
      </c>
      <c r="O43" s="60">
        <f>IF(OR((O32*I30&gt;J38),((O41+O42+(O32*I30))&gt;J38)),(J38-O41-O42),(O32*I30))</f>
        <v>498770.27135100187</v>
      </c>
      <c r="P43" s="76"/>
      <c r="Q43" s="48"/>
      <c r="R43" s="78"/>
      <c r="S43" s="48"/>
      <c r="T43" s="65" t="s">
        <v>150</v>
      </c>
      <c r="U43" s="72">
        <f>R39</f>
        <v>88852.410272992303</v>
      </c>
      <c r="V43" s="48"/>
      <c r="W43" s="48"/>
      <c r="X43" s="48"/>
    </row>
    <row r="44" spans="8:24" ht="15.75">
      <c r="H44" s="37" t="s">
        <v>109</v>
      </c>
      <c r="I44" s="60">
        <f>ONSV_AUX_2017!M62</f>
        <v>354625</v>
      </c>
      <c r="J44" s="10">
        <f>I44</f>
        <v>354625</v>
      </c>
      <c r="K44" s="11"/>
      <c r="L44" s="11"/>
      <c r="M44" s="11"/>
      <c r="N44" s="28" t="s">
        <v>151</v>
      </c>
      <c r="O44" s="60">
        <f>IF((J38-O41-O43-O42)&lt;0,0,(J38-O41-O43-O42))</f>
        <v>133160.32491071819</v>
      </c>
      <c r="P44" s="48"/>
      <c r="Q44" s="48"/>
      <c r="R44" s="48"/>
      <c r="S44" s="48"/>
      <c r="T44" s="48"/>
      <c r="U44" s="62"/>
      <c r="V44" s="48"/>
      <c r="W44" s="48"/>
      <c r="X44" s="48"/>
    </row>
    <row r="45" spans="8:24" ht="15.75">
      <c r="H45" s="37" t="s">
        <v>110</v>
      </c>
      <c r="I45" s="60">
        <f>ONSV_AUX_2017!M63</f>
        <v>105220</v>
      </c>
      <c r="J45" s="10">
        <f>I45</f>
        <v>105220</v>
      </c>
      <c r="K45" s="11"/>
      <c r="L45" s="11"/>
      <c r="M45" s="11"/>
      <c r="O45" s="48"/>
      <c r="P45" s="76"/>
      <c r="Q45" s="48"/>
      <c r="R45" s="48"/>
      <c r="S45" s="48"/>
      <c r="T45" s="79" t="s">
        <v>156</v>
      </c>
      <c r="U45" s="80">
        <f>(SUM(U31:U43,X31:X42)/SUM(I38:I47))-1</f>
        <v>0</v>
      </c>
      <c r="V45" s="48"/>
      <c r="W45" s="79" t="s">
        <v>10</v>
      </c>
      <c r="X45" s="67">
        <f>SUM(U31:U43,X31:X42)</f>
        <v>1428165</v>
      </c>
    </row>
    <row r="46" spans="8:24" ht="15.75">
      <c r="H46" s="37" t="s">
        <v>111</v>
      </c>
      <c r="I46" s="60">
        <f>ONSV_AUX_2017!M64</f>
        <v>9321</v>
      </c>
      <c r="J46" s="10">
        <f>I46</f>
        <v>9321</v>
      </c>
      <c r="K46" s="11"/>
      <c r="L46" s="11"/>
      <c r="M46" s="11"/>
      <c r="O46" s="48"/>
      <c r="P46" s="76"/>
      <c r="Q46" s="48"/>
      <c r="R46" s="48"/>
      <c r="S46" s="48"/>
      <c r="T46" s="48"/>
      <c r="U46" s="48"/>
      <c r="V46" s="48"/>
      <c r="W46" s="48"/>
      <c r="X46" s="48"/>
    </row>
    <row r="47" spans="8:24" ht="15.75">
      <c r="H47" s="37" t="s">
        <v>112</v>
      </c>
      <c r="I47" s="60">
        <f>ONSV_AUX_2017!M65</f>
        <v>11351</v>
      </c>
      <c r="J47" s="61">
        <f>I47-(L36*I32)</f>
        <v>11349.991144817282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39"/>
      <c r="I48" s="40"/>
      <c r="J48" s="40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4" customFormat="1" ht="15.75">
      <c r="A50" s="101" t="str">
        <f>"MATO GROSSO DO SUL/"&amp;ONSV_AUX_2016!$A$1&amp;""</f>
        <v>MATO GROSSO DO SUL/2016</v>
      </c>
      <c r="B50" s="102"/>
      <c r="C50" s="102"/>
      <c r="D50" s="102"/>
      <c r="E50" s="102"/>
      <c r="F50" s="102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</row>
    <row r="52" spans="1:24" ht="15.75">
      <c r="H52" s="23" t="s">
        <v>118</v>
      </c>
      <c r="N52" s="26"/>
      <c r="O52" s="26"/>
      <c r="P52" s="9"/>
      <c r="Q52" s="26"/>
      <c r="R52" s="26"/>
      <c r="S52" s="26"/>
      <c r="T52" s="104"/>
      <c r="U52" s="104"/>
      <c r="V52" s="104"/>
      <c r="W52" s="104"/>
      <c r="X52" s="104"/>
    </row>
    <row r="53" spans="1:24" ht="15.75">
      <c r="J53" s="9"/>
      <c r="M53" s="25"/>
      <c r="N53" s="9"/>
      <c r="O53" s="9"/>
      <c r="P53" s="9"/>
      <c r="Q53" s="11"/>
      <c r="R53" s="11"/>
      <c r="S53" s="11"/>
    </row>
    <row r="54" spans="1:24" ht="15.75">
      <c r="H54" s="36" t="s">
        <v>81</v>
      </c>
      <c r="I54" s="60">
        <f>ONSV_AUX_2016!M27</f>
        <v>53323</v>
      </c>
      <c r="J54" s="9"/>
      <c r="K54" s="104" t="s">
        <v>119</v>
      </c>
      <c r="L54" s="104"/>
      <c r="M54" s="9"/>
      <c r="N54" s="26" t="s">
        <v>120</v>
      </c>
      <c r="O54" s="26"/>
      <c r="Q54" s="26" t="s">
        <v>121</v>
      </c>
      <c r="R54" s="26"/>
      <c r="S54" s="26"/>
      <c r="T54" s="25" t="s">
        <v>122</v>
      </c>
      <c r="U54" s="25"/>
      <c r="V54" s="25"/>
      <c r="W54" s="25"/>
      <c r="X54" s="25"/>
    </row>
    <row r="55" spans="1:24" ht="15.75">
      <c r="H55" s="36" t="s">
        <v>84</v>
      </c>
      <c r="I55" s="60">
        <f>ONSV_AUX_2016!M28</f>
        <v>469588</v>
      </c>
      <c r="J55" s="9"/>
      <c r="K55" s="9"/>
      <c r="L55" s="9"/>
      <c r="M55" s="9"/>
      <c r="N55" s="9"/>
      <c r="O55" s="9"/>
      <c r="P55" s="20"/>
      <c r="Q55" s="11"/>
      <c r="R55" s="11"/>
      <c r="S55" s="11"/>
    </row>
    <row r="56" spans="1:24" ht="15.75">
      <c r="H56" s="36" t="s">
        <v>85</v>
      </c>
      <c r="I56" s="60">
        <f>ONSV_AUX_2016!M29</f>
        <v>148964</v>
      </c>
      <c r="J56" s="9"/>
      <c r="K56" s="2" t="s">
        <v>123</v>
      </c>
      <c r="L56" s="60">
        <f>I63+I66+I67+I72</f>
        <v>852564</v>
      </c>
      <c r="N56" s="28" t="s">
        <v>124</v>
      </c>
      <c r="O56" s="60">
        <f>J63+J72</f>
        <v>675170.0649992259</v>
      </c>
      <c r="P56" s="64"/>
      <c r="Q56" s="65" t="s">
        <v>125</v>
      </c>
      <c r="R56" s="60">
        <f>J66+J67</f>
        <v>177335.93500077413</v>
      </c>
      <c r="S56" s="66"/>
      <c r="T56" s="65" t="s">
        <v>126</v>
      </c>
      <c r="U56" s="67">
        <f>O60</f>
        <v>6979.6704580460182</v>
      </c>
      <c r="V56" s="48"/>
      <c r="W56" s="65" t="s">
        <v>127</v>
      </c>
      <c r="X56" s="68">
        <f>R62</f>
        <v>14384.535777116178</v>
      </c>
    </row>
    <row r="57" spans="1:24" ht="15.75">
      <c r="H57" s="36" t="s">
        <v>101</v>
      </c>
      <c r="I57" s="60">
        <f>ONSV_AUX_2016!M30</f>
        <v>58</v>
      </c>
      <c r="J57" s="9"/>
      <c r="K57" s="27"/>
      <c r="L57" s="62"/>
      <c r="M57" s="20"/>
      <c r="N57" s="28" t="s">
        <v>128</v>
      </c>
      <c r="O57" s="69">
        <f>J63/O56</f>
        <v>0.9851366081372479</v>
      </c>
      <c r="P57" s="64"/>
      <c r="Q57" s="70" t="s">
        <v>129</v>
      </c>
      <c r="R57" s="63">
        <f>J66/R56</f>
        <v>0.80080406883641209</v>
      </c>
      <c r="S57" s="71"/>
      <c r="T57" s="65" t="s">
        <v>130</v>
      </c>
      <c r="U57" s="67">
        <f>I72-J72</f>
        <v>0.68274991672114993</v>
      </c>
      <c r="V57" s="48"/>
      <c r="W57" s="65" t="s">
        <v>131</v>
      </c>
      <c r="X57" s="68">
        <f>I67-J67</f>
        <v>2.4032987552855047</v>
      </c>
    </row>
    <row r="58" spans="1:24" ht="15.75">
      <c r="H58" s="36" t="s">
        <v>16</v>
      </c>
      <c r="I58" s="60">
        <f>ONSV_AUX_2016!M31</f>
        <v>5488</v>
      </c>
      <c r="J58" s="9"/>
      <c r="K58" s="2" t="s">
        <v>132</v>
      </c>
      <c r="L58" s="63">
        <f>I63/L56</f>
        <v>0.78021122167954549</v>
      </c>
      <c r="M58" s="20"/>
      <c r="N58" s="28" t="s">
        <v>133</v>
      </c>
      <c r="O58" s="69">
        <f>J72/O56</f>
        <v>1.4863391862752068E-2</v>
      </c>
      <c r="P58" s="64"/>
      <c r="Q58" s="70" t="s">
        <v>134</v>
      </c>
      <c r="R58" s="63">
        <f>J67/R56</f>
        <v>0.19919593116358797</v>
      </c>
      <c r="S58" s="71"/>
      <c r="T58" s="65" t="s">
        <v>135</v>
      </c>
      <c r="U58" s="72">
        <f>O62</f>
        <v>3055.6467920372606</v>
      </c>
      <c r="V58" s="73"/>
      <c r="W58" s="65" t="s">
        <v>136</v>
      </c>
      <c r="X58" s="72">
        <f>R65</f>
        <v>20940.060924128535</v>
      </c>
    </row>
    <row r="59" spans="1:24" ht="15.75">
      <c r="H59" s="36" t="s">
        <v>94</v>
      </c>
      <c r="I59" s="60">
        <f>ONSV_AUX_2016!M32</f>
        <v>698419</v>
      </c>
      <c r="J59" s="10"/>
      <c r="K59" s="2" t="s">
        <v>2</v>
      </c>
      <c r="L59" s="63">
        <f>I66/L56</f>
        <v>0.16658104259621564</v>
      </c>
      <c r="M59" s="20"/>
      <c r="N59" s="20"/>
      <c r="O59" s="74"/>
      <c r="P59" s="48"/>
      <c r="Q59" s="48"/>
      <c r="R59" s="48"/>
      <c r="S59" s="48"/>
      <c r="T59" s="48"/>
      <c r="U59" s="62"/>
      <c r="V59" s="75"/>
      <c r="W59" s="48"/>
      <c r="X59" s="62"/>
    </row>
    <row r="60" spans="1:24" ht="15.75">
      <c r="K60" s="2" t="s">
        <v>3</v>
      </c>
      <c r="L60" s="63">
        <f>I67/L56</f>
        <v>4.1436185435932082E-2</v>
      </c>
      <c r="M60" s="20"/>
      <c r="N60" s="28" t="s">
        <v>137</v>
      </c>
      <c r="O60" s="60">
        <f>IF(O58*I55&gt;J72,J72,O58*I55)</f>
        <v>6979.6704580460182</v>
      </c>
      <c r="P60" s="76"/>
      <c r="Q60" s="65" t="s">
        <v>138</v>
      </c>
      <c r="R60" s="60">
        <f>I56-I64-I65-I68-I71</f>
        <v>72213</v>
      </c>
      <c r="S60" s="77"/>
      <c r="T60" s="65" t="s">
        <v>139</v>
      </c>
      <c r="U60" s="67">
        <f>O68</f>
        <v>462608.32954195398</v>
      </c>
      <c r="V60" s="76"/>
      <c r="W60" s="65" t="s">
        <v>140</v>
      </c>
      <c r="X60" s="67">
        <f>I64</f>
        <v>49126</v>
      </c>
    </row>
    <row r="61" spans="1:24" ht="15.75">
      <c r="H61" s="24" t="s">
        <v>141</v>
      </c>
      <c r="K61" s="2" t="s">
        <v>0</v>
      </c>
      <c r="L61" s="63">
        <f>I72/L56</f>
        <v>1.1771550288306802E-2</v>
      </c>
      <c r="O61" s="48"/>
      <c r="P61" s="76"/>
      <c r="Q61" s="65" t="s">
        <v>142</v>
      </c>
      <c r="R61" s="60">
        <f>R57*R60</f>
        <v>57828.464222883827</v>
      </c>
      <c r="S61" s="48"/>
      <c r="T61" s="65" t="s">
        <v>143</v>
      </c>
      <c r="U61" s="67">
        <f>O66</f>
        <v>53323</v>
      </c>
      <c r="V61" s="66"/>
      <c r="W61" s="65" t="s">
        <v>144</v>
      </c>
      <c r="X61" s="67">
        <f>I65</f>
        <v>15090</v>
      </c>
    </row>
    <row r="62" spans="1:24" ht="15.75">
      <c r="K62" s="11"/>
      <c r="L62" s="11"/>
      <c r="M62" s="11"/>
      <c r="N62" s="28" t="s">
        <v>145</v>
      </c>
      <c r="O62" s="60">
        <f>J72-O60</f>
        <v>3055.6467920372606</v>
      </c>
      <c r="P62" s="76"/>
      <c r="Q62" s="65" t="s">
        <v>127</v>
      </c>
      <c r="R62" s="60">
        <f>R58*R60</f>
        <v>14384.535777116178</v>
      </c>
      <c r="S62" s="48"/>
      <c r="T62" s="65" t="s">
        <v>146</v>
      </c>
      <c r="U62" s="67">
        <f>O67</f>
        <v>5488</v>
      </c>
      <c r="V62" s="71"/>
      <c r="W62" s="48"/>
      <c r="X62" s="62"/>
    </row>
    <row r="63" spans="1:24" ht="15.75">
      <c r="H63" s="37" t="s">
        <v>103</v>
      </c>
      <c r="I63" s="60">
        <f>ONSV_AUX_2016!M56</f>
        <v>665180</v>
      </c>
      <c r="J63" s="61">
        <f>I63-(L58*I57)</f>
        <v>665134.74774914258</v>
      </c>
      <c r="K63" s="11"/>
      <c r="L63" s="11"/>
      <c r="M63" s="11"/>
      <c r="O63" s="76"/>
      <c r="P63" s="76"/>
      <c r="Q63" s="48"/>
      <c r="R63" s="78"/>
      <c r="S63" s="48"/>
      <c r="T63" s="65" t="s">
        <v>147</v>
      </c>
      <c r="U63" s="68">
        <f>I63-J63</f>
        <v>45.252250857418403</v>
      </c>
      <c r="V63" s="71"/>
      <c r="W63" s="65" t="s">
        <v>148</v>
      </c>
      <c r="X63" s="67">
        <f>I71</f>
        <v>8968</v>
      </c>
    </row>
    <row r="64" spans="1:24" ht="15.75">
      <c r="H64" s="37" t="s">
        <v>104</v>
      </c>
      <c r="I64" s="60">
        <f>ONSV_AUX_2016!M57</f>
        <v>49126</v>
      </c>
      <c r="J64" s="10">
        <f>I64</f>
        <v>49126</v>
      </c>
      <c r="K64" s="11"/>
      <c r="L64" s="11"/>
      <c r="M64" s="11"/>
      <c r="N64" s="26" t="s">
        <v>149</v>
      </c>
      <c r="O64" s="76"/>
      <c r="P64" s="76"/>
      <c r="Q64" s="65" t="s">
        <v>150</v>
      </c>
      <c r="R64" s="60">
        <f>J66-R61</f>
        <v>84182.874076645589</v>
      </c>
      <c r="S64" s="48"/>
      <c r="T64" s="65" t="s">
        <v>151</v>
      </c>
      <c r="U64" s="72">
        <f>O69</f>
        <v>143715.4182071886</v>
      </c>
      <c r="V64" s="48"/>
      <c r="W64" s="65" t="s">
        <v>152</v>
      </c>
      <c r="X64" s="67">
        <f>I68</f>
        <v>3567</v>
      </c>
    </row>
    <row r="65" spans="1:24" ht="15.75">
      <c r="H65" s="37" t="s">
        <v>105</v>
      </c>
      <c r="I65" s="60">
        <f>ONSV_AUX_2016!M58</f>
        <v>15090</v>
      </c>
      <c r="J65" s="10">
        <f>I65</f>
        <v>15090</v>
      </c>
      <c r="K65" s="11"/>
      <c r="L65" s="11"/>
      <c r="M65" s="11"/>
      <c r="O65" s="73"/>
      <c r="P65" s="76"/>
      <c r="Q65" s="65" t="s">
        <v>136</v>
      </c>
      <c r="R65" s="60">
        <f>J67-R62</f>
        <v>20940.060924128535</v>
      </c>
      <c r="S65" s="48"/>
      <c r="T65" s="48"/>
      <c r="U65" s="62"/>
      <c r="V65" s="77"/>
      <c r="W65" s="48"/>
      <c r="X65" s="62"/>
    </row>
    <row r="66" spans="1:24" ht="15.75">
      <c r="H66" s="37" t="s">
        <v>106</v>
      </c>
      <c r="I66" s="60">
        <f>ONSV_AUX_2016!M59</f>
        <v>142021</v>
      </c>
      <c r="J66" s="61">
        <f>I66-(L59*I57)</f>
        <v>142011.33829952942</v>
      </c>
      <c r="K66" s="11"/>
      <c r="L66" s="11"/>
      <c r="M66" s="11"/>
      <c r="N66" s="28" t="s">
        <v>143</v>
      </c>
      <c r="O66" s="60">
        <f>I54</f>
        <v>53323</v>
      </c>
      <c r="P66" s="76"/>
      <c r="Q66" s="48"/>
      <c r="R66" s="48"/>
      <c r="S66" s="77"/>
      <c r="T66" s="65" t="s">
        <v>142</v>
      </c>
      <c r="U66" s="68">
        <f>R61</f>
        <v>57828.464222883827</v>
      </c>
      <c r="V66" s="48"/>
      <c r="W66" s="65" t="s">
        <v>153</v>
      </c>
      <c r="X66" s="67">
        <f>I69</f>
        <v>345975</v>
      </c>
    </row>
    <row r="67" spans="1:24" ht="15.75">
      <c r="H67" s="37" t="s">
        <v>107</v>
      </c>
      <c r="I67" s="60">
        <f>ONSV_AUX_2016!M60</f>
        <v>35327</v>
      </c>
      <c r="J67" s="61">
        <f>I67-(L60*I57)</f>
        <v>35324.596701244714</v>
      </c>
      <c r="K67" s="11"/>
      <c r="L67" s="11"/>
      <c r="M67" s="11"/>
      <c r="N67" s="28" t="s">
        <v>146</v>
      </c>
      <c r="O67" s="60">
        <f>I58</f>
        <v>5488</v>
      </c>
      <c r="P67" s="76"/>
      <c r="Q67" s="48"/>
      <c r="R67" s="48"/>
      <c r="S67" s="48"/>
      <c r="T67" s="65" t="s">
        <v>154</v>
      </c>
      <c r="U67" s="68">
        <f>I66-J66</f>
        <v>9.6617004705767613</v>
      </c>
      <c r="V67" s="48"/>
      <c r="W67" s="65" t="s">
        <v>155</v>
      </c>
      <c r="X67" s="67">
        <f>I70</f>
        <v>102078</v>
      </c>
    </row>
    <row r="68" spans="1:24" ht="15.75">
      <c r="H68" s="37" t="s">
        <v>108</v>
      </c>
      <c r="I68" s="60">
        <f>ONSV_AUX_2016!M61</f>
        <v>3567</v>
      </c>
      <c r="J68" s="10">
        <f>I68</f>
        <v>3567</v>
      </c>
      <c r="K68" s="11"/>
      <c r="L68" s="11"/>
      <c r="M68" s="11"/>
      <c r="N68" s="28" t="s">
        <v>139</v>
      </c>
      <c r="O68" s="60">
        <f>IF(OR((O57*I55&gt;J63),((O66+O67+(O57*I55))&gt;J63)),(J63-O66-O67),(O57*I55))</f>
        <v>462608.32954195398</v>
      </c>
      <c r="P68" s="76"/>
      <c r="Q68" s="48"/>
      <c r="R68" s="78"/>
      <c r="S68" s="48"/>
      <c r="T68" s="65" t="s">
        <v>150</v>
      </c>
      <c r="U68" s="72">
        <f>R64</f>
        <v>84182.874076645589</v>
      </c>
      <c r="V68" s="48"/>
      <c r="W68" s="48"/>
      <c r="X68" s="48"/>
    </row>
    <row r="69" spans="1:24" ht="15.75">
      <c r="H69" s="37" t="s">
        <v>109</v>
      </c>
      <c r="I69" s="60">
        <f>ONSV_AUX_2016!M62</f>
        <v>345975</v>
      </c>
      <c r="J69" s="10">
        <f>I69</f>
        <v>345975</v>
      </c>
      <c r="K69" s="11"/>
      <c r="L69" s="11"/>
      <c r="M69" s="11"/>
      <c r="N69" s="28" t="s">
        <v>151</v>
      </c>
      <c r="O69" s="60">
        <f>IF((J63-O66-O68-O67)&lt;0,0,(J63-O66-O68-O67))</f>
        <v>143715.4182071886</v>
      </c>
      <c r="P69" s="48"/>
      <c r="Q69" s="48"/>
      <c r="R69" s="48"/>
      <c r="S69" s="48"/>
      <c r="T69" s="48"/>
      <c r="U69" s="62"/>
      <c r="V69" s="48"/>
      <c r="W69" s="48"/>
      <c r="X69" s="48"/>
    </row>
    <row r="70" spans="1:24" ht="15.75">
      <c r="H70" s="37" t="s">
        <v>110</v>
      </c>
      <c r="I70" s="60">
        <f>ONSV_AUX_2016!M63</f>
        <v>102078</v>
      </c>
      <c r="J70" s="10">
        <f>I70</f>
        <v>102078</v>
      </c>
      <c r="K70" s="11"/>
      <c r="L70" s="11"/>
      <c r="M70" s="11"/>
      <c r="O70" s="48"/>
      <c r="P70" s="76"/>
      <c r="Q70" s="48"/>
      <c r="R70" s="48"/>
      <c r="S70" s="48"/>
      <c r="T70" s="79" t="s">
        <v>156</v>
      </c>
      <c r="U70" s="80">
        <f>(SUM(U56:U68,X56:X67)/SUM(I63:I72))-1</f>
        <v>0</v>
      </c>
      <c r="V70" s="48"/>
      <c r="W70" s="79" t="s">
        <v>10</v>
      </c>
      <c r="X70" s="67">
        <f>SUM(U56:U68,X56:X67)</f>
        <v>1377368</v>
      </c>
    </row>
    <row r="71" spans="1:24" ht="15.75">
      <c r="H71" s="37" t="s">
        <v>111</v>
      </c>
      <c r="I71" s="60">
        <f>ONSV_AUX_2016!M64</f>
        <v>8968</v>
      </c>
      <c r="J71" s="10">
        <f>I71</f>
        <v>8968</v>
      </c>
      <c r="K71" s="11"/>
      <c r="L71" s="11"/>
      <c r="M71" s="11"/>
      <c r="O71" s="48"/>
      <c r="P71" s="76"/>
      <c r="Q71" s="48"/>
      <c r="R71" s="48"/>
      <c r="S71" s="48"/>
      <c r="T71" s="48"/>
      <c r="U71" s="48"/>
      <c r="V71" s="48"/>
      <c r="W71" s="48"/>
      <c r="X71" s="48"/>
    </row>
    <row r="72" spans="1:24" ht="15.75">
      <c r="H72" s="37" t="s">
        <v>112</v>
      </c>
      <c r="I72" s="60">
        <f>ONSV_AUX_2016!M65</f>
        <v>10036</v>
      </c>
      <c r="J72" s="61">
        <f>I72-(L61*I57)</f>
        <v>10035.317250083279</v>
      </c>
      <c r="K72" s="12"/>
      <c r="L72" s="12"/>
      <c r="M72" s="12"/>
      <c r="N72" s="12"/>
      <c r="O72" s="12"/>
      <c r="P72" s="12"/>
      <c r="Q72" s="4"/>
      <c r="R72" s="4"/>
    </row>
    <row r="75" spans="1:24" s="34" customFormat="1" ht="15.75">
      <c r="A75" s="101" t="str">
        <f>"MATO GROSSO DO SUL/"&amp;ONSV_AUX_2015!$A$1&amp;""</f>
        <v>MATO GROSSO DO SUL/2015</v>
      </c>
      <c r="B75" s="102"/>
      <c r="C75" s="102"/>
      <c r="D75" s="102"/>
      <c r="E75" s="102"/>
      <c r="F75" s="102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 spans="1:24"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>
      <c r="H77" s="23" t="s">
        <v>118</v>
      </c>
      <c r="P77" s="9"/>
    </row>
    <row r="78" spans="1:24" ht="15.75">
      <c r="J78" s="9"/>
      <c r="M78" s="25"/>
      <c r="P78" s="9"/>
    </row>
    <row r="79" spans="1:24" ht="15.75">
      <c r="H79" s="36" t="s">
        <v>81</v>
      </c>
      <c r="I79" s="60">
        <f>ONSV_AUX_2015!M27</f>
        <v>53186</v>
      </c>
      <c r="J79" s="9"/>
      <c r="K79" s="104" t="s">
        <v>119</v>
      </c>
      <c r="L79" s="104"/>
      <c r="M79" s="9"/>
      <c r="N79" s="26" t="s">
        <v>120</v>
      </c>
      <c r="O79" s="26"/>
      <c r="Q79" s="26" t="s">
        <v>121</v>
      </c>
      <c r="R79" s="26"/>
      <c r="S79" s="26"/>
      <c r="T79" s="25" t="s">
        <v>122</v>
      </c>
      <c r="U79" s="25"/>
      <c r="V79" s="25"/>
      <c r="W79" s="25"/>
      <c r="X79" s="25"/>
    </row>
    <row r="80" spans="1:24" ht="15.75">
      <c r="H80" s="36" t="s">
        <v>84</v>
      </c>
      <c r="I80" s="60">
        <f>ONSV_AUX_2015!M28</f>
        <v>427299</v>
      </c>
      <c r="J80" s="9"/>
      <c r="K80" s="9"/>
      <c r="L80" s="9"/>
      <c r="M80" s="9"/>
      <c r="N80" s="9"/>
      <c r="O80" s="9"/>
      <c r="P80" s="20"/>
      <c r="Q80" s="11"/>
      <c r="R80" s="11"/>
      <c r="S80" s="11"/>
    </row>
    <row r="81" spans="8:24" ht="15.75">
      <c r="H81" s="36" t="s">
        <v>85</v>
      </c>
      <c r="I81" s="60">
        <f>ONSV_AUX_2015!M29</f>
        <v>143746</v>
      </c>
      <c r="J81" s="9"/>
      <c r="K81" s="2" t="s">
        <v>123</v>
      </c>
      <c r="L81" s="60">
        <f>I88+I91+I92+I97</f>
        <v>814052</v>
      </c>
      <c r="N81" s="28" t="s">
        <v>124</v>
      </c>
      <c r="O81" s="60">
        <f>J88+J97</f>
        <v>646040.6981249355</v>
      </c>
      <c r="P81" s="64"/>
      <c r="Q81" s="65" t="s">
        <v>125</v>
      </c>
      <c r="R81" s="60">
        <f>J91+J92</f>
        <v>167964.3018750645</v>
      </c>
      <c r="S81" s="66"/>
      <c r="T81" s="65" t="s">
        <v>126</v>
      </c>
      <c r="U81" s="67">
        <f>O85</f>
        <v>5797.6018901742518</v>
      </c>
      <c r="V81" s="48"/>
      <c r="W81" s="65" t="s">
        <v>127</v>
      </c>
      <c r="X81" s="68">
        <f>R87</f>
        <v>13698.790461619061</v>
      </c>
    </row>
    <row r="82" spans="8:24" ht="15.75">
      <c r="H82" s="36" t="s">
        <v>101</v>
      </c>
      <c r="I82" s="60">
        <f>ONSV_AUX_2015!M30</f>
        <v>47</v>
      </c>
      <c r="J82" s="9"/>
      <c r="K82" s="27"/>
      <c r="L82" s="62"/>
      <c r="M82" s="20"/>
      <c r="N82" s="28" t="s">
        <v>128</v>
      </c>
      <c r="O82" s="69">
        <f>J88/O81</f>
        <v>0.98643197880132127</v>
      </c>
      <c r="P82" s="64"/>
      <c r="Q82" s="70" t="s">
        <v>129</v>
      </c>
      <c r="R82" s="63">
        <f>J91/R81</f>
        <v>0.80180861323776287</v>
      </c>
      <c r="S82" s="71"/>
      <c r="T82" s="65" t="s">
        <v>130</v>
      </c>
      <c r="U82" s="67">
        <f>I97-J97</f>
        <v>0.50611263162500109</v>
      </c>
      <c r="V82" s="48"/>
      <c r="W82" s="65" t="s">
        <v>131</v>
      </c>
      <c r="X82" s="68">
        <f>I92-J92</f>
        <v>1.9220848299592035</v>
      </c>
    </row>
    <row r="83" spans="8:24" ht="15.75">
      <c r="H83" s="36" t="s">
        <v>16</v>
      </c>
      <c r="I83" s="60">
        <f>ONSV_AUX_2015!M31</f>
        <v>5656</v>
      </c>
      <c r="J83" s="9"/>
      <c r="K83" s="2" t="s">
        <v>132</v>
      </c>
      <c r="L83" s="63">
        <f>I88/L81</f>
        <v>0.78288856240141902</v>
      </c>
      <c r="M83" s="20"/>
      <c r="N83" s="28" t="s">
        <v>133</v>
      </c>
      <c r="O83" s="69">
        <f>J97/O81</f>
        <v>1.3568021198678799E-2</v>
      </c>
      <c r="P83" s="64"/>
      <c r="Q83" s="70" t="s">
        <v>134</v>
      </c>
      <c r="R83" s="63">
        <f>J92/R81</f>
        <v>0.19819138676223702</v>
      </c>
      <c r="S83" s="71"/>
      <c r="T83" s="65" t="s">
        <v>135</v>
      </c>
      <c r="U83" s="72">
        <f>O87</f>
        <v>2967.8919971941232</v>
      </c>
      <c r="V83" s="73"/>
      <c r="W83" s="65" t="s">
        <v>136</v>
      </c>
      <c r="X83" s="72">
        <f>R90</f>
        <v>19590.28745355098</v>
      </c>
    </row>
    <row r="84" spans="8:24" ht="15.75">
      <c r="H84" s="36" t="s">
        <v>94</v>
      </c>
      <c r="I84" s="60">
        <f>ONSV_AUX_2015!M32</f>
        <v>690762</v>
      </c>
      <c r="J84" s="10"/>
      <c r="K84" s="2" t="s">
        <v>2</v>
      </c>
      <c r="L84" s="63">
        <f>I91/L81</f>
        <v>0.16544766182012943</v>
      </c>
      <c r="M84" s="20"/>
      <c r="N84" s="20"/>
      <c r="O84" s="74"/>
      <c r="P84" s="48"/>
      <c r="Q84" s="48"/>
      <c r="R84" s="48"/>
      <c r="S84" s="48"/>
      <c r="T84" s="48"/>
      <c r="U84" s="62"/>
      <c r="V84" s="75"/>
      <c r="W84" s="48"/>
      <c r="X84" s="62"/>
    </row>
    <row r="85" spans="8:24" ht="15.75">
      <c r="K85" s="2" t="s">
        <v>3</v>
      </c>
      <c r="L85" s="63">
        <f>I92/L81</f>
        <v>4.0895421914079196E-2</v>
      </c>
      <c r="M85" s="20"/>
      <c r="N85" s="28" t="s">
        <v>137</v>
      </c>
      <c r="O85" s="60">
        <f>IF(O83*I80&gt;J97,J97,O83*I80)</f>
        <v>5797.6018901742518</v>
      </c>
      <c r="P85" s="76"/>
      <c r="Q85" s="65" t="s">
        <v>138</v>
      </c>
      <c r="R85" s="60">
        <f>I81-I89-I90-I93-I96</f>
        <v>69119</v>
      </c>
      <c r="S85" s="77"/>
      <c r="T85" s="65" t="s">
        <v>139</v>
      </c>
      <c r="U85" s="67">
        <f>O93</f>
        <v>421501.39810982579</v>
      </c>
      <c r="V85" s="76"/>
      <c r="W85" s="65" t="s">
        <v>140</v>
      </c>
      <c r="X85" s="67">
        <f>I89</f>
        <v>48099</v>
      </c>
    </row>
    <row r="86" spans="8:24" ht="15.75">
      <c r="H86" s="24" t="s">
        <v>141</v>
      </c>
      <c r="K86" s="2" t="s">
        <v>0</v>
      </c>
      <c r="L86" s="63">
        <f>I97/L81</f>
        <v>1.0768353864372301E-2</v>
      </c>
      <c r="O86" s="48"/>
      <c r="P86" s="76"/>
      <c r="Q86" s="65" t="s">
        <v>142</v>
      </c>
      <c r="R86" s="60">
        <f>R82*R85</f>
        <v>55420.209538380928</v>
      </c>
      <c r="S86" s="48"/>
      <c r="T86" s="65" t="s">
        <v>143</v>
      </c>
      <c r="U86" s="67">
        <f>O91</f>
        <v>53186</v>
      </c>
      <c r="V86" s="66"/>
      <c r="W86" s="65" t="s">
        <v>144</v>
      </c>
      <c r="X86" s="67">
        <f>I90</f>
        <v>14336</v>
      </c>
    </row>
    <row r="87" spans="8:24" ht="15.75">
      <c r="K87" s="11"/>
      <c r="L87" s="11"/>
      <c r="M87" s="11"/>
      <c r="N87" s="28" t="s">
        <v>145</v>
      </c>
      <c r="O87" s="60">
        <f>J97-O85</f>
        <v>2967.8919971941232</v>
      </c>
      <c r="P87" s="76"/>
      <c r="Q87" s="65" t="s">
        <v>127</v>
      </c>
      <c r="R87" s="60">
        <f>R83*R85</f>
        <v>13698.790461619061</v>
      </c>
      <c r="S87" s="48"/>
      <c r="T87" s="65" t="s">
        <v>146</v>
      </c>
      <c r="U87" s="67">
        <f>O92</f>
        <v>5656</v>
      </c>
      <c r="V87" s="71"/>
      <c r="W87" s="48"/>
      <c r="X87" s="62"/>
    </row>
    <row r="88" spans="8:24" ht="15.75">
      <c r="H88" s="37" t="s">
        <v>103</v>
      </c>
      <c r="I88" s="60">
        <f>ONSV_AUX_2015!M56</f>
        <v>637312</v>
      </c>
      <c r="J88" s="61">
        <f>I88-(L83*I82)</f>
        <v>637275.20423756714</v>
      </c>
      <c r="K88" s="11"/>
      <c r="L88" s="11"/>
      <c r="M88" s="11"/>
      <c r="O88" s="76"/>
      <c r="P88" s="76"/>
      <c r="Q88" s="48"/>
      <c r="R88" s="78"/>
      <c r="S88" s="48"/>
      <c r="T88" s="65" t="s">
        <v>147</v>
      </c>
      <c r="U88" s="68">
        <f>I88-J88</f>
        <v>36.795762432855554</v>
      </c>
      <c r="V88" s="71"/>
      <c r="W88" s="65" t="s">
        <v>148</v>
      </c>
      <c r="X88" s="67">
        <f>I96</f>
        <v>8765</v>
      </c>
    </row>
    <row r="89" spans="8:24" ht="15.75">
      <c r="H89" s="37" t="s">
        <v>104</v>
      </c>
      <c r="I89" s="60">
        <f>ONSV_AUX_2015!M57</f>
        <v>48099</v>
      </c>
      <c r="J89" s="10">
        <f>I89</f>
        <v>48099</v>
      </c>
      <c r="K89" s="11"/>
      <c r="L89" s="11"/>
      <c r="M89" s="11"/>
      <c r="N89" s="26" t="s">
        <v>149</v>
      </c>
      <c r="O89" s="76"/>
      <c r="P89" s="76"/>
      <c r="Q89" s="65" t="s">
        <v>150</v>
      </c>
      <c r="R89" s="60">
        <f>J91-R86</f>
        <v>79255.014421513508</v>
      </c>
      <c r="S89" s="48"/>
      <c r="T89" s="65" t="s">
        <v>151</v>
      </c>
      <c r="U89" s="72">
        <f>O94</f>
        <v>156931.80612774135</v>
      </c>
      <c r="V89" s="48"/>
      <c r="W89" s="65" t="s">
        <v>152</v>
      </c>
      <c r="X89" s="67">
        <f>I93</f>
        <v>3427</v>
      </c>
    </row>
    <row r="90" spans="8:24" ht="15.75">
      <c r="H90" s="37" t="s">
        <v>105</v>
      </c>
      <c r="I90" s="60">
        <f>ONSV_AUX_2015!M58</f>
        <v>14336</v>
      </c>
      <c r="J90" s="10">
        <f>I90</f>
        <v>14336</v>
      </c>
      <c r="K90" s="11"/>
      <c r="L90" s="11"/>
      <c r="M90" s="11"/>
      <c r="O90" s="73"/>
      <c r="P90" s="76"/>
      <c r="Q90" s="65" t="s">
        <v>136</v>
      </c>
      <c r="R90" s="60">
        <f>J92-R87</f>
        <v>19590.28745355098</v>
      </c>
      <c r="S90" s="48"/>
      <c r="T90" s="48"/>
      <c r="U90" s="62"/>
      <c r="V90" s="77"/>
      <c r="W90" s="48"/>
      <c r="X90" s="62"/>
    </row>
    <row r="91" spans="8:24" ht="15.75">
      <c r="H91" s="37" t="s">
        <v>106</v>
      </c>
      <c r="I91" s="60">
        <f>ONSV_AUX_2015!M59</f>
        <v>134683</v>
      </c>
      <c r="J91" s="61">
        <f>I91-(L84*I82)</f>
        <v>134675.22395989444</v>
      </c>
      <c r="K91" s="11"/>
      <c r="L91" s="11"/>
      <c r="M91" s="11"/>
      <c r="N91" s="28" t="s">
        <v>143</v>
      </c>
      <c r="O91" s="60">
        <f>I79</f>
        <v>53186</v>
      </c>
      <c r="P91" s="76"/>
      <c r="Q91" s="48"/>
      <c r="R91" s="48"/>
      <c r="S91" s="77"/>
      <c r="T91" s="65" t="s">
        <v>142</v>
      </c>
      <c r="U91" s="68">
        <f>R86</f>
        <v>55420.209538380928</v>
      </c>
      <c r="V91" s="48"/>
      <c r="W91" s="65" t="s">
        <v>153</v>
      </c>
      <c r="X91" s="67">
        <f>I94</f>
        <v>334993</v>
      </c>
    </row>
    <row r="92" spans="8:24" ht="15.75">
      <c r="H92" s="37" t="s">
        <v>107</v>
      </c>
      <c r="I92" s="60">
        <f>ONSV_AUX_2015!M60</f>
        <v>33291</v>
      </c>
      <c r="J92" s="61">
        <f>I92-(L85*I82)</f>
        <v>33289.077915170041</v>
      </c>
      <c r="K92" s="11"/>
      <c r="L92" s="11"/>
      <c r="M92" s="11"/>
      <c r="N92" s="28" t="s">
        <v>146</v>
      </c>
      <c r="O92" s="60">
        <f>I83</f>
        <v>5656</v>
      </c>
      <c r="P92" s="76"/>
      <c r="Q92" s="48"/>
      <c r="R92" s="48"/>
      <c r="S92" s="48"/>
      <c r="T92" s="65" t="s">
        <v>154</v>
      </c>
      <c r="U92" s="68">
        <f>I91-J91</f>
        <v>7.7760401055566035</v>
      </c>
      <c r="V92" s="48"/>
      <c r="W92" s="65" t="s">
        <v>155</v>
      </c>
      <c r="X92" s="67">
        <f>I95</f>
        <v>97850</v>
      </c>
    </row>
    <row r="93" spans="8:24" ht="15.75">
      <c r="H93" s="37" t="s">
        <v>108</v>
      </c>
      <c r="I93" s="60">
        <f>ONSV_AUX_2015!M61</f>
        <v>3427</v>
      </c>
      <c r="J93" s="10">
        <f>I93</f>
        <v>3427</v>
      </c>
      <c r="K93" s="11"/>
      <c r="L93" s="11"/>
      <c r="M93" s="11"/>
      <c r="N93" s="28" t="s">
        <v>139</v>
      </c>
      <c r="O93" s="60">
        <f>IF(OR((O82*I80&gt;J88),((O91+O92+(O82*I80))&gt;J88)),(J88-O91-O92),(O82*I80))</f>
        <v>421501.39810982579</v>
      </c>
      <c r="P93" s="76"/>
      <c r="Q93" s="48"/>
      <c r="R93" s="78"/>
      <c r="S93" s="48"/>
      <c r="T93" s="65" t="s">
        <v>150</v>
      </c>
      <c r="U93" s="72">
        <f>R89</f>
        <v>79255.014421513508</v>
      </c>
      <c r="V93" s="48"/>
      <c r="W93" s="48"/>
      <c r="X93" s="48"/>
    </row>
    <row r="94" spans="8:24" ht="15.75">
      <c r="H94" s="37" t="s">
        <v>109</v>
      </c>
      <c r="I94" s="60">
        <f>ONSV_AUX_2015!M62</f>
        <v>334993</v>
      </c>
      <c r="J94" s="10">
        <f>I94</f>
        <v>334993</v>
      </c>
      <c r="K94" s="11"/>
      <c r="L94" s="11"/>
      <c r="M94" s="11"/>
      <c r="N94" s="28" t="s">
        <v>151</v>
      </c>
      <c r="O94" s="60">
        <f>IF((J88-O91-O93-O92)&lt;0,0,(J88-O91-O93-O92))</f>
        <v>156931.80612774135</v>
      </c>
      <c r="P94" s="48"/>
      <c r="Q94" s="48"/>
      <c r="R94" s="48"/>
      <c r="S94" s="48"/>
      <c r="T94" s="48"/>
      <c r="U94" s="62"/>
      <c r="V94" s="48"/>
      <c r="W94" s="48"/>
      <c r="X94" s="48"/>
    </row>
    <row r="95" spans="8:24" ht="15.75">
      <c r="H95" s="37" t="s">
        <v>110</v>
      </c>
      <c r="I95" s="60">
        <f>ONSV_AUX_2015!M63</f>
        <v>97850</v>
      </c>
      <c r="J95" s="10">
        <f>I95</f>
        <v>97850</v>
      </c>
      <c r="K95" s="11"/>
      <c r="L95" s="11"/>
      <c r="M95" s="11"/>
      <c r="O95" s="48"/>
      <c r="P95" s="76"/>
      <c r="Q95" s="48"/>
      <c r="R95" s="48"/>
      <c r="S95" s="48"/>
      <c r="T95" s="79" t="s">
        <v>156</v>
      </c>
      <c r="U95" s="80">
        <f>(SUM(U81:U93,X81:X92)/SUM(I88:I97))-1</f>
        <v>0</v>
      </c>
      <c r="V95" s="48"/>
      <c r="W95" s="79" t="s">
        <v>10</v>
      </c>
      <c r="X95" s="67">
        <f>SUM(U81:U93,X81:X92)</f>
        <v>1321522</v>
      </c>
    </row>
    <row r="96" spans="8:24" ht="15.75">
      <c r="H96" s="37" t="s">
        <v>111</v>
      </c>
      <c r="I96" s="60">
        <f>ONSV_AUX_2015!M64</f>
        <v>8765</v>
      </c>
      <c r="J96" s="10">
        <f>I96</f>
        <v>8765</v>
      </c>
      <c r="K96" s="11"/>
      <c r="L96" s="11"/>
      <c r="M96" s="11"/>
      <c r="O96" s="48"/>
      <c r="P96" s="76"/>
      <c r="Q96" s="48"/>
      <c r="R96" s="48"/>
      <c r="S96" s="48"/>
      <c r="T96" s="48"/>
      <c r="U96" s="48"/>
      <c r="V96" s="48"/>
      <c r="W96" s="48"/>
      <c r="X96" s="48"/>
    </row>
    <row r="97" spans="1:24" ht="15.75">
      <c r="H97" s="37" t="s">
        <v>112</v>
      </c>
      <c r="I97" s="60">
        <f>ONSV_AUX_2015!M65</f>
        <v>8766</v>
      </c>
      <c r="J97" s="61">
        <f>I97-(L86*I82)</f>
        <v>8765.493887368375</v>
      </c>
      <c r="K97" s="12"/>
      <c r="L97" s="12"/>
      <c r="M97" s="12"/>
      <c r="N97" s="12"/>
      <c r="O97" s="12"/>
      <c r="P97" s="12"/>
      <c r="Q97" s="4"/>
      <c r="R97" s="4"/>
    </row>
    <row r="98" spans="1:24" ht="15.75">
      <c r="I98" s="40"/>
      <c r="J98" s="21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4" ht="15.75">
      <c r="I99" s="40"/>
      <c r="J99" s="21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4" s="34" customFormat="1" ht="15.75">
      <c r="A100" s="101" t="str">
        <f>"MATO GROSSO DO SUL/"&amp;ONSV_AUX_2014!$A$1&amp;""</f>
        <v>MATO GROSSO DO SUL/2014</v>
      </c>
      <c r="B100" s="102"/>
      <c r="C100" s="102"/>
      <c r="D100" s="102"/>
      <c r="E100" s="102"/>
      <c r="F100" s="102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</row>
    <row r="101" spans="1:24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>
      <c r="H102" s="23" t="s">
        <v>118</v>
      </c>
      <c r="N102" s="26"/>
      <c r="O102" s="26"/>
      <c r="P102" s="9"/>
      <c r="Q102" s="26"/>
      <c r="R102" s="26"/>
      <c r="S102" s="26"/>
      <c r="T102" s="25"/>
      <c r="U102" s="25"/>
      <c r="V102" s="25"/>
      <c r="W102" s="25"/>
      <c r="X102" s="25"/>
    </row>
    <row r="103" spans="1:24" ht="15.75">
      <c r="J103" s="9"/>
      <c r="M103" s="25"/>
      <c r="N103" s="9"/>
      <c r="O103" s="9"/>
      <c r="P103" s="9"/>
      <c r="Q103" s="11"/>
      <c r="R103" s="11"/>
      <c r="S103" s="11"/>
    </row>
    <row r="104" spans="1:24" ht="15.75">
      <c r="H104" s="36" t="s">
        <v>81</v>
      </c>
      <c r="I104" s="60">
        <f>ONSV_AUX_2014!M27</f>
        <v>52933</v>
      </c>
      <c r="J104" s="9"/>
      <c r="K104" s="104" t="s">
        <v>119</v>
      </c>
      <c r="L104" s="104"/>
      <c r="M104" s="9"/>
      <c r="N104" s="26" t="s">
        <v>120</v>
      </c>
      <c r="O104" s="26"/>
      <c r="Q104" s="26" t="s">
        <v>121</v>
      </c>
      <c r="R104" s="26"/>
      <c r="S104" s="26"/>
      <c r="T104" s="25" t="s">
        <v>122</v>
      </c>
      <c r="U104" s="25"/>
      <c r="V104" s="25"/>
      <c r="W104" s="25"/>
      <c r="X104" s="25"/>
    </row>
    <row r="105" spans="1:24" ht="15.75">
      <c r="H105" s="36" t="s">
        <v>84</v>
      </c>
      <c r="I105" s="60">
        <f>ONSV_AUX_2014!M28</f>
        <v>369735</v>
      </c>
      <c r="J105" s="9"/>
      <c r="K105" s="9"/>
      <c r="L105" s="9"/>
      <c r="M105" s="9"/>
      <c r="N105" s="9"/>
      <c r="O105" s="9"/>
      <c r="P105" s="20"/>
      <c r="Q105" s="11"/>
      <c r="R105" s="11"/>
      <c r="S105" s="11"/>
    </row>
    <row r="106" spans="1:24" ht="15.75">
      <c r="H106" s="36" t="s">
        <v>85</v>
      </c>
      <c r="I106" s="60">
        <f>ONSV_AUX_2014!M29</f>
        <v>136337</v>
      </c>
      <c r="J106" s="9"/>
      <c r="K106" s="2" t="s">
        <v>123</v>
      </c>
      <c r="L106" s="60">
        <f>I113+I116+I117+I122</f>
        <v>761786</v>
      </c>
      <c r="N106" s="28" t="s">
        <v>124</v>
      </c>
      <c r="O106" s="60">
        <f>J113+J122</f>
        <v>606690.54912534496</v>
      </c>
      <c r="P106" s="64"/>
      <c r="Q106" s="65" t="s">
        <v>125</v>
      </c>
      <c r="R106" s="60">
        <f>J116+J117</f>
        <v>155053.45087465507</v>
      </c>
      <c r="S106" s="66"/>
      <c r="T106" s="65" t="s">
        <v>126</v>
      </c>
      <c r="U106" s="67">
        <f>O110</f>
        <v>4580.2181222433919</v>
      </c>
      <c r="V106" s="48"/>
      <c r="W106" s="65" t="s">
        <v>127</v>
      </c>
      <c r="X106" s="68">
        <f>R112</f>
        <v>13065.462318298489</v>
      </c>
    </row>
    <row r="107" spans="1:24" ht="15.75">
      <c r="H107" s="36" t="s">
        <v>101</v>
      </c>
      <c r="I107" s="60">
        <f>ONSV_AUX_2014!M30</f>
        <v>42</v>
      </c>
      <c r="J107" s="9"/>
      <c r="K107" s="27"/>
      <c r="L107" s="62"/>
      <c r="M107" s="20"/>
      <c r="N107" s="28" t="s">
        <v>128</v>
      </c>
      <c r="O107" s="69">
        <f>J113/O106</f>
        <v>0.98761215972995953</v>
      </c>
      <c r="P107" s="64"/>
      <c r="Q107" s="70" t="s">
        <v>129</v>
      </c>
      <c r="R107" s="63">
        <f>J116/R106</f>
        <v>0.79882885555455241</v>
      </c>
      <c r="S107" s="71"/>
      <c r="T107" s="65" t="s">
        <v>130</v>
      </c>
      <c r="U107" s="67">
        <f>I122-J122</f>
        <v>0.41438409212059923</v>
      </c>
      <c r="V107" s="48"/>
      <c r="W107" s="65" t="s">
        <v>131</v>
      </c>
      <c r="X107" s="68">
        <f>I117-J117</f>
        <v>1.7198373296450882</v>
      </c>
    </row>
    <row r="108" spans="1:24" ht="15.75">
      <c r="H108" s="36" t="s">
        <v>16</v>
      </c>
      <c r="I108" s="60">
        <f>ONSV_AUX_2014!M31</f>
        <v>5792</v>
      </c>
      <c r="J108" s="9"/>
      <c r="K108" s="2" t="s">
        <v>132</v>
      </c>
      <c r="L108" s="63">
        <f>I113/L106</f>
        <v>0.7865831086420596</v>
      </c>
      <c r="M108" s="20"/>
      <c r="N108" s="28" t="s">
        <v>133</v>
      </c>
      <c r="O108" s="69">
        <f>J122/O106</f>
        <v>1.2387840270040413E-2</v>
      </c>
      <c r="P108" s="64"/>
      <c r="Q108" s="70" t="s">
        <v>134</v>
      </c>
      <c r="R108" s="63">
        <f>J117/R106</f>
        <v>0.20117114444544765</v>
      </c>
      <c r="S108" s="71"/>
      <c r="T108" s="65" t="s">
        <v>135</v>
      </c>
      <c r="U108" s="72">
        <f>O112</f>
        <v>2935.3674936644875</v>
      </c>
      <c r="V108" s="73"/>
      <c r="W108" s="65" t="s">
        <v>136</v>
      </c>
      <c r="X108" s="72">
        <f>R115</f>
        <v>18126.817844371864</v>
      </c>
    </row>
    <row r="109" spans="1:24" ht="15.75">
      <c r="H109" s="36" t="s">
        <v>94</v>
      </c>
      <c r="I109" s="60">
        <f>ONSV_AUX_2014!M32</f>
        <v>680178</v>
      </c>
      <c r="J109" s="10"/>
      <c r="K109" s="2" t="s">
        <v>2</v>
      </c>
      <c r="L109" s="63">
        <f>I116/L106</f>
        <v>0.1626020956016519</v>
      </c>
      <c r="M109" s="20"/>
      <c r="N109" s="20"/>
      <c r="O109" s="74"/>
      <c r="P109" s="48"/>
      <c r="Q109" s="48"/>
      <c r="R109" s="48"/>
      <c r="S109" s="48"/>
      <c r="T109" s="48"/>
      <c r="U109" s="62"/>
      <c r="V109" s="75"/>
      <c r="W109" s="48"/>
      <c r="X109" s="62"/>
    </row>
    <row r="110" spans="1:24" ht="15.75">
      <c r="K110" s="2" t="s">
        <v>3</v>
      </c>
      <c r="L110" s="63">
        <f>I117/L106</f>
        <v>4.0948507848660907E-2</v>
      </c>
      <c r="M110" s="20"/>
      <c r="N110" s="28" t="s">
        <v>137</v>
      </c>
      <c r="O110" s="60">
        <f>IF(O108*I105&gt;J122,J122,O108*I105)</f>
        <v>4580.2181222433919</v>
      </c>
      <c r="P110" s="76"/>
      <c r="Q110" s="65" t="s">
        <v>138</v>
      </c>
      <c r="R110" s="60">
        <f>I106-I114-I115-I118-I121</f>
        <v>64947</v>
      </c>
      <c r="S110" s="77"/>
      <c r="T110" s="65" t="s">
        <v>139</v>
      </c>
      <c r="U110" s="67">
        <f>O118</f>
        <v>365154.78187775658</v>
      </c>
      <c r="V110" s="76"/>
      <c r="W110" s="65" t="s">
        <v>140</v>
      </c>
      <c r="X110" s="67">
        <f>I114</f>
        <v>46285</v>
      </c>
    </row>
    <row r="111" spans="1:24" ht="15.75">
      <c r="H111" s="24" t="s">
        <v>141</v>
      </c>
      <c r="K111" s="2" t="s">
        <v>0</v>
      </c>
      <c r="L111" s="63">
        <f>I122/L106</f>
        <v>9.8662879076276012E-3</v>
      </c>
      <c r="O111" s="48"/>
      <c r="P111" s="76"/>
      <c r="Q111" s="65" t="s">
        <v>142</v>
      </c>
      <c r="R111" s="60">
        <f>R107*R110</f>
        <v>51881.537681701513</v>
      </c>
      <c r="S111" s="48"/>
      <c r="T111" s="65" t="s">
        <v>143</v>
      </c>
      <c r="U111" s="67">
        <f>O116</f>
        <v>52933</v>
      </c>
      <c r="V111" s="66"/>
      <c r="W111" s="65" t="s">
        <v>144</v>
      </c>
      <c r="X111" s="67">
        <f>I115</f>
        <v>13523</v>
      </c>
    </row>
    <row r="112" spans="1:24" ht="15.75">
      <c r="K112" s="11"/>
      <c r="L112" s="11"/>
      <c r="M112" s="11"/>
      <c r="N112" s="28" t="s">
        <v>145</v>
      </c>
      <c r="O112" s="60">
        <f>J122-O110</f>
        <v>2935.3674936644875</v>
      </c>
      <c r="P112" s="76"/>
      <c r="Q112" s="65" t="s">
        <v>127</v>
      </c>
      <c r="R112" s="60">
        <f>R108*R110</f>
        <v>13065.462318298489</v>
      </c>
      <c r="S112" s="48"/>
      <c r="T112" s="65" t="s">
        <v>146</v>
      </c>
      <c r="U112" s="67">
        <f>O117</f>
        <v>5792</v>
      </c>
      <c r="V112" s="71"/>
      <c r="W112" s="48"/>
      <c r="X112" s="62"/>
    </row>
    <row r="113" spans="8:24" ht="15.75">
      <c r="H113" s="37" t="s">
        <v>103</v>
      </c>
      <c r="I113" s="60">
        <f>ONSV_AUX_2014!M56</f>
        <v>599208</v>
      </c>
      <c r="J113" s="61">
        <f>I113-(L108*I107)</f>
        <v>599174.96350943705</v>
      </c>
      <c r="K113" s="11"/>
      <c r="L113" s="11"/>
      <c r="M113" s="11"/>
      <c r="O113" s="76"/>
      <c r="P113" s="76"/>
      <c r="Q113" s="48"/>
      <c r="R113" s="78"/>
      <c r="S113" s="48"/>
      <c r="T113" s="65" t="s">
        <v>147</v>
      </c>
      <c r="U113" s="68">
        <f>I113-J113</f>
        <v>33.036490562953986</v>
      </c>
      <c r="V113" s="71"/>
      <c r="W113" s="65" t="s">
        <v>148</v>
      </c>
      <c r="X113" s="67">
        <f>I121</f>
        <v>8337</v>
      </c>
    </row>
    <row r="114" spans="8:24" ht="15.75">
      <c r="H114" s="37" t="s">
        <v>104</v>
      </c>
      <c r="I114" s="60">
        <f>ONSV_AUX_2014!M57</f>
        <v>46285</v>
      </c>
      <c r="J114" s="10">
        <f>I114</f>
        <v>46285</v>
      </c>
      <c r="K114" s="11"/>
      <c r="L114" s="11"/>
      <c r="M114" s="11"/>
      <c r="N114" s="26" t="s">
        <v>149</v>
      </c>
      <c r="O114" s="76"/>
      <c r="P114" s="76"/>
      <c r="Q114" s="65" t="s">
        <v>150</v>
      </c>
      <c r="R114" s="60">
        <f>J116-R111</f>
        <v>71979.633030283207</v>
      </c>
      <c r="S114" s="48"/>
      <c r="T114" s="65" t="s">
        <v>151</v>
      </c>
      <c r="U114" s="72">
        <f>O119</f>
        <v>175295.18163168046</v>
      </c>
      <c r="V114" s="48"/>
      <c r="W114" s="65" t="s">
        <v>152</v>
      </c>
      <c r="X114" s="67">
        <f>I118</f>
        <v>3245</v>
      </c>
    </row>
    <row r="115" spans="8:24" ht="15.75">
      <c r="H115" s="37" t="s">
        <v>105</v>
      </c>
      <c r="I115" s="60">
        <f>ONSV_AUX_2014!M58</f>
        <v>13523</v>
      </c>
      <c r="J115" s="10">
        <f>I115</f>
        <v>13523</v>
      </c>
      <c r="K115" s="11"/>
      <c r="L115" s="11"/>
      <c r="M115" s="11"/>
      <c r="O115" s="73"/>
      <c r="P115" s="76"/>
      <c r="Q115" s="65" t="s">
        <v>136</v>
      </c>
      <c r="R115" s="60">
        <f>J117-R112</f>
        <v>18126.817844371864</v>
      </c>
      <c r="S115" s="48"/>
      <c r="T115" s="48"/>
      <c r="U115" s="62"/>
      <c r="V115" s="77"/>
      <c r="W115" s="48"/>
      <c r="X115" s="62"/>
    </row>
    <row r="116" spans="8:24" ht="15.75">
      <c r="H116" s="37" t="s">
        <v>106</v>
      </c>
      <c r="I116" s="60">
        <f>ONSV_AUX_2014!M59</f>
        <v>123868</v>
      </c>
      <c r="J116" s="61">
        <f>I116-(L109*I107)</f>
        <v>123861.17071198473</v>
      </c>
      <c r="K116" s="11"/>
      <c r="L116" s="11"/>
      <c r="M116" s="11"/>
      <c r="N116" s="28" t="s">
        <v>143</v>
      </c>
      <c r="O116" s="60">
        <f>I104</f>
        <v>52933</v>
      </c>
      <c r="P116" s="76"/>
      <c r="Q116" s="48"/>
      <c r="R116" s="48"/>
      <c r="S116" s="77"/>
      <c r="T116" s="65" t="s">
        <v>142</v>
      </c>
      <c r="U116" s="68">
        <f>R111</f>
        <v>51881.537681701513</v>
      </c>
      <c r="V116" s="48"/>
      <c r="W116" s="65" t="s">
        <v>153</v>
      </c>
      <c r="X116" s="67">
        <f>I119</f>
        <v>320868</v>
      </c>
    </row>
    <row r="117" spans="8:24" ht="15.75">
      <c r="H117" s="37" t="s">
        <v>107</v>
      </c>
      <c r="I117" s="60">
        <f>ONSV_AUX_2014!M60</f>
        <v>31194</v>
      </c>
      <c r="J117" s="61">
        <f>I117-(L110*I107)</f>
        <v>31192.280162670355</v>
      </c>
      <c r="K117" s="11"/>
      <c r="L117" s="11"/>
      <c r="M117" s="11"/>
      <c r="N117" s="28" t="s">
        <v>146</v>
      </c>
      <c r="O117" s="60">
        <f>I108</f>
        <v>5792</v>
      </c>
      <c r="P117" s="76"/>
      <c r="Q117" s="48"/>
      <c r="R117" s="48"/>
      <c r="S117" s="48"/>
      <c r="T117" s="65" t="s">
        <v>154</v>
      </c>
      <c r="U117" s="68">
        <f>I116-J116</f>
        <v>6.8292880152730504</v>
      </c>
      <c r="V117" s="48"/>
      <c r="W117" s="65" t="s">
        <v>155</v>
      </c>
      <c r="X117" s="67">
        <f>I120</f>
        <v>91553</v>
      </c>
    </row>
    <row r="118" spans="8:24" ht="15.75">
      <c r="H118" s="37" t="s">
        <v>108</v>
      </c>
      <c r="I118" s="60">
        <f>ONSV_AUX_2014!M61</f>
        <v>3245</v>
      </c>
      <c r="J118" s="10">
        <f>I118</f>
        <v>3245</v>
      </c>
      <c r="K118" s="11"/>
      <c r="L118" s="11"/>
      <c r="M118" s="11"/>
      <c r="N118" s="28" t="s">
        <v>139</v>
      </c>
      <c r="O118" s="60">
        <f>IF(OR((O107*I105&gt;J113),((O116+O117+(O107*I105))&gt;J113)),(J113-O116-O117),(O107*I105))</f>
        <v>365154.78187775658</v>
      </c>
      <c r="P118" s="76"/>
      <c r="Q118" s="48"/>
      <c r="R118" s="78"/>
      <c r="S118" s="48"/>
      <c r="T118" s="65" t="s">
        <v>150</v>
      </c>
      <c r="U118" s="72">
        <f>R114</f>
        <v>71979.633030283207</v>
      </c>
      <c r="V118" s="48"/>
      <c r="W118" s="48"/>
      <c r="X118" s="48"/>
    </row>
    <row r="119" spans="8:24" ht="15.75">
      <c r="H119" s="37" t="s">
        <v>109</v>
      </c>
      <c r="I119" s="60">
        <f>ONSV_AUX_2014!M62</f>
        <v>320868</v>
      </c>
      <c r="J119" s="10">
        <f>I119</f>
        <v>320868</v>
      </c>
      <c r="K119" s="11"/>
      <c r="L119" s="11"/>
      <c r="M119" s="11"/>
      <c r="N119" s="28" t="s">
        <v>151</v>
      </c>
      <c r="O119" s="60">
        <f>IF((J113-O116-O118-O117)&lt;0,0,(J113-O116-O118-O117))</f>
        <v>175295.18163168046</v>
      </c>
      <c r="P119" s="48"/>
      <c r="Q119" s="48"/>
      <c r="R119" s="48"/>
      <c r="S119" s="48"/>
      <c r="T119" s="48"/>
      <c r="U119" s="62"/>
      <c r="V119" s="48"/>
      <c r="W119" s="48"/>
      <c r="X119" s="48"/>
    </row>
    <row r="120" spans="8:24" ht="15.75">
      <c r="H120" s="37" t="s">
        <v>110</v>
      </c>
      <c r="I120" s="60">
        <f>ONSV_AUX_2014!M63</f>
        <v>91553</v>
      </c>
      <c r="J120" s="10">
        <f>I120</f>
        <v>91553</v>
      </c>
      <c r="K120" s="11"/>
      <c r="L120" s="11"/>
      <c r="M120" s="11"/>
      <c r="O120" s="48"/>
      <c r="P120" s="76"/>
      <c r="Q120" s="48"/>
      <c r="R120" s="48"/>
      <c r="S120" s="48"/>
      <c r="T120" s="79" t="s">
        <v>156</v>
      </c>
      <c r="U120" s="80">
        <f>(SUM(U106:U118,X106:X117)/SUM(I113:I122))-1</f>
        <v>0</v>
      </c>
      <c r="V120" s="48"/>
      <c r="W120" s="79" t="s">
        <v>10</v>
      </c>
      <c r="X120" s="67">
        <f>SUM(U106:U118,X106:X117)</f>
        <v>1245597</v>
      </c>
    </row>
    <row r="121" spans="8:24" ht="15.75">
      <c r="H121" s="37" t="s">
        <v>111</v>
      </c>
      <c r="I121" s="60">
        <f>ONSV_AUX_2014!M64</f>
        <v>8337</v>
      </c>
      <c r="J121" s="10">
        <f>I121</f>
        <v>8337</v>
      </c>
      <c r="K121" s="11"/>
      <c r="L121" s="11"/>
      <c r="M121" s="11"/>
      <c r="O121" s="48"/>
      <c r="P121" s="76"/>
      <c r="Q121" s="48"/>
      <c r="R121" s="48"/>
      <c r="S121" s="48"/>
      <c r="T121" s="48"/>
      <c r="U121" s="48"/>
      <c r="V121" s="48"/>
      <c r="W121" s="48"/>
      <c r="X121" s="48"/>
    </row>
    <row r="122" spans="8:24" ht="15.75">
      <c r="H122" s="37" t="s">
        <v>112</v>
      </c>
      <c r="I122" s="60">
        <f>ONSV_AUX_2014!M65</f>
        <v>7516</v>
      </c>
      <c r="J122" s="61">
        <f>I122-(L111*I107)</f>
        <v>7515.5856159078794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A1:F1"/>
    <mergeCell ref="Q4:R4"/>
    <mergeCell ref="T4:X4"/>
    <mergeCell ref="K5:L5"/>
    <mergeCell ref="A25:F25"/>
    <mergeCell ref="T27:X27"/>
    <mergeCell ref="T52:X52"/>
    <mergeCell ref="K79:L79"/>
    <mergeCell ref="K104:L104"/>
    <mergeCell ref="A100:F100"/>
    <mergeCell ref="K29:L29"/>
    <mergeCell ref="A50:F50"/>
    <mergeCell ref="A75:F75"/>
    <mergeCell ref="K54:L5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9" tint="0.39997558519241921"/>
  </sheetPr>
  <dimension ref="A1:X122"/>
  <sheetViews>
    <sheetView showGridLines="0" topLeftCell="A82" zoomScale="90" zoomScaleNormal="90" workbookViewId="0">
      <selection activeCell="K19" sqref="K19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  <col min="27" max="28" width="10" bestFit="1" customWidth="1"/>
    <col min="30" max="30" width="10" bestFit="1" customWidth="1"/>
  </cols>
  <sheetData>
    <row r="1" spans="1:24" s="31" customFormat="1" ht="15.75">
      <c r="A1" s="101" t="str">
        <f>"MINAS GERAIS/"&amp;ONSV_AUX_2018!$A$1&amp;""</f>
        <v>MINAS GERAIS/2018</v>
      </c>
      <c r="B1" s="102"/>
      <c r="C1" s="102"/>
      <c r="D1" s="102"/>
      <c r="E1" s="102"/>
      <c r="F1" s="102"/>
    </row>
    <row r="2" spans="1:24" s="4" customFormat="1" ht="15.75">
      <c r="A2" s="32"/>
      <c r="B2" s="32"/>
      <c r="C2" s="32"/>
      <c r="D2" s="32"/>
      <c r="E2" s="32"/>
      <c r="F2" s="32"/>
    </row>
    <row r="3" spans="1:24" ht="15.75">
      <c r="A3" s="12"/>
      <c r="H3" s="23" t="s">
        <v>118</v>
      </c>
    </row>
    <row r="4" spans="1:24" ht="15.75">
      <c r="B4" s="5"/>
      <c r="J4" s="9"/>
      <c r="M4" s="25"/>
      <c r="N4" s="25"/>
      <c r="O4" s="25"/>
      <c r="P4" s="25"/>
      <c r="Q4" s="103"/>
      <c r="R4" s="103"/>
      <c r="S4" s="22"/>
      <c r="T4" s="104"/>
      <c r="U4" s="104"/>
      <c r="V4" s="104"/>
      <c r="W4" s="104"/>
      <c r="X4" s="104"/>
    </row>
    <row r="5" spans="1:24" ht="15.75">
      <c r="H5" s="36" t="s">
        <v>81</v>
      </c>
      <c r="I5" s="60">
        <f>ONSV_AUX_2018!N27</f>
        <v>435187</v>
      </c>
      <c r="J5" s="9"/>
      <c r="K5" s="104" t="s">
        <v>119</v>
      </c>
      <c r="L5" s="104"/>
      <c r="M5" s="9"/>
      <c r="N5" s="26" t="s">
        <v>120</v>
      </c>
      <c r="O5" s="26"/>
      <c r="Q5" s="26" t="s">
        <v>121</v>
      </c>
      <c r="R5" s="26"/>
      <c r="S5" s="26"/>
      <c r="T5" s="25" t="s">
        <v>122</v>
      </c>
      <c r="U5" s="25"/>
      <c r="V5" s="25"/>
      <c r="W5" s="25"/>
      <c r="X5" s="25"/>
    </row>
    <row r="6" spans="1:24" ht="15.75">
      <c r="H6" s="36" t="s">
        <v>84</v>
      </c>
      <c r="I6" s="60">
        <f>ONSV_AUX_2018!N28</f>
        <v>4196290</v>
      </c>
      <c r="J6" s="9"/>
      <c r="K6" s="9"/>
      <c r="L6" s="9"/>
      <c r="M6" s="9"/>
      <c r="N6" s="9"/>
      <c r="O6" s="9"/>
      <c r="P6" s="20"/>
      <c r="Q6" s="11"/>
      <c r="R6" s="11"/>
      <c r="S6" s="11"/>
    </row>
    <row r="7" spans="1:24" ht="15.75">
      <c r="H7" s="36" t="s">
        <v>85</v>
      </c>
      <c r="I7" s="60">
        <f>ONSV_AUX_2018!N29</f>
        <v>818530</v>
      </c>
      <c r="J7" s="9"/>
      <c r="K7" s="2" t="s">
        <v>123</v>
      </c>
      <c r="L7" s="60">
        <f>I14+I17+I18+I23</f>
        <v>7308728</v>
      </c>
      <c r="N7" s="28" t="s">
        <v>124</v>
      </c>
      <c r="O7" s="60">
        <f>J14+J23</f>
        <v>6088749.7962304801</v>
      </c>
      <c r="P7" s="64"/>
      <c r="Q7" s="65" t="s">
        <v>125</v>
      </c>
      <c r="R7" s="60">
        <f>J17+J18</f>
        <v>1219188.2037695206</v>
      </c>
      <c r="S7" s="66"/>
      <c r="T7" s="65" t="s">
        <v>126</v>
      </c>
      <c r="U7" s="67">
        <f>O11</f>
        <v>48399.849073998645</v>
      </c>
      <c r="V7" s="48"/>
      <c r="W7" s="65" t="s">
        <v>127</v>
      </c>
      <c r="X7" s="68">
        <f>R13</f>
        <v>77305.601390939206</v>
      </c>
    </row>
    <row r="8" spans="1:24" ht="15.75">
      <c r="H8" s="36" t="s">
        <v>101</v>
      </c>
      <c r="I8" s="60">
        <f>ONSV_AUX_2018!N30</f>
        <v>790</v>
      </c>
      <c r="J8" s="9"/>
      <c r="K8" s="27"/>
      <c r="L8" s="62"/>
      <c r="M8" s="20"/>
      <c r="N8" s="28" t="s">
        <v>128</v>
      </c>
      <c r="O8" s="69">
        <f>J14/O7</f>
        <v>0.98846603807792144</v>
      </c>
      <c r="P8" s="64"/>
      <c r="Q8" s="70" t="s">
        <v>129</v>
      </c>
      <c r="R8" s="63">
        <f>J17/R7</f>
        <v>0.73797198438473899</v>
      </c>
      <c r="S8" s="71"/>
      <c r="T8" s="65" t="s">
        <v>130</v>
      </c>
      <c r="U8" s="67">
        <f>I23-J23</f>
        <v>7.5916972146223998</v>
      </c>
      <c r="V8" s="48"/>
      <c r="W8" s="65" t="s">
        <v>131</v>
      </c>
      <c r="X8" s="68">
        <f>I18-J18</f>
        <v>34.534304738102946</v>
      </c>
    </row>
    <row r="9" spans="1:24" ht="15.75">
      <c r="H9" s="36" t="s">
        <v>16</v>
      </c>
      <c r="I9" s="60">
        <f>ONSV_AUX_2018!N31</f>
        <v>33307</v>
      </c>
      <c r="J9" s="9"/>
      <c r="K9" s="2" t="s">
        <v>132</v>
      </c>
      <c r="L9" s="63">
        <f>I14/L7</f>
        <v>0.82355958519731476</v>
      </c>
      <c r="M9" s="20"/>
      <c r="N9" s="28" t="s">
        <v>133</v>
      </c>
      <c r="O9" s="69">
        <f>J23/O7</f>
        <v>1.1533961922078466E-2</v>
      </c>
      <c r="P9" s="64"/>
      <c r="Q9" s="70" t="s">
        <v>134</v>
      </c>
      <c r="R9" s="63">
        <f>J18/R7</f>
        <v>0.26202801561526096</v>
      </c>
      <c r="S9" s="71"/>
      <c r="T9" s="65" t="s">
        <v>135</v>
      </c>
      <c r="U9" s="72">
        <f>O13</f>
        <v>21827.559228786733</v>
      </c>
      <c r="V9" s="73"/>
      <c r="W9" s="65" t="s">
        <v>136</v>
      </c>
      <c r="X9" s="72">
        <f>R16</f>
        <v>242155.86430432269</v>
      </c>
    </row>
    <row r="10" spans="1:24" ht="15.75">
      <c r="H10" s="36" t="s">
        <v>94</v>
      </c>
      <c r="I10" s="60">
        <f>ONSV_AUX_2018!N32</f>
        <v>5137232</v>
      </c>
      <c r="J10" s="10"/>
      <c r="K10" s="2" t="s">
        <v>2</v>
      </c>
      <c r="L10" s="63">
        <f>I17/L7</f>
        <v>0.12311636169795893</v>
      </c>
      <c r="M10" s="20"/>
      <c r="N10" s="20"/>
      <c r="O10" s="74"/>
      <c r="P10" s="48"/>
      <c r="Q10" s="48"/>
      <c r="R10" s="48"/>
      <c r="S10" s="48"/>
      <c r="T10" s="48"/>
      <c r="U10" s="62"/>
      <c r="V10" s="75"/>
      <c r="W10" s="48"/>
      <c r="X10" s="62"/>
    </row>
    <row r="11" spans="1:24" ht="15.75">
      <c r="K11" s="2" t="s">
        <v>3</v>
      </c>
      <c r="L11" s="63">
        <f>I18/L7</f>
        <v>4.371430979508336E-2</v>
      </c>
      <c r="M11" s="20"/>
      <c r="N11" s="28" t="s">
        <v>137</v>
      </c>
      <c r="O11" s="60">
        <f>IF(O9*I6&gt;J23,J23,O9*I6)</f>
        <v>48399.849073998645</v>
      </c>
      <c r="P11" s="76"/>
      <c r="Q11" s="65" t="s">
        <v>138</v>
      </c>
      <c r="R11" s="60">
        <f>I7-I15-I16-I19-I22</f>
        <v>295028</v>
      </c>
      <c r="S11" s="77"/>
      <c r="T11" s="65" t="s">
        <v>139</v>
      </c>
      <c r="U11" s="67">
        <f>O19</f>
        <v>4147890.1509260009</v>
      </c>
      <c r="V11" s="76"/>
      <c r="W11" s="65" t="s">
        <v>140</v>
      </c>
      <c r="X11" s="67">
        <f>I15</f>
        <v>331746</v>
      </c>
    </row>
    <row r="12" spans="1:24" ht="15.75">
      <c r="H12" s="24" t="s">
        <v>141</v>
      </c>
      <c r="K12" s="2" t="s">
        <v>0</v>
      </c>
      <c r="L12" s="63">
        <f>I23/L7</f>
        <v>9.6097433096429367E-3</v>
      </c>
      <c r="O12" s="48"/>
      <c r="P12" s="76"/>
      <c r="Q12" s="65" t="s">
        <v>142</v>
      </c>
      <c r="R12" s="60">
        <f>R8*R11</f>
        <v>217722.39860906077</v>
      </c>
      <c r="S12" s="48"/>
      <c r="T12" s="65" t="s">
        <v>143</v>
      </c>
      <c r="U12" s="67">
        <f>O17</f>
        <v>435187</v>
      </c>
      <c r="V12" s="66"/>
      <c r="W12" s="65" t="s">
        <v>144</v>
      </c>
      <c r="X12" s="67">
        <f>I16</f>
        <v>68747</v>
      </c>
    </row>
    <row r="13" spans="1:24" ht="15.75">
      <c r="K13" s="11"/>
      <c r="L13" s="11"/>
      <c r="M13" s="11"/>
      <c r="N13" s="28" t="s">
        <v>145</v>
      </c>
      <c r="O13" s="60">
        <f>J23-O11</f>
        <v>21827.559228786733</v>
      </c>
      <c r="P13" s="76"/>
      <c r="Q13" s="65" t="s">
        <v>127</v>
      </c>
      <c r="R13" s="60">
        <f>R9*R11</f>
        <v>77305.601390939206</v>
      </c>
      <c r="S13" s="48"/>
      <c r="T13" s="65" t="s">
        <v>146</v>
      </c>
      <c r="U13" s="67">
        <f>O18</f>
        <v>33307</v>
      </c>
      <c r="V13" s="71"/>
      <c r="W13" s="48"/>
      <c r="X13" s="62"/>
    </row>
    <row r="14" spans="1:24" ht="15.75">
      <c r="H14" s="37" t="s">
        <v>103</v>
      </c>
      <c r="I14" s="60">
        <f>ONSV_AUX_2018!N56</f>
        <v>6019173</v>
      </c>
      <c r="J14" s="61">
        <f>I14-(L9*I8)</f>
        <v>6018522.3879276942</v>
      </c>
      <c r="K14" s="11"/>
      <c r="L14" s="11"/>
      <c r="M14" s="11"/>
      <c r="O14" s="76"/>
      <c r="P14" s="76"/>
      <c r="Q14" s="48"/>
      <c r="R14" s="78"/>
      <c r="S14" s="48"/>
      <c r="T14" s="65" t="s">
        <v>147</v>
      </c>
      <c r="U14" s="68">
        <f>I14-J14</f>
        <v>650.61207230575383</v>
      </c>
      <c r="V14" s="71"/>
      <c r="W14" s="65" t="s">
        <v>148</v>
      </c>
      <c r="X14" s="67">
        <f>I22</f>
        <v>76498</v>
      </c>
    </row>
    <row r="15" spans="1:24" ht="15.75">
      <c r="H15" s="37" t="s">
        <v>104</v>
      </c>
      <c r="I15" s="60">
        <f>ONSV_AUX_2018!N57</f>
        <v>331746</v>
      </c>
      <c r="J15" s="10">
        <f>I15</f>
        <v>331746</v>
      </c>
      <c r="K15" s="11"/>
      <c r="L15" s="11"/>
      <c r="M15" s="11"/>
      <c r="N15" s="26" t="s">
        <v>149</v>
      </c>
      <c r="O15" s="76"/>
      <c r="P15" s="76"/>
      <c r="Q15" s="65" t="s">
        <v>150</v>
      </c>
      <c r="R15" s="60">
        <f>J17-R12</f>
        <v>682004.33946519787</v>
      </c>
      <c r="S15" s="48"/>
      <c r="T15" s="65" t="s">
        <v>151</v>
      </c>
      <c r="U15" s="72">
        <f>O20</f>
        <v>1402138.2370016933</v>
      </c>
      <c r="V15" s="48"/>
      <c r="W15" s="65" t="s">
        <v>152</v>
      </c>
      <c r="X15" s="67">
        <f>I19</f>
        <v>46511</v>
      </c>
    </row>
    <row r="16" spans="1:24" ht="15.75">
      <c r="H16" s="37" t="s">
        <v>105</v>
      </c>
      <c r="I16" s="60">
        <f>ONSV_AUX_2018!N58</f>
        <v>68747</v>
      </c>
      <c r="J16" s="10">
        <f>I16</f>
        <v>68747</v>
      </c>
      <c r="K16" s="11"/>
      <c r="L16" s="11"/>
      <c r="M16" s="11"/>
      <c r="O16" s="73"/>
      <c r="P16" s="76"/>
      <c r="Q16" s="65" t="s">
        <v>136</v>
      </c>
      <c r="R16" s="60">
        <f>J18-R13</f>
        <v>242155.86430432269</v>
      </c>
      <c r="S16" s="48"/>
      <c r="T16" s="48"/>
      <c r="U16" s="62"/>
      <c r="V16" s="77"/>
      <c r="W16" s="48"/>
      <c r="X16" s="62"/>
    </row>
    <row r="17" spans="1:24" ht="15.75">
      <c r="H17" s="37" t="s">
        <v>106</v>
      </c>
      <c r="I17" s="60">
        <f>ONSV_AUX_2018!N59</f>
        <v>899824</v>
      </c>
      <c r="J17" s="61">
        <f>I17-(L10*I8)</f>
        <v>899726.73807425867</v>
      </c>
      <c r="K17" s="11"/>
      <c r="L17" s="11"/>
      <c r="M17" s="11"/>
      <c r="N17" s="28" t="s">
        <v>143</v>
      </c>
      <c r="O17" s="60">
        <f>I5</f>
        <v>435187</v>
      </c>
      <c r="P17" s="76"/>
      <c r="Q17" s="48"/>
      <c r="R17" s="48"/>
      <c r="S17" s="77"/>
      <c r="T17" s="65" t="s">
        <v>142</v>
      </c>
      <c r="U17" s="68">
        <f>R12</f>
        <v>217722.39860906077</v>
      </c>
      <c r="V17" s="48"/>
      <c r="W17" s="65" t="s">
        <v>153</v>
      </c>
      <c r="X17" s="67">
        <f>I20</f>
        <v>2488971</v>
      </c>
    </row>
    <row r="18" spans="1:24" ht="15.75">
      <c r="H18" s="37" t="s">
        <v>107</v>
      </c>
      <c r="I18" s="60">
        <f>ONSV_AUX_2018!N60</f>
        <v>319496</v>
      </c>
      <c r="J18" s="61">
        <f>I18-(L11*I8)</f>
        <v>319461.4656952619</v>
      </c>
      <c r="K18" s="11"/>
      <c r="L18" s="11"/>
      <c r="M18" s="11"/>
      <c r="N18" s="28" t="s">
        <v>146</v>
      </c>
      <c r="O18" s="60">
        <f>I9</f>
        <v>33307</v>
      </c>
      <c r="P18" s="76"/>
      <c r="Q18" s="48"/>
      <c r="R18" s="48"/>
      <c r="S18" s="48"/>
      <c r="T18" s="65" t="s">
        <v>154</v>
      </c>
      <c r="U18" s="68">
        <f>I17-J17</f>
        <v>97.261925741331652</v>
      </c>
      <c r="V18" s="48"/>
      <c r="W18" s="65" t="s">
        <v>155</v>
      </c>
      <c r="X18" s="67">
        <f>I21</f>
        <v>285753</v>
      </c>
    </row>
    <row r="19" spans="1:24" ht="15.75">
      <c r="H19" s="37" t="s">
        <v>108</v>
      </c>
      <c r="I19" s="60">
        <f>ONSV_AUX_2018!N61</f>
        <v>46511</v>
      </c>
      <c r="J19" s="10">
        <f>I19</f>
        <v>46511</v>
      </c>
      <c r="K19" s="11"/>
      <c r="L19" s="11"/>
      <c r="M19" s="11"/>
      <c r="N19" s="28" t="s">
        <v>139</v>
      </c>
      <c r="O19" s="60">
        <f>IF(OR((O8*I6&gt;J14),((O17+O18+(O8*I6))&gt;J14)),(J14-O17-O18),(O8*I6))</f>
        <v>4147890.1509260009</v>
      </c>
      <c r="P19" s="76"/>
      <c r="Q19" s="48"/>
      <c r="R19" s="78"/>
      <c r="S19" s="48"/>
      <c r="T19" s="65" t="s">
        <v>150</v>
      </c>
      <c r="U19" s="72">
        <f>R15</f>
        <v>682004.33946519787</v>
      </c>
      <c r="V19" s="48"/>
      <c r="W19" s="48"/>
      <c r="X19" s="48"/>
    </row>
    <row r="20" spans="1:24" ht="15.75">
      <c r="H20" s="37" t="s">
        <v>109</v>
      </c>
      <c r="I20" s="60">
        <f>ONSV_AUX_2018!N62</f>
        <v>2488971</v>
      </c>
      <c r="J20" s="10">
        <f t="shared" ref="J20:J22" si="0">I20</f>
        <v>2488971</v>
      </c>
      <c r="K20" s="11"/>
      <c r="L20" s="11"/>
      <c r="M20" s="11"/>
      <c r="N20" s="28" t="s">
        <v>151</v>
      </c>
      <c r="O20" s="60">
        <f>IF((J14-O17-O19-O18)&lt;0,0,(J14-O17-O19-O18))</f>
        <v>1402138.2370016933</v>
      </c>
      <c r="P20" s="48"/>
      <c r="Q20" s="48"/>
      <c r="R20" s="48"/>
      <c r="S20" s="48"/>
      <c r="T20" s="48"/>
      <c r="U20" s="62"/>
      <c r="V20" s="48"/>
      <c r="W20" s="48"/>
      <c r="X20" s="48"/>
    </row>
    <row r="21" spans="1:24" ht="15.75">
      <c r="H21" s="37" t="s">
        <v>110</v>
      </c>
      <c r="I21" s="60">
        <f>ONSV_AUX_2018!N63</f>
        <v>285753</v>
      </c>
      <c r="J21" s="10">
        <f t="shared" si="0"/>
        <v>285753</v>
      </c>
      <c r="K21" s="11"/>
      <c r="L21" s="11"/>
      <c r="M21" s="11"/>
      <c r="O21" s="48"/>
      <c r="P21" s="76"/>
      <c r="Q21" s="48"/>
      <c r="R21" s="48"/>
      <c r="S21" s="48"/>
      <c r="T21" s="79" t="s">
        <v>156</v>
      </c>
      <c r="U21" s="80">
        <f>(SUM(U7:U19,X7:X18)/SUM(I14:I23))-1</f>
        <v>0</v>
      </c>
      <c r="V21" s="48"/>
      <c r="W21" s="79" t="s">
        <v>10</v>
      </c>
      <c r="X21" s="67">
        <f>SUM(U7:U19,X7:X18)</f>
        <v>10606954</v>
      </c>
    </row>
    <row r="22" spans="1:24" ht="15.75">
      <c r="H22" s="37" t="s">
        <v>111</v>
      </c>
      <c r="I22" s="60">
        <f>ONSV_AUX_2018!N64</f>
        <v>76498</v>
      </c>
      <c r="J22" s="10">
        <f t="shared" si="0"/>
        <v>76498</v>
      </c>
      <c r="K22" s="11"/>
      <c r="L22" s="11"/>
      <c r="M22" s="11"/>
      <c r="O22" s="48"/>
      <c r="P22" s="76"/>
      <c r="Q22" s="48"/>
      <c r="R22" s="48"/>
      <c r="S22" s="48"/>
      <c r="T22" s="48"/>
      <c r="U22" s="48"/>
      <c r="V22" s="48"/>
      <c r="W22" s="48"/>
      <c r="X22" s="48"/>
    </row>
    <row r="23" spans="1:24" ht="15.75">
      <c r="H23" s="37" t="s">
        <v>112</v>
      </c>
      <c r="I23" s="60">
        <f>ONSV_AUX_2018!N65</f>
        <v>70235</v>
      </c>
      <c r="J23" s="61">
        <f>I23-(L12*I8)</f>
        <v>70227.408302785378</v>
      </c>
      <c r="K23" s="12"/>
      <c r="L23" s="12"/>
      <c r="M23" s="12"/>
      <c r="N23" s="12"/>
      <c r="O23" s="12"/>
      <c r="P23" s="12"/>
      <c r="Q23" s="4"/>
      <c r="R23" s="4"/>
    </row>
    <row r="25" spans="1:24" s="34" customFormat="1" ht="15.75">
      <c r="A25" s="101" t="str">
        <f>"MINAS GERAIS/"&amp;ONSV_AUX_2017!$A$1&amp;""</f>
        <v>MINAS GERAIS/2017</v>
      </c>
      <c r="B25" s="102"/>
      <c r="C25" s="102"/>
      <c r="D25" s="102"/>
      <c r="E25" s="102"/>
      <c r="F25" s="102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 spans="1:24" ht="15.75">
      <c r="A26" s="3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>
      <c r="A27" s="12"/>
      <c r="H27" s="23" t="s">
        <v>118</v>
      </c>
      <c r="N27" s="26"/>
      <c r="O27" s="26"/>
      <c r="P27" s="9"/>
      <c r="Q27" s="26"/>
      <c r="R27" s="26"/>
      <c r="S27" s="26"/>
      <c r="T27" s="104"/>
      <c r="U27" s="104"/>
      <c r="V27" s="104"/>
      <c r="W27" s="104"/>
      <c r="X27" s="104"/>
    </row>
    <row r="28" spans="1:24" ht="15.75">
      <c r="B28" s="5"/>
      <c r="J28" s="9"/>
      <c r="M28" s="25"/>
    </row>
    <row r="29" spans="1:24" ht="15.75">
      <c r="H29" s="36" t="s">
        <v>81</v>
      </c>
      <c r="I29" s="60">
        <f>ONSV_AUX_2017!N27</f>
        <v>434611</v>
      </c>
      <c r="J29" s="9"/>
      <c r="K29" s="104" t="s">
        <v>119</v>
      </c>
      <c r="L29" s="104"/>
      <c r="M29" s="9"/>
      <c r="N29" s="26" t="s">
        <v>120</v>
      </c>
      <c r="O29" s="26"/>
      <c r="Q29" s="26" t="s">
        <v>121</v>
      </c>
      <c r="R29" s="26"/>
      <c r="S29" s="26"/>
      <c r="T29" s="25" t="s">
        <v>122</v>
      </c>
      <c r="U29" s="25"/>
      <c r="V29" s="25"/>
      <c r="W29" s="25"/>
      <c r="X29" s="25"/>
    </row>
    <row r="30" spans="1:24" ht="15.75">
      <c r="H30" s="36" t="s">
        <v>84</v>
      </c>
      <c r="I30" s="60">
        <f>ONSV_AUX_2017!N28</f>
        <v>3854205</v>
      </c>
      <c r="J30" s="9"/>
      <c r="K30" s="9"/>
      <c r="L30" s="9"/>
      <c r="M30" s="9"/>
      <c r="N30" s="9"/>
      <c r="O30" s="9"/>
      <c r="P30" s="20"/>
      <c r="Q30" s="11"/>
      <c r="R30" s="11"/>
      <c r="S30" s="11"/>
    </row>
    <row r="31" spans="1:24" ht="15.75">
      <c r="H31" s="36" t="s">
        <v>85</v>
      </c>
      <c r="I31" s="60">
        <f>ONSV_AUX_2017!N29</f>
        <v>785590</v>
      </c>
      <c r="J31" s="9"/>
      <c r="K31" s="2" t="s">
        <v>123</v>
      </c>
      <c r="L31" s="60">
        <f>I38+I41+I42+I47</f>
        <v>6980392</v>
      </c>
      <c r="N31" s="28" t="s">
        <v>124</v>
      </c>
      <c r="O31" s="60">
        <f>J38+J47</f>
        <v>5833307.8063890962</v>
      </c>
      <c r="P31" s="64"/>
      <c r="Q31" s="65" t="s">
        <v>125</v>
      </c>
      <c r="R31" s="60">
        <f>J41+J42</f>
        <v>1146586.1936109033</v>
      </c>
      <c r="S31" s="66"/>
      <c r="T31" s="65" t="s">
        <v>126</v>
      </c>
      <c r="U31" s="67">
        <f>O35</f>
        <v>40943.450917458562</v>
      </c>
      <c r="V31" s="48"/>
      <c r="W31" s="65" t="s">
        <v>127</v>
      </c>
      <c r="X31" s="68">
        <f>R37</f>
        <v>71414.234952052371</v>
      </c>
    </row>
    <row r="32" spans="1:24" ht="15.75">
      <c r="H32" s="36" t="s">
        <v>101</v>
      </c>
      <c r="I32" s="60">
        <f>ONSV_AUX_2017!N30</f>
        <v>498</v>
      </c>
      <c r="J32" s="9"/>
      <c r="K32" s="27"/>
      <c r="L32" s="62"/>
      <c r="M32" s="20"/>
      <c r="N32" s="28" t="s">
        <v>128</v>
      </c>
      <c r="O32" s="69">
        <f>J38/O31</f>
        <v>0.98937694001293175</v>
      </c>
      <c r="P32" s="64"/>
      <c r="Q32" s="70" t="s">
        <v>129</v>
      </c>
      <c r="R32" s="63">
        <f>J41/R31</f>
        <v>0.73882937345421684</v>
      </c>
      <c r="S32" s="71"/>
      <c r="T32" s="65" t="s">
        <v>130</v>
      </c>
      <c r="U32" s="67">
        <f>I47-J47</f>
        <v>4.4212496948603075</v>
      </c>
      <c r="V32" s="48"/>
      <c r="W32" s="65" t="s">
        <v>131</v>
      </c>
      <c r="X32" s="68">
        <f>I42-J42</f>
        <v>21.365425895841327</v>
      </c>
    </row>
    <row r="33" spans="8:24" ht="15.75">
      <c r="H33" s="36" t="s">
        <v>16</v>
      </c>
      <c r="I33" s="60">
        <f>ONSV_AUX_2017!N31</f>
        <v>31591</v>
      </c>
      <c r="J33" s="9"/>
      <c r="K33" s="2" t="s">
        <v>132</v>
      </c>
      <c r="L33" s="63">
        <f>I38/L31</f>
        <v>0.82685213094049737</v>
      </c>
      <c r="M33" s="20"/>
      <c r="N33" s="28" t="s">
        <v>133</v>
      </c>
      <c r="O33" s="69">
        <f>J47/O31</f>
        <v>1.0623059987068296E-2</v>
      </c>
      <c r="P33" s="64"/>
      <c r="Q33" s="70" t="s">
        <v>134</v>
      </c>
      <c r="R33" s="63">
        <f>J42/R31</f>
        <v>0.26117062654578305</v>
      </c>
      <c r="S33" s="71"/>
      <c r="T33" s="65" t="s">
        <v>135</v>
      </c>
      <c r="U33" s="72">
        <f>O37</f>
        <v>21024.127832846578</v>
      </c>
      <c r="V33" s="73"/>
      <c r="W33" s="65" t="s">
        <v>136</v>
      </c>
      <c r="X33" s="72">
        <f>R40</f>
        <v>228040.3996220518</v>
      </c>
    </row>
    <row r="34" spans="8:24" ht="15.75">
      <c r="H34" s="36" t="s">
        <v>94</v>
      </c>
      <c r="I34" s="60">
        <f>ONSV_AUX_2017!N32</f>
        <v>5094167</v>
      </c>
      <c r="J34" s="10"/>
      <c r="K34" s="2" t="s">
        <v>2</v>
      </c>
      <c r="L34" s="63">
        <f>I41/L31</f>
        <v>0.12136739598578418</v>
      </c>
      <c r="M34" s="20"/>
      <c r="N34" s="20"/>
      <c r="O34" s="74"/>
      <c r="P34" s="48"/>
      <c r="Q34" s="48"/>
      <c r="R34" s="48"/>
      <c r="S34" s="48"/>
      <c r="T34" s="48"/>
      <c r="U34" s="62"/>
      <c r="V34" s="75"/>
      <c r="W34" s="48"/>
      <c r="X34" s="62"/>
    </row>
    <row r="35" spans="8:24" ht="15.75">
      <c r="K35" s="2" t="s">
        <v>3</v>
      </c>
      <c r="L35" s="63">
        <f>I42/L31</f>
        <v>4.2902461638257568E-2</v>
      </c>
      <c r="M35" s="20"/>
      <c r="N35" s="28" t="s">
        <v>137</v>
      </c>
      <c r="O35" s="60">
        <f>IF(O33*I30&gt;J47,J47,O33*I30)</f>
        <v>40943.450917458562</v>
      </c>
      <c r="P35" s="76"/>
      <c r="Q35" s="65" t="s">
        <v>138</v>
      </c>
      <c r="R35" s="60">
        <f>I31-I39-I40-I43-I46</f>
        <v>273439</v>
      </c>
      <c r="S35" s="77"/>
      <c r="T35" s="65" t="s">
        <v>139</v>
      </c>
      <c r="U35" s="67">
        <f>O43</f>
        <v>3813261.5490825418</v>
      </c>
      <c r="V35" s="76"/>
      <c r="W35" s="65" t="s">
        <v>140</v>
      </c>
      <c r="X35" s="67">
        <f>I39</f>
        <v>326296</v>
      </c>
    </row>
    <row r="36" spans="8:24" ht="15.75">
      <c r="H36" s="24" t="s">
        <v>141</v>
      </c>
      <c r="K36" s="2" t="s">
        <v>0</v>
      </c>
      <c r="L36" s="63">
        <f>I47/L31</f>
        <v>8.8780114354609311E-3</v>
      </c>
      <c r="O36" s="48"/>
      <c r="P36" s="76"/>
      <c r="Q36" s="65" t="s">
        <v>142</v>
      </c>
      <c r="R36" s="60">
        <f>R32*R35</f>
        <v>202024.76504794759</v>
      </c>
      <c r="S36" s="48"/>
      <c r="T36" s="65" t="s">
        <v>143</v>
      </c>
      <c r="U36" s="67">
        <f>O41</f>
        <v>434611</v>
      </c>
      <c r="V36" s="66"/>
      <c r="W36" s="65" t="s">
        <v>144</v>
      </c>
      <c r="X36" s="67">
        <f>I40</f>
        <v>65943</v>
      </c>
    </row>
    <row r="37" spans="8:24" ht="15.75">
      <c r="K37" s="11"/>
      <c r="L37" s="11"/>
      <c r="M37" s="11"/>
      <c r="N37" s="28" t="s">
        <v>145</v>
      </c>
      <c r="O37" s="60">
        <f>J47-O35</f>
        <v>21024.127832846578</v>
      </c>
      <c r="P37" s="76"/>
      <c r="Q37" s="65" t="s">
        <v>127</v>
      </c>
      <c r="R37" s="60">
        <f>R33*R35</f>
        <v>71414.234952052371</v>
      </c>
      <c r="S37" s="48"/>
      <c r="T37" s="65" t="s">
        <v>146</v>
      </c>
      <c r="U37" s="67">
        <f>O42</f>
        <v>31591</v>
      </c>
      <c r="V37" s="71"/>
      <c r="W37" s="48"/>
      <c r="X37" s="62"/>
    </row>
    <row r="38" spans="8:24" ht="15.75">
      <c r="H38" s="37" t="s">
        <v>103</v>
      </c>
      <c r="I38" s="60">
        <f>ONSV_AUX_2017!N56</f>
        <v>5771752</v>
      </c>
      <c r="J38" s="61">
        <f>I38-(L33*I32)</f>
        <v>5771340.2276387913</v>
      </c>
      <c r="K38" s="11"/>
      <c r="L38" s="11"/>
      <c r="M38" s="11"/>
      <c r="O38" s="76"/>
      <c r="P38" s="76"/>
      <c r="Q38" s="48"/>
      <c r="R38" s="78"/>
      <c r="S38" s="48"/>
      <c r="T38" s="65" t="s">
        <v>147</v>
      </c>
      <c r="U38" s="68">
        <f>I38-J38</f>
        <v>411.77236120868474</v>
      </c>
      <c r="V38" s="71"/>
      <c r="W38" s="65" t="s">
        <v>148</v>
      </c>
      <c r="X38" s="67">
        <f>I46</f>
        <v>74667</v>
      </c>
    </row>
    <row r="39" spans="8:24" ht="15.75">
      <c r="H39" s="37" t="s">
        <v>104</v>
      </c>
      <c r="I39" s="60">
        <f>ONSV_AUX_2017!N57</f>
        <v>326296</v>
      </c>
      <c r="J39" s="10">
        <f>I39</f>
        <v>326296</v>
      </c>
      <c r="K39" s="11"/>
      <c r="L39" s="11"/>
      <c r="M39" s="11"/>
      <c r="N39" s="26" t="s">
        <v>149</v>
      </c>
      <c r="O39" s="76"/>
      <c r="P39" s="76"/>
      <c r="Q39" s="65" t="s">
        <v>150</v>
      </c>
      <c r="R39" s="60">
        <f>J41-R36</f>
        <v>645106.7939888516</v>
      </c>
      <c r="S39" s="48"/>
      <c r="T39" s="65" t="s">
        <v>151</v>
      </c>
      <c r="U39" s="72">
        <f>O44</f>
        <v>1491876.6785562495</v>
      </c>
      <c r="V39" s="48"/>
      <c r="W39" s="65" t="s">
        <v>152</v>
      </c>
      <c r="X39" s="67">
        <f>I43</f>
        <v>45245</v>
      </c>
    </row>
    <row r="40" spans="8:24" ht="15.75">
      <c r="H40" s="37" t="s">
        <v>105</v>
      </c>
      <c r="I40" s="60">
        <f>ONSV_AUX_2017!N58</f>
        <v>65943</v>
      </c>
      <c r="J40" s="10">
        <f>I40</f>
        <v>65943</v>
      </c>
      <c r="K40" s="11"/>
      <c r="L40" s="11"/>
      <c r="M40" s="11"/>
      <c r="O40" s="73"/>
      <c r="P40" s="76"/>
      <c r="Q40" s="65" t="s">
        <v>136</v>
      </c>
      <c r="R40" s="60">
        <f>J42-R37</f>
        <v>228040.3996220518</v>
      </c>
      <c r="S40" s="48"/>
      <c r="T40" s="48"/>
      <c r="U40" s="62"/>
      <c r="V40" s="77"/>
      <c r="W40" s="48"/>
      <c r="X40" s="62"/>
    </row>
    <row r="41" spans="8:24" ht="15.75">
      <c r="H41" s="37" t="s">
        <v>106</v>
      </c>
      <c r="I41" s="60">
        <f>ONSV_AUX_2017!N59</f>
        <v>847192</v>
      </c>
      <c r="J41" s="61">
        <f>I41-(L34*I32)</f>
        <v>847131.55903679912</v>
      </c>
      <c r="K41" s="11"/>
      <c r="L41" s="11"/>
      <c r="M41" s="11"/>
      <c r="N41" s="28" t="s">
        <v>143</v>
      </c>
      <c r="O41" s="60">
        <f>I29</f>
        <v>434611</v>
      </c>
      <c r="P41" s="76"/>
      <c r="Q41" s="48"/>
      <c r="R41" s="48"/>
      <c r="S41" s="77"/>
      <c r="T41" s="65" t="s">
        <v>142</v>
      </c>
      <c r="U41" s="68">
        <f>R36</f>
        <v>202024.76504794759</v>
      </c>
      <c r="V41" s="48"/>
      <c r="W41" s="65" t="s">
        <v>153</v>
      </c>
      <c r="X41" s="67">
        <f>I44</f>
        <v>2418883</v>
      </c>
    </row>
    <row r="42" spans="8:24" ht="15.75">
      <c r="H42" s="37" t="s">
        <v>107</v>
      </c>
      <c r="I42" s="60">
        <f>ONSV_AUX_2017!N60</f>
        <v>299476</v>
      </c>
      <c r="J42" s="61">
        <f>I42-(L35*I32)</f>
        <v>299454.63457410416</v>
      </c>
      <c r="K42" s="11"/>
      <c r="L42" s="11"/>
      <c r="M42" s="11"/>
      <c r="N42" s="28" t="s">
        <v>146</v>
      </c>
      <c r="O42" s="60">
        <f>I33</f>
        <v>31591</v>
      </c>
      <c r="P42" s="76"/>
      <c r="Q42" s="48"/>
      <c r="R42" s="48"/>
      <c r="S42" s="48"/>
      <c r="T42" s="65" t="s">
        <v>154</v>
      </c>
      <c r="U42" s="68">
        <f>I41-J41</f>
        <v>60.440963200875558</v>
      </c>
      <c r="V42" s="48"/>
      <c r="W42" s="65" t="s">
        <v>155</v>
      </c>
      <c r="X42" s="67">
        <f>I45</f>
        <v>274274</v>
      </c>
    </row>
    <row r="43" spans="8:24" ht="15.75">
      <c r="H43" s="37" t="s">
        <v>108</v>
      </c>
      <c r="I43" s="60">
        <f>ONSV_AUX_2017!N61</f>
        <v>45245</v>
      </c>
      <c r="J43" s="10">
        <f>I43</f>
        <v>45245</v>
      </c>
      <c r="K43" s="11"/>
      <c r="L43" s="11"/>
      <c r="M43" s="11"/>
      <c r="N43" s="28" t="s">
        <v>139</v>
      </c>
      <c r="O43" s="60">
        <f>IF(OR((O32*I30&gt;J38),((O41+O42+(O32*I30))&gt;J38)),(J38-O41-O42),(O32*I30))</f>
        <v>3813261.5490825418</v>
      </c>
      <c r="P43" s="76"/>
      <c r="Q43" s="48"/>
      <c r="R43" s="78"/>
      <c r="S43" s="48"/>
      <c r="T43" s="65" t="s">
        <v>150</v>
      </c>
      <c r="U43" s="72">
        <f>R39</f>
        <v>645106.7939888516</v>
      </c>
      <c r="V43" s="48"/>
      <c r="W43" s="48"/>
      <c r="X43" s="48"/>
    </row>
    <row r="44" spans="8:24" ht="15.75">
      <c r="H44" s="37" t="s">
        <v>109</v>
      </c>
      <c r="I44" s="60">
        <f>ONSV_AUX_2017!N62</f>
        <v>2418883</v>
      </c>
      <c r="J44" s="10">
        <f>I44</f>
        <v>2418883</v>
      </c>
      <c r="K44" s="11"/>
      <c r="L44" s="11"/>
      <c r="M44" s="11"/>
      <c r="N44" s="28" t="s">
        <v>151</v>
      </c>
      <c r="O44" s="60">
        <f>IF((J38-O41-O43-O42)&lt;0,0,(J38-O41-O43-O42))</f>
        <v>1491876.6785562495</v>
      </c>
      <c r="P44" s="48"/>
      <c r="Q44" s="48"/>
      <c r="R44" s="48"/>
      <c r="S44" s="48"/>
      <c r="T44" s="48"/>
      <c r="U44" s="62"/>
      <c r="V44" s="48"/>
      <c r="W44" s="48"/>
      <c r="X44" s="48"/>
    </row>
    <row r="45" spans="8:24" ht="15.75">
      <c r="H45" s="37" t="s">
        <v>110</v>
      </c>
      <c r="I45" s="60">
        <f>ONSV_AUX_2017!N63</f>
        <v>274274</v>
      </c>
      <c r="J45" s="10">
        <f>I45</f>
        <v>274274</v>
      </c>
      <c r="K45" s="11"/>
      <c r="L45" s="11"/>
      <c r="M45" s="11"/>
      <c r="O45" s="48"/>
      <c r="P45" s="76"/>
      <c r="Q45" s="48"/>
      <c r="R45" s="48"/>
      <c r="S45" s="48"/>
      <c r="T45" s="79" t="s">
        <v>156</v>
      </c>
      <c r="U45" s="80">
        <f>(SUM(U31:U43,X31:X42)/SUM(I38:I47))-1</f>
        <v>0</v>
      </c>
      <c r="V45" s="48"/>
      <c r="W45" s="79" t="s">
        <v>10</v>
      </c>
      <c r="X45" s="67">
        <f>SUM(U31:U43,X31:X42)</f>
        <v>10185700</v>
      </c>
    </row>
    <row r="46" spans="8:24" ht="15.75">
      <c r="H46" s="37" t="s">
        <v>111</v>
      </c>
      <c r="I46" s="60">
        <f>ONSV_AUX_2017!N64</f>
        <v>74667</v>
      </c>
      <c r="J46" s="10">
        <f>I46</f>
        <v>74667</v>
      </c>
      <c r="K46" s="11"/>
      <c r="L46" s="11"/>
      <c r="M46" s="11"/>
      <c r="O46" s="48"/>
      <c r="P46" s="76"/>
      <c r="Q46" s="48"/>
      <c r="R46" s="48"/>
      <c r="S46" s="48"/>
      <c r="T46" s="48"/>
      <c r="U46" s="48"/>
      <c r="V46" s="48"/>
      <c r="W46" s="48"/>
      <c r="X46" s="48"/>
    </row>
    <row r="47" spans="8:24" ht="15.75">
      <c r="H47" s="37" t="s">
        <v>112</v>
      </c>
      <c r="I47" s="60">
        <f>ONSV_AUX_2017!N65</f>
        <v>61972</v>
      </c>
      <c r="J47" s="61">
        <f>I47-(L36*I32)</f>
        <v>61967.57875030514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39"/>
      <c r="I48" s="40"/>
      <c r="J48" s="40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4" customFormat="1" ht="15.75">
      <c r="A50" s="101" t="str">
        <f>"MINAS GERAIS/"&amp;ONSV_AUX_2016!$A$1&amp;""</f>
        <v>MINAS GERAIS/2016</v>
      </c>
      <c r="B50" s="102"/>
      <c r="C50" s="102"/>
      <c r="D50" s="102"/>
      <c r="E50" s="102"/>
      <c r="F50" s="102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</row>
    <row r="52" spans="1:24" ht="15.75">
      <c r="H52" s="23" t="s">
        <v>118</v>
      </c>
      <c r="N52" s="26"/>
      <c r="O52" s="26"/>
      <c r="P52" s="9"/>
      <c r="Q52" s="26"/>
      <c r="R52" s="26"/>
      <c r="S52" s="26"/>
      <c r="T52" s="104"/>
      <c r="U52" s="104"/>
      <c r="V52" s="104"/>
      <c r="W52" s="104"/>
      <c r="X52" s="104"/>
    </row>
    <row r="53" spans="1:24" ht="15.75">
      <c r="J53" s="9"/>
      <c r="M53" s="25"/>
      <c r="N53" s="9"/>
      <c r="O53" s="9"/>
      <c r="P53" s="9"/>
      <c r="Q53" s="11"/>
      <c r="R53" s="11"/>
      <c r="S53" s="11"/>
    </row>
    <row r="54" spans="1:24" ht="15.75">
      <c r="H54" s="36" t="s">
        <v>81</v>
      </c>
      <c r="I54" s="60">
        <f>ONSV_AUX_2016!N27</f>
        <v>433944</v>
      </c>
      <c r="J54" s="9"/>
      <c r="K54" s="104" t="s">
        <v>119</v>
      </c>
      <c r="L54" s="104"/>
      <c r="M54" s="9"/>
      <c r="N54" s="26" t="s">
        <v>120</v>
      </c>
      <c r="O54" s="26"/>
      <c r="Q54" s="26" t="s">
        <v>121</v>
      </c>
      <c r="R54" s="26"/>
      <c r="S54" s="26"/>
      <c r="T54" s="25" t="s">
        <v>122</v>
      </c>
      <c r="U54" s="25"/>
      <c r="V54" s="25"/>
      <c r="W54" s="25"/>
      <c r="X54" s="25"/>
    </row>
    <row r="55" spans="1:24" ht="15.75">
      <c r="H55" s="36" t="s">
        <v>84</v>
      </c>
      <c r="I55" s="60">
        <f>ONSV_AUX_2016!N28</f>
        <v>3532778</v>
      </c>
      <c r="J55" s="9"/>
      <c r="K55" s="9"/>
      <c r="L55" s="9"/>
      <c r="M55" s="9"/>
      <c r="N55" s="9"/>
      <c r="O55" s="9"/>
      <c r="P55" s="20"/>
      <c r="Q55" s="11"/>
      <c r="R55" s="11"/>
      <c r="S55" s="11"/>
    </row>
    <row r="56" spans="1:24" ht="15.75">
      <c r="H56" s="36" t="s">
        <v>85</v>
      </c>
      <c r="I56" s="60">
        <f>ONSV_AUX_2016!N29</f>
        <v>757685</v>
      </c>
      <c r="J56" s="9"/>
      <c r="K56" s="2" t="s">
        <v>123</v>
      </c>
      <c r="L56" s="60">
        <f>I63+I66+I67+I72</f>
        <v>6670564</v>
      </c>
      <c r="N56" s="28" t="s">
        <v>124</v>
      </c>
      <c r="O56" s="60">
        <f>J63+J72</f>
        <v>5588070.7259703977</v>
      </c>
      <c r="P56" s="64"/>
      <c r="Q56" s="65" t="s">
        <v>125</v>
      </c>
      <c r="R56" s="60">
        <f>J66+J67</f>
        <v>1082205.2740296023</v>
      </c>
      <c r="S56" s="66"/>
      <c r="T56" s="65" t="s">
        <v>126</v>
      </c>
      <c r="U56" s="67">
        <f>O60</f>
        <v>34558.350025553329</v>
      </c>
      <c r="V56" s="48"/>
      <c r="W56" s="65" t="s">
        <v>127</v>
      </c>
      <c r="X56" s="68">
        <f>R62</f>
        <v>66219.414388700607</v>
      </c>
    </row>
    <row r="57" spans="1:24" ht="15.75">
      <c r="H57" s="36" t="s">
        <v>101</v>
      </c>
      <c r="I57" s="60">
        <f>ONSV_AUX_2016!N30</f>
        <v>288</v>
      </c>
      <c r="J57" s="9"/>
      <c r="K57" s="27"/>
      <c r="L57" s="62"/>
      <c r="M57" s="20"/>
      <c r="N57" s="28" t="s">
        <v>128</v>
      </c>
      <c r="O57" s="69">
        <f>J63/O56</f>
        <v>0.99021779743149629</v>
      </c>
      <c r="P57" s="64"/>
      <c r="Q57" s="70" t="s">
        <v>129</v>
      </c>
      <c r="R57" s="63">
        <f>J66/R56</f>
        <v>0.74107047157224015</v>
      </c>
      <c r="S57" s="71"/>
      <c r="T57" s="65" t="s">
        <v>130</v>
      </c>
      <c r="U57" s="67">
        <f>I72-J72</f>
        <v>2.3601914320897777</v>
      </c>
      <c r="V57" s="48"/>
      <c r="W57" s="65" t="s">
        <v>131</v>
      </c>
      <c r="X57" s="68">
        <f>I67-J67</f>
        <v>12.098733480379451</v>
      </c>
    </row>
    <row r="58" spans="1:24" ht="15.75">
      <c r="H58" s="36" t="s">
        <v>16</v>
      </c>
      <c r="I58" s="60">
        <f>ONSV_AUX_2016!N31</f>
        <v>32175</v>
      </c>
      <c r="J58" s="9"/>
      <c r="K58" s="2" t="s">
        <v>132</v>
      </c>
      <c r="L58" s="63">
        <f>I63/L56</f>
        <v>0.82956193809099199</v>
      </c>
      <c r="M58" s="20"/>
      <c r="N58" s="28" t="s">
        <v>133</v>
      </c>
      <c r="O58" s="69">
        <f>J72/O56</f>
        <v>9.7822025685036906E-3</v>
      </c>
      <c r="P58" s="64"/>
      <c r="Q58" s="70" t="s">
        <v>134</v>
      </c>
      <c r="R58" s="63">
        <f>J67/R56</f>
        <v>0.2589295284277599</v>
      </c>
      <c r="S58" s="71"/>
      <c r="T58" s="65" t="s">
        <v>135</v>
      </c>
      <c r="U58" s="72">
        <f>O62</f>
        <v>20105.289783014581</v>
      </c>
      <c r="V58" s="73"/>
      <c r="W58" s="65" t="s">
        <v>136</v>
      </c>
      <c r="X58" s="72">
        <f>R65</f>
        <v>213995.486877819</v>
      </c>
    </row>
    <row r="59" spans="1:24" ht="15.75">
      <c r="H59" s="36" t="s">
        <v>94</v>
      </c>
      <c r="I59" s="60">
        <f>ONSV_AUX_2016!N32</f>
        <v>5043450</v>
      </c>
      <c r="J59" s="10"/>
      <c r="K59" s="2" t="s">
        <v>2</v>
      </c>
      <c r="L59" s="63">
        <f>I66/L56</f>
        <v>0.12023346151839634</v>
      </c>
      <c r="M59" s="20"/>
      <c r="N59" s="20"/>
      <c r="O59" s="74"/>
      <c r="P59" s="48"/>
      <c r="Q59" s="48"/>
      <c r="R59" s="48"/>
      <c r="S59" s="48"/>
      <c r="T59" s="48"/>
      <c r="U59" s="62"/>
      <c r="V59" s="75"/>
      <c r="W59" s="48"/>
      <c r="X59" s="62"/>
    </row>
    <row r="60" spans="1:24" ht="15.75">
      <c r="K60" s="2" t="s">
        <v>3</v>
      </c>
      <c r="L60" s="63">
        <f>I67/L56</f>
        <v>4.200949125141442E-2</v>
      </c>
      <c r="M60" s="20"/>
      <c r="N60" s="28" t="s">
        <v>137</v>
      </c>
      <c r="O60" s="60">
        <f>IF(O58*I55&gt;J72,J72,O58*I55)</f>
        <v>34558.350025553329</v>
      </c>
      <c r="P60" s="76"/>
      <c r="Q60" s="65" t="s">
        <v>138</v>
      </c>
      <c r="R60" s="60">
        <f>I56-I64-I65-I68-I71</f>
        <v>255743</v>
      </c>
      <c r="S60" s="77"/>
      <c r="T60" s="65" t="s">
        <v>139</v>
      </c>
      <c r="U60" s="67">
        <f>O68</f>
        <v>3498219.6499744467</v>
      </c>
      <c r="V60" s="76"/>
      <c r="W60" s="65" t="s">
        <v>140</v>
      </c>
      <c r="X60" s="67">
        <f>I64</f>
        <v>321338</v>
      </c>
    </row>
    <row r="61" spans="1:24" ht="15.75">
      <c r="H61" s="24" t="s">
        <v>141</v>
      </c>
      <c r="K61" s="2" t="s">
        <v>0</v>
      </c>
      <c r="L61" s="63">
        <f>I72/L56</f>
        <v>8.1951091391972257E-3</v>
      </c>
      <c r="O61" s="48"/>
      <c r="P61" s="76"/>
      <c r="Q61" s="65" t="s">
        <v>142</v>
      </c>
      <c r="R61" s="60">
        <f>R57*R60</f>
        <v>189523.58561129941</v>
      </c>
      <c r="S61" s="48"/>
      <c r="T61" s="65" t="s">
        <v>143</v>
      </c>
      <c r="U61" s="67">
        <f>O66</f>
        <v>433944</v>
      </c>
      <c r="V61" s="66"/>
      <c r="W61" s="65" t="s">
        <v>144</v>
      </c>
      <c r="X61" s="67">
        <f>I65</f>
        <v>63973</v>
      </c>
    </row>
    <row r="62" spans="1:24" ht="15.75">
      <c r="K62" s="11"/>
      <c r="L62" s="11"/>
      <c r="M62" s="11"/>
      <c r="N62" s="28" t="s">
        <v>145</v>
      </c>
      <c r="O62" s="60">
        <f>J72-O60</f>
        <v>20105.289783014581</v>
      </c>
      <c r="P62" s="76"/>
      <c r="Q62" s="65" t="s">
        <v>127</v>
      </c>
      <c r="R62" s="60">
        <f>R58*R60</f>
        <v>66219.414388700607</v>
      </c>
      <c r="S62" s="48"/>
      <c r="T62" s="65" t="s">
        <v>146</v>
      </c>
      <c r="U62" s="67">
        <f>O67</f>
        <v>32175</v>
      </c>
      <c r="V62" s="71"/>
      <c r="W62" s="48"/>
      <c r="X62" s="62"/>
    </row>
    <row r="63" spans="1:24" ht="15.75">
      <c r="H63" s="37" t="s">
        <v>103</v>
      </c>
      <c r="I63" s="60">
        <f>ONSV_AUX_2016!N56</f>
        <v>5533646</v>
      </c>
      <c r="J63" s="61">
        <f>I63-(L58*I57)</f>
        <v>5533407.0861618295</v>
      </c>
      <c r="K63" s="11"/>
      <c r="L63" s="11"/>
      <c r="M63" s="11"/>
      <c r="O63" s="76"/>
      <c r="P63" s="76"/>
      <c r="Q63" s="48"/>
      <c r="R63" s="78"/>
      <c r="S63" s="48"/>
      <c r="T63" s="65" t="s">
        <v>147</v>
      </c>
      <c r="U63" s="68">
        <f>I63-J63</f>
        <v>238.91383817046881</v>
      </c>
      <c r="V63" s="71"/>
      <c r="W63" s="65" t="s">
        <v>148</v>
      </c>
      <c r="X63" s="67">
        <f>I71</f>
        <v>72591</v>
      </c>
    </row>
    <row r="64" spans="1:24" ht="15.75">
      <c r="H64" s="37" t="s">
        <v>104</v>
      </c>
      <c r="I64" s="60">
        <f>ONSV_AUX_2016!N57</f>
        <v>321338</v>
      </c>
      <c r="J64" s="10">
        <f>I64</f>
        <v>321338</v>
      </c>
      <c r="K64" s="11"/>
      <c r="L64" s="11"/>
      <c r="M64" s="11"/>
      <c r="N64" s="26" t="s">
        <v>149</v>
      </c>
      <c r="O64" s="76"/>
      <c r="P64" s="76"/>
      <c r="Q64" s="65" t="s">
        <v>150</v>
      </c>
      <c r="R64" s="60">
        <f>J66-R61</f>
        <v>612466.78715178336</v>
      </c>
      <c r="S64" s="48"/>
      <c r="T64" s="65" t="s">
        <v>151</v>
      </c>
      <c r="U64" s="72">
        <f>O69</f>
        <v>1569068.4361873828</v>
      </c>
      <c r="V64" s="48"/>
      <c r="W64" s="65" t="s">
        <v>152</v>
      </c>
      <c r="X64" s="67">
        <f>I68</f>
        <v>44040</v>
      </c>
    </row>
    <row r="65" spans="1:24" ht="15.75">
      <c r="H65" s="37" t="s">
        <v>105</v>
      </c>
      <c r="I65" s="60">
        <f>ONSV_AUX_2016!N58</f>
        <v>63973</v>
      </c>
      <c r="J65" s="10">
        <f>I65</f>
        <v>63973</v>
      </c>
      <c r="K65" s="11"/>
      <c r="L65" s="11"/>
      <c r="M65" s="11"/>
      <c r="O65" s="73"/>
      <c r="P65" s="76"/>
      <c r="Q65" s="65" t="s">
        <v>136</v>
      </c>
      <c r="R65" s="60">
        <f>J67-R62</f>
        <v>213995.486877819</v>
      </c>
      <c r="S65" s="48"/>
      <c r="T65" s="48"/>
      <c r="U65" s="62"/>
      <c r="V65" s="77"/>
      <c r="W65" s="48"/>
      <c r="X65" s="62"/>
    </row>
    <row r="66" spans="1:24" ht="15.75">
      <c r="H66" s="37" t="s">
        <v>106</v>
      </c>
      <c r="I66" s="60">
        <f>ONSV_AUX_2016!N59</f>
        <v>802025</v>
      </c>
      <c r="J66" s="61">
        <f>I66-(L59*I57)</f>
        <v>801990.37276308273</v>
      </c>
      <c r="K66" s="11"/>
      <c r="L66" s="11"/>
      <c r="M66" s="11"/>
      <c r="N66" s="28" t="s">
        <v>143</v>
      </c>
      <c r="O66" s="60">
        <f>I54</f>
        <v>433944</v>
      </c>
      <c r="P66" s="76"/>
      <c r="Q66" s="48"/>
      <c r="R66" s="48"/>
      <c r="S66" s="77"/>
      <c r="T66" s="65" t="s">
        <v>142</v>
      </c>
      <c r="U66" s="68">
        <f>R61</f>
        <v>189523.58561129941</v>
      </c>
      <c r="V66" s="48"/>
      <c r="W66" s="65" t="s">
        <v>153</v>
      </c>
      <c r="X66" s="67">
        <f>I69</f>
        <v>2349065</v>
      </c>
    </row>
    <row r="67" spans="1:24" ht="15.75">
      <c r="H67" s="37" t="s">
        <v>107</v>
      </c>
      <c r="I67" s="60">
        <f>ONSV_AUX_2016!N60</f>
        <v>280227</v>
      </c>
      <c r="J67" s="61">
        <f>I67-(L60*I57)</f>
        <v>280214.90126651962</v>
      </c>
      <c r="K67" s="11"/>
      <c r="L67" s="11"/>
      <c r="M67" s="11"/>
      <c r="N67" s="28" t="s">
        <v>146</v>
      </c>
      <c r="O67" s="60">
        <f>I58</f>
        <v>32175</v>
      </c>
      <c r="P67" s="76"/>
      <c r="Q67" s="48"/>
      <c r="R67" s="48"/>
      <c r="S67" s="48"/>
      <c r="T67" s="65" t="s">
        <v>154</v>
      </c>
      <c r="U67" s="68">
        <f>I66-J66</f>
        <v>34.627236917265691</v>
      </c>
      <c r="V67" s="48"/>
      <c r="W67" s="65" t="s">
        <v>155</v>
      </c>
      <c r="X67" s="67">
        <f>I70</f>
        <v>263874</v>
      </c>
    </row>
    <row r="68" spans="1:24" ht="15.75">
      <c r="H68" s="37" t="s">
        <v>108</v>
      </c>
      <c r="I68" s="60">
        <f>ONSV_AUX_2016!N61</f>
        <v>44040</v>
      </c>
      <c r="J68" s="10">
        <f>I68</f>
        <v>44040</v>
      </c>
      <c r="K68" s="11"/>
      <c r="L68" s="11"/>
      <c r="M68" s="11"/>
      <c r="N68" s="28" t="s">
        <v>139</v>
      </c>
      <c r="O68" s="60">
        <f>IF(OR((O57*I55&gt;J63),((O66+O67+(O57*I55))&gt;J63)),(J63-O66-O67),(O57*I55))</f>
        <v>3498219.6499744467</v>
      </c>
      <c r="P68" s="76"/>
      <c r="Q68" s="48"/>
      <c r="R68" s="78"/>
      <c r="S68" s="48"/>
      <c r="T68" s="65" t="s">
        <v>150</v>
      </c>
      <c r="U68" s="72">
        <f>R64</f>
        <v>612466.78715178336</v>
      </c>
      <c r="V68" s="48"/>
      <c r="W68" s="48"/>
      <c r="X68" s="48"/>
    </row>
    <row r="69" spans="1:24" ht="15.75">
      <c r="H69" s="37" t="s">
        <v>109</v>
      </c>
      <c r="I69" s="60">
        <f>ONSV_AUX_2016!N62</f>
        <v>2349065</v>
      </c>
      <c r="J69" s="10">
        <f>I69</f>
        <v>2349065</v>
      </c>
      <c r="K69" s="11"/>
      <c r="L69" s="11"/>
      <c r="M69" s="11"/>
      <c r="N69" s="28" t="s">
        <v>151</v>
      </c>
      <c r="O69" s="60">
        <f>IF((J63-O66-O68-O67)&lt;0,0,(J63-O66-O68-O67))</f>
        <v>1569068.4361873828</v>
      </c>
      <c r="P69" s="48"/>
      <c r="Q69" s="48"/>
      <c r="R69" s="48"/>
      <c r="S69" s="48"/>
      <c r="T69" s="48"/>
      <c r="U69" s="62"/>
      <c r="V69" s="48"/>
      <c r="W69" s="48"/>
      <c r="X69" s="48"/>
    </row>
    <row r="70" spans="1:24" ht="15.75">
      <c r="H70" s="37" t="s">
        <v>110</v>
      </c>
      <c r="I70" s="60">
        <f>ONSV_AUX_2016!N63</f>
        <v>263874</v>
      </c>
      <c r="J70" s="10">
        <f>I70</f>
        <v>263874</v>
      </c>
      <c r="K70" s="11"/>
      <c r="L70" s="11"/>
      <c r="M70" s="11"/>
      <c r="O70" s="48"/>
      <c r="P70" s="76"/>
      <c r="Q70" s="48"/>
      <c r="R70" s="48"/>
      <c r="S70" s="48"/>
      <c r="T70" s="79" t="s">
        <v>156</v>
      </c>
      <c r="U70" s="80">
        <f>(SUM(U56:U68,X56:X67)/SUM(I63:I72))-1</f>
        <v>0</v>
      </c>
      <c r="V70" s="48"/>
      <c r="W70" s="79" t="s">
        <v>10</v>
      </c>
      <c r="X70" s="67">
        <f>SUM(U56:U68,X56:X67)</f>
        <v>9785445</v>
      </c>
    </row>
    <row r="71" spans="1:24" ht="15.75">
      <c r="H71" s="37" t="s">
        <v>111</v>
      </c>
      <c r="I71" s="60">
        <f>ONSV_AUX_2016!N64</f>
        <v>72591</v>
      </c>
      <c r="J71" s="10">
        <f>I71</f>
        <v>72591</v>
      </c>
      <c r="K71" s="11"/>
      <c r="L71" s="11"/>
      <c r="M71" s="11"/>
      <c r="O71" s="48"/>
      <c r="P71" s="76"/>
      <c r="Q71" s="48"/>
      <c r="R71" s="48"/>
      <c r="S71" s="48"/>
      <c r="T71" s="48"/>
      <c r="U71" s="48"/>
      <c r="V71" s="48"/>
      <c r="W71" s="48"/>
      <c r="X71" s="48"/>
    </row>
    <row r="72" spans="1:24" ht="15.75">
      <c r="H72" s="37" t="s">
        <v>112</v>
      </c>
      <c r="I72" s="60">
        <f>ONSV_AUX_2016!N65</f>
        <v>54666</v>
      </c>
      <c r="J72" s="61">
        <f>I72-(L61*I57)</f>
        <v>54663.63980856791</v>
      </c>
      <c r="K72" s="12"/>
      <c r="L72" s="12"/>
      <c r="M72" s="12"/>
      <c r="N72" s="12"/>
      <c r="O72" s="12"/>
      <c r="P72" s="12"/>
      <c r="Q72" s="4"/>
      <c r="R72" s="4"/>
    </row>
    <row r="75" spans="1:24" s="34" customFormat="1" ht="15.75">
      <c r="A75" s="101" t="str">
        <f>"MINAS GERAIS/"&amp;ONSV_AUX_2015!$A$1&amp;""</f>
        <v>MINAS GERAIS/2015</v>
      </c>
      <c r="B75" s="102"/>
      <c r="C75" s="102"/>
      <c r="D75" s="102"/>
      <c r="E75" s="102"/>
      <c r="F75" s="102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 spans="1:24"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>
      <c r="H77" s="23" t="s">
        <v>118</v>
      </c>
      <c r="P77" s="9"/>
    </row>
    <row r="78" spans="1:24" ht="15.75">
      <c r="J78" s="9"/>
      <c r="M78" s="25"/>
      <c r="P78" s="9"/>
    </row>
    <row r="79" spans="1:24" ht="15.75">
      <c r="H79" s="36" t="s">
        <v>81</v>
      </c>
      <c r="I79" s="60">
        <f>ONSV_AUX_2015!N27</f>
        <v>433168</v>
      </c>
      <c r="J79" s="9"/>
      <c r="K79" s="104" t="s">
        <v>119</v>
      </c>
      <c r="L79" s="104"/>
      <c r="M79" s="9"/>
      <c r="N79" s="26" t="s">
        <v>120</v>
      </c>
      <c r="O79" s="26"/>
      <c r="Q79" s="26" t="s">
        <v>121</v>
      </c>
      <c r="R79" s="26"/>
      <c r="S79" s="26"/>
      <c r="T79" s="25" t="s">
        <v>122</v>
      </c>
      <c r="U79" s="25"/>
      <c r="V79" s="25"/>
      <c r="W79" s="25"/>
      <c r="X79" s="25"/>
    </row>
    <row r="80" spans="1:24" ht="15.75">
      <c r="H80" s="36" t="s">
        <v>84</v>
      </c>
      <c r="I80" s="60">
        <f>ONSV_AUX_2015!N28</f>
        <v>3227814</v>
      </c>
      <c r="J80" s="9"/>
      <c r="K80" s="9"/>
      <c r="L80" s="9"/>
      <c r="M80" s="9"/>
      <c r="N80" s="9"/>
      <c r="O80" s="9"/>
      <c r="P80" s="20"/>
      <c r="Q80" s="11"/>
      <c r="R80" s="11"/>
      <c r="S80" s="11"/>
    </row>
    <row r="81" spans="8:24" ht="15.75">
      <c r="H81" s="36" t="s">
        <v>85</v>
      </c>
      <c r="I81" s="60">
        <f>ONSV_AUX_2015!N29</f>
        <v>734463</v>
      </c>
      <c r="J81" s="9"/>
      <c r="K81" s="2" t="s">
        <v>123</v>
      </c>
      <c r="L81" s="60">
        <f>I88+I91+I92+I97</f>
        <v>6387845</v>
      </c>
      <c r="N81" s="28" t="s">
        <v>124</v>
      </c>
      <c r="O81" s="60">
        <f>J88+J97</f>
        <v>5362434.2347970251</v>
      </c>
      <c r="P81" s="64"/>
      <c r="Q81" s="65" t="s">
        <v>125</v>
      </c>
      <c r="R81" s="60">
        <f>J91+J92</f>
        <v>1025178.7652029754</v>
      </c>
      <c r="S81" s="66"/>
      <c r="T81" s="65" t="s">
        <v>126</v>
      </c>
      <c r="U81" s="67">
        <f>O85</f>
        <v>28706.238169375501</v>
      </c>
      <c r="V81" s="48"/>
      <c r="W81" s="65" t="s">
        <v>127</v>
      </c>
      <c r="X81" s="68">
        <f>R87</f>
        <v>62683.791597087824</v>
      </c>
    </row>
    <row r="82" spans="8:24" ht="15.75">
      <c r="H82" s="36" t="s">
        <v>101</v>
      </c>
      <c r="I82" s="60">
        <f>ONSV_AUX_2015!N30</f>
        <v>232</v>
      </c>
      <c r="J82" s="9"/>
      <c r="K82" s="27"/>
      <c r="L82" s="62"/>
      <c r="M82" s="20"/>
      <c r="N82" s="28" t="s">
        <v>128</v>
      </c>
      <c r="O82" s="69">
        <f>J88/O81</f>
        <v>0.99110660088549851</v>
      </c>
      <c r="P82" s="64"/>
      <c r="Q82" s="70" t="s">
        <v>129</v>
      </c>
      <c r="R82" s="63">
        <f>J91/R81</f>
        <v>0.74225626599662908</v>
      </c>
      <c r="S82" s="71"/>
      <c r="T82" s="65" t="s">
        <v>130</v>
      </c>
      <c r="U82" s="67">
        <f>I97-J97</f>
        <v>1.7321246836800128</v>
      </c>
      <c r="V82" s="48"/>
      <c r="W82" s="65" t="s">
        <v>131</v>
      </c>
      <c r="X82" s="68">
        <f>I92-J92</f>
        <v>9.5970356200123206</v>
      </c>
    </row>
    <row r="83" spans="8:24" ht="15.75">
      <c r="H83" s="36" t="s">
        <v>16</v>
      </c>
      <c r="I83" s="60">
        <f>ONSV_AUX_2015!N31</f>
        <v>32901</v>
      </c>
      <c r="J83" s="9"/>
      <c r="K83" s="2" t="s">
        <v>132</v>
      </c>
      <c r="L83" s="63">
        <f>I88/L81</f>
        <v>0.83203913056750756</v>
      </c>
      <c r="M83" s="20"/>
      <c r="N83" s="28" t="s">
        <v>133</v>
      </c>
      <c r="O83" s="69">
        <f>J97/O81</f>
        <v>8.8933991145014862E-3</v>
      </c>
      <c r="P83" s="64"/>
      <c r="Q83" s="70" t="s">
        <v>134</v>
      </c>
      <c r="R83" s="63">
        <f>J92/R81</f>
        <v>0.25774373400337097</v>
      </c>
      <c r="S83" s="71"/>
      <c r="T83" s="65" t="s">
        <v>135</v>
      </c>
      <c r="U83" s="72">
        <f>O87</f>
        <v>18984.029705940819</v>
      </c>
      <c r="V83" s="73"/>
      <c r="W83" s="65" t="s">
        <v>136</v>
      </c>
      <c r="X83" s="72">
        <f>R90</f>
        <v>201549.61136729218</v>
      </c>
    </row>
    <row r="84" spans="8:24" ht="15.75">
      <c r="H84" s="36" t="s">
        <v>94</v>
      </c>
      <c r="I84" s="60">
        <f>ONSV_AUX_2015!N32</f>
        <v>4972634</v>
      </c>
      <c r="J84" s="10"/>
      <c r="K84" s="2" t="s">
        <v>2</v>
      </c>
      <c r="L84" s="63">
        <f>I91/L81</f>
        <v>0.11912828191667142</v>
      </c>
      <c r="M84" s="20"/>
      <c r="N84" s="20"/>
      <c r="O84" s="74"/>
      <c r="P84" s="48"/>
      <c r="Q84" s="48"/>
      <c r="R84" s="48"/>
      <c r="S84" s="48"/>
      <c r="T84" s="48"/>
      <c r="U84" s="62"/>
      <c r="V84" s="75"/>
      <c r="W84" s="48"/>
      <c r="X84" s="62"/>
    </row>
    <row r="85" spans="8:24" ht="15.75">
      <c r="K85" s="2" t="s">
        <v>3</v>
      </c>
      <c r="L85" s="63">
        <f>I92/L81</f>
        <v>4.1366532844801338E-2</v>
      </c>
      <c r="M85" s="20"/>
      <c r="N85" s="28" t="s">
        <v>137</v>
      </c>
      <c r="O85" s="60">
        <f>IF(O83*I80&gt;J97,J97,O83*I80)</f>
        <v>28706.238169375501</v>
      </c>
      <c r="P85" s="76"/>
      <c r="Q85" s="65" t="s">
        <v>138</v>
      </c>
      <c r="R85" s="60">
        <f>I81-I89-I90-I93-I96</f>
        <v>243202</v>
      </c>
      <c r="S85" s="77"/>
      <c r="T85" s="65" t="s">
        <v>139</v>
      </c>
      <c r="U85" s="67">
        <f>O93</f>
        <v>3199107.7618306247</v>
      </c>
      <c r="V85" s="76"/>
      <c r="W85" s="65" t="s">
        <v>140</v>
      </c>
      <c r="X85" s="67">
        <f>I89</f>
        <v>315105</v>
      </c>
    </row>
    <row r="86" spans="8:24" ht="15.75">
      <c r="H86" s="24" t="s">
        <v>141</v>
      </c>
      <c r="K86" s="2" t="s">
        <v>0</v>
      </c>
      <c r="L86" s="63">
        <f>I97/L81</f>
        <v>7.4660546710197256E-3</v>
      </c>
      <c r="O86" s="48"/>
      <c r="P86" s="76"/>
      <c r="Q86" s="65" t="s">
        <v>142</v>
      </c>
      <c r="R86" s="60">
        <f>R82*R85</f>
        <v>180518.20840291219</v>
      </c>
      <c r="S86" s="48"/>
      <c r="T86" s="65" t="s">
        <v>143</v>
      </c>
      <c r="U86" s="67">
        <f>O91</f>
        <v>433168</v>
      </c>
      <c r="V86" s="66"/>
      <c r="W86" s="65" t="s">
        <v>144</v>
      </c>
      <c r="X86" s="67">
        <f>I90</f>
        <v>62065</v>
      </c>
    </row>
    <row r="87" spans="8:24" ht="15.75">
      <c r="K87" s="11"/>
      <c r="L87" s="11"/>
      <c r="M87" s="11"/>
      <c r="N87" s="28" t="s">
        <v>145</v>
      </c>
      <c r="O87" s="60">
        <f>J97-O85</f>
        <v>18984.029705940819</v>
      </c>
      <c r="P87" s="76"/>
      <c r="Q87" s="65" t="s">
        <v>127</v>
      </c>
      <c r="R87" s="60">
        <f>R83*R85</f>
        <v>62683.791597087824</v>
      </c>
      <c r="S87" s="48"/>
      <c r="T87" s="65" t="s">
        <v>146</v>
      </c>
      <c r="U87" s="67">
        <f>O92</f>
        <v>32901</v>
      </c>
      <c r="V87" s="71"/>
      <c r="W87" s="48"/>
      <c r="X87" s="62"/>
    </row>
    <row r="88" spans="8:24" ht="15.75">
      <c r="H88" s="37" t="s">
        <v>103</v>
      </c>
      <c r="I88" s="60">
        <f>ONSV_AUX_2015!N56</f>
        <v>5314937</v>
      </c>
      <c r="J88" s="61">
        <f>I88-(L83*I82)</f>
        <v>5314743.9669217085</v>
      </c>
      <c r="K88" s="11"/>
      <c r="L88" s="11"/>
      <c r="M88" s="11"/>
      <c r="O88" s="76"/>
      <c r="P88" s="76"/>
      <c r="Q88" s="48"/>
      <c r="R88" s="78"/>
      <c r="S88" s="48"/>
      <c r="T88" s="65" t="s">
        <v>147</v>
      </c>
      <c r="U88" s="68">
        <f>I88-J88</f>
        <v>193.03307829145342</v>
      </c>
      <c r="V88" s="71"/>
      <c r="W88" s="65" t="s">
        <v>148</v>
      </c>
      <c r="X88" s="67">
        <f>I96</f>
        <v>71505</v>
      </c>
    </row>
    <row r="89" spans="8:24" ht="15.75">
      <c r="H89" s="37" t="s">
        <v>104</v>
      </c>
      <c r="I89" s="60">
        <f>ONSV_AUX_2015!N57</f>
        <v>315105</v>
      </c>
      <c r="J89" s="10">
        <f>I89</f>
        <v>315105</v>
      </c>
      <c r="K89" s="11"/>
      <c r="L89" s="11"/>
      <c r="M89" s="11"/>
      <c r="N89" s="26" t="s">
        <v>149</v>
      </c>
      <c r="O89" s="76"/>
      <c r="P89" s="76"/>
      <c r="Q89" s="65" t="s">
        <v>150</v>
      </c>
      <c r="R89" s="60">
        <f>J91-R86</f>
        <v>580427.15383568313</v>
      </c>
      <c r="S89" s="48"/>
      <c r="T89" s="65" t="s">
        <v>151</v>
      </c>
      <c r="U89" s="72">
        <f>O94</f>
        <v>1649567.2050910839</v>
      </c>
      <c r="V89" s="48"/>
      <c r="W89" s="65" t="s">
        <v>152</v>
      </c>
      <c r="X89" s="67">
        <f>I93</f>
        <v>42586</v>
      </c>
    </row>
    <row r="90" spans="8:24" ht="15.75">
      <c r="H90" s="37" t="s">
        <v>105</v>
      </c>
      <c r="I90" s="60">
        <f>ONSV_AUX_2015!N58</f>
        <v>62065</v>
      </c>
      <c r="J90" s="10">
        <f>I90</f>
        <v>62065</v>
      </c>
      <c r="K90" s="11"/>
      <c r="L90" s="11"/>
      <c r="M90" s="11"/>
      <c r="O90" s="73"/>
      <c r="P90" s="76"/>
      <c r="Q90" s="65" t="s">
        <v>136</v>
      </c>
      <c r="R90" s="60">
        <f>J92-R87</f>
        <v>201549.61136729218</v>
      </c>
      <c r="S90" s="48"/>
      <c r="T90" s="48"/>
      <c r="U90" s="62"/>
      <c r="V90" s="77"/>
      <c r="W90" s="48"/>
      <c r="X90" s="62"/>
    </row>
    <row r="91" spans="8:24" ht="15.75">
      <c r="H91" s="37" t="s">
        <v>106</v>
      </c>
      <c r="I91" s="60">
        <f>ONSV_AUX_2015!N59</f>
        <v>760973</v>
      </c>
      <c r="J91" s="61">
        <f>I91-(L84*I82)</f>
        <v>760945.36223859538</v>
      </c>
      <c r="K91" s="11"/>
      <c r="L91" s="11"/>
      <c r="M91" s="11"/>
      <c r="N91" s="28" t="s">
        <v>143</v>
      </c>
      <c r="O91" s="60">
        <f>I79</f>
        <v>433168</v>
      </c>
      <c r="P91" s="76"/>
      <c r="Q91" s="48"/>
      <c r="R91" s="48"/>
      <c r="S91" s="77"/>
      <c r="T91" s="65" t="s">
        <v>142</v>
      </c>
      <c r="U91" s="68">
        <f>R86</f>
        <v>180518.20840291219</v>
      </c>
      <c r="V91" s="48"/>
      <c r="W91" s="65" t="s">
        <v>153</v>
      </c>
      <c r="X91" s="67">
        <f>I94</f>
        <v>2262991</v>
      </c>
    </row>
    <row r="92" spans="8:24" ht="15.75">
      <c r="H92" s="37" t="s">
        <v>107</v>
      </c>
      <c r="I92" s="60">
        <f>ONSV_AUX_2015!N60</f>
        <v>264243</v>
      </c>
      <c r="J92" s="61">
        <f>I92-(L85*I82)</f>
        <v>264233.40296437999</v>
      </c>
      <c r="K92" s="11"/>
      <c r="L92" s="11"/>
      <c r="M92" s="11"/>
      <c r="N92" s="28" t="s">
        <v>146</v>
      </c>
      <c r="O92" s="60">
        <f>I83</f>
        <v>32901</v>
      </c>
      <c r="P92" s="76"/>
      <c r="Q92" s="48"/>
      <c r="R92" s="48"/>
      <c r="S92" s="48"/>
      <c r="T92" s="65" t="s">
        <v>154</v>
      </c>
      <c r="U92" s="68">
        <f>I91-J91</f>
        <v>27.637761404621415</v>
      </c>
      <c r="V92" s="48"/>
      <c r="W92" s="65" t="s">
        <v>155</v>
      </c>
      <c r="X92" s="67">
        <f>I95</f>
        <v>251192</v>
      </c>
    </row>
    <row r="93" spans="8:24" ht="15.75">
      <c r="H93" s="37" t="s">
        <v>108</v>
      </c>
      <c r="I93" s="60">
        <f>ONSV_AUX_2015!N61</f>
        <v>42586</v>
      </c>
      <c r="J93" s="10">
        <f>I93</f>
        <v>42586</v>
      </c>
      <c r="K93" s="11"/>
      <c r="L93" s="11"/>
      <c r="M93" s="11"/>
      <c r="N93" s="28" t="s">
        <v>139</v>
      </c>
      <c r="O93" s="60">
        <f>IF(OR((O82*I80&gt;J88),((O91+O92+(O82*I80))&gt;J88)),(J88-O91-O92),(O82*I80))</f>
        <v>3199107.7618306247</v>
      </c>
      <c r="P93" s="76"/>
      <c r="Q93" s="48"/>
      <c r="R93" s="78"/>
      <c r="S93" s="48"/>
      <c r="T93" s="65" t="s">
        <v>150</v>
      </c>
      <c r="U93" s="72">
        <f>R89</f>
        <v>580427.15383568313</v>
      </c>
      <c r="V93" s="48"/>
      <c r="W93" s="48"/>
      <c r="X93" s="48"/>
    </row>
    <row r="94" spans="8:24" ht="15.75">
      <c r="H94" s="37" t="s">
        <v>109</v>
      </c>
      <c r="I94" s="60">
        <f>ONSV_AUX_2015!N62</f>
        <v>2262991</v>
      </c>
      <c r="J94" s="10">
        <f>I94</f>
        <v>2262991</v>
      </c>
      <c r="K94" s="11"/>
      <c r="L94" s="11"/>
      <c r="M94" s="11"/>
      <c r="N94" s="28" t="s">
        <v>151</v>
      </c>
      <c r="O94" s="60">
        <f>IF((J88-O91-O93-O92)&lt;0,0,(J88-O91-O93-O92))</f>
        <v>1649567.2050910839</v>
      </c>
      <c r="P94" s="48"/>
      <c r="Q94" s="48"/>
      <c r="R94" s="48"/>
      <c r="S94" s="48"/>
      <c r="T94" s="48"/>
      <c r="U94" s="62"/>
      <c r="V94" s="48"/>
      <c r="W94" s="48"/>
      <c r="X94" s="48"/>
    </row>
    <row r="95" spans="8:24" ht="15.75">
      <c r="H95" s="37" t="s">
        <v>110</v>
      </c>
      <c r="I95" s="60">
        <f>ONSV_AUX_2015!N63</f>
        <v>251192</v>
      </c>
      <c r="J95" s="10">
        <f>I95</f>
        <v>251192</v>
      </c>
      <c r="K95" s="11"/>
      <c r="L95" s="11"/>
      <c r="M95" s="11"/>
      <c r="O95" s="48"/>
      <c r="P95" s="76"/>
      <c r="Q95" s="48"/>
      <c r="R95" s="48"/>
      <c r="S95" s="48"/>
      <c r="T95" s="79" t="s">
        <v>156</v>
      </c>
      <c r="U95" s="80">
        <f>(SUM(U81:U93,X81:X92)/SUM(I88:I97))-1</f>
        <v>0</v>
      </c>
      <c r="V95" s="48"/>
      <c r="W95" s="79" t="s">
        <v>10</v>
      </c>
      <c r="X95" s="67">
        <f>SUM(U81:U93,X81:X92)</f>
        <v>9393289</v>
      </c>
    </row>
    <row r="96" spans="8:24" ht="15.75">
      <c r="H96" s="37" t="s">
        <v>111</v>
      </c>
      <c r="I96" s="60">
        <f>ONSV_AUX_2015!N64</f>
        <v>71505</v>
      </c>
      <c r="J96" s="10">
        <f>I96</f>
        <v>71505</v>
      </c>
      <c r="K96" s="11"/>
      <c r="L96" s="11"/>
      <c r="M96" s="11"/>
      <c r="O96" s="48"/>
      <c r="P96" s="76"/>
      <c r="Q96" s="48"/>
      <c r="R96" s="48"/>
      <c r="S96" s="48"/>
      <c r="T96" s="48"/>
      <c r="U96" s="48"/>
      <c r="V96" s="48"/>
      <c r="W96" s="48"/>
      <c r="X96" s="48"/>
    </row>
    <row r="97" spans="1:24" ht="15.75">
      <c r="H97" s="37" t="s">
        <v>112</v>
      </c>
      <c r="I97" s="60">
        <f>ONSV_AUX_2015!N65</f>
        <v>47692</v>
      </c>
      <c r="J97" s="61">
        <f>I97-(L86*I82)</f>
        <v>47690.26787531632</v>
      </c>
      <c r="K97" s="12"/>
      <c r="L97" s="12"/>
      <c r="M97" s="12"/>
      <c r="N97" s="12"/>
      <c r="O97" s="12"/>
      <c r="P97" s="12"/>
      <c r="Q97" s="4"/>
      <c r="R97" s="4"/>
    </row>
    <row r="98" spans="1:24" ht="15.75">
      <c r="I98" s="40"/>
      <c r="J98" s="21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4" ht="15.75">
      <c r="I99" s="40"/>
      <c r="J99" s="21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4" s="34" customFormat="1" ht="15.75">
      <c r="A100" s="101" t="str">
        <f>"MINAS GERAIS/"&amp;ONSV_AUX_2014!$A$1&amp;""</f>
        <v>MINAS GERAIS/2014</v>
      </c>
      <c r="B100" s="102"/>
      <c r="C100" s="102"/>
      <c r="D100" s="102"/>
      <c r="E100" s="102"/>
      <c r="F100" s="102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</row>
    <row r="101" spans="1:24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>
      <c r="H102" s="23" t="s">
        <v>118</v>
      </c>
      <c r="N102" s="26"/>
      <c r="O102" s="26"/>
      <c r="P102" s="9"/>
      <c r="Q102" s="26"/>
      <c r="R102" s="26"/>
      <c r="S102" s="26"/>
      <c r="T102" s="25"/>
      <c r="U102" s="25"/>
      <c r="V102" s="25"/>
      <c r="W102" s="25"/>
      <c r="X102" s="25"/>
    </row>
    <row r="103" spans="1:24" ht="15.75">
      <c r="J103" s="9"/>
      <c r="M103" s="25"/>
      <c r="N103" s="9"/>
      <c r="O103" s="9"/>
      <c r="P103" s="9"/>
      <c r="Q103" s="11"/>
      <c r="R103" s="11"/>
      <c r="S103" s="11"/>
    </row>
    <row r="104" spans="1:24" ht="15.75">
      <c r="H104" s="36" t="s">
        <v>81</v>
      </c>
      <c r="I104" s="60">
        <f>ONSV_AUX_2014!N27</f>
        <v>432025</v>
      </c>
      <c r="J104" s="9"/>
      <c r="K104" s="104" t="s">
        <v>119</v>
      </c>
      <c r="L104" s="104"/>
      <c r="M104" s="9"/>
      <c r="N104" s="26" t="s">
        <v>120</v>
      </c>
      <c r="O104" s="26"/>
      <c r="Q104" s="26" t="s">
        <v>121</v>
      </c>
      <c r="R104" s="26"/>
      <c r="S104" s="26"/>
      <c r="T104" s="25" t="s">
        <v>122</v>
      </c>
      <c r="U104" s="25"/>
      <c r="V104" s="25"/>
      <c r="W104" s="25"/>
      <c r="X104" s="25"/>
    </row>
    <row r="105" spans="1:24" ht="15.75">
      <c r="H105" s="36" t="s">
        <v>84</v>
      </c>
      <c r="I105" s="60">
        <f>ONSV_AUX_2014!N28</f>
        <v>2850988</v>
      </c>
      <c r="J105" s="9"/>
      <c r="K105" s="9"/>
      <c r="L105" s="9"/>
      <c r="M105" s="9"/>
      <c r="N105" s="9"/>
      <c r="O105" s="9"/>
      <c r="P105" s="20"/>
      <c r="Q105" s="11"/>
      <c r="R105" s="11"/>
      <c r="S105" s="11"/>
    </row>
    <row r="106" spans="1:24" ht="15.75">
      <c r="H106" s="36" t="s">
        <v>85</v>
      </c>
      <c r="I106" s="60">
        <f>ONSV_AUX_2014!N29</f>
        <v>700703</v>
      </c>
      <c r="J106" s="9"/>
      <c r="K106" s="2" t="s">
        <v>123</v>
      </c>
      <c r="L106" s="60">
        <f>I113+I116+I117+I122</f>
        <v>6045900</v>
      </c>
      <c r="N106" s="28" t="s">
        <v>124</v>
      </c>
      <c r="O106" s="60">
        <f>J113+J122</f>
        <v>5096809.7411019038</v>
      </c>
      <c r="P106" s="64"/>
      <c r="Q106" s="65" t="s">
        <v>125</v>
      </c>
      <c r="R106" s="60">
        <f>J116+J117</f>
        <v>948926.25889809616</v>
      </c>
      <c r="S106" s="66"/>
      <c r="T106" s="65" t="s">
        <v>126</v>
      </c>
      <c r="U106" s="67">
        <f>O110</f>
        <v>22973.145527087978</v>
      </c>
      <c r="V106" s="48"/>
      <c r="W106" s="65" t="s">
        <v>127</v>
      </c>
      <c r="X106" s="68">
        <f>R112</f>
        <v>58757.2998971497</v>
      </c>
    </row>
    <row r="107" spans="1:24" ht="15.75">
      <c r="H107" s="36" t="s">
        <v>101</v>
      </c>
      <c r="I107" s="60">
        <f>ONSV_AUX_2014!N30</f>
        <v>164</v>
      </c>
      <c r="J107" s="9"/>
      <c r="K107" s="27"/>
      <c r="L107" s="62"/>
      <c r="M107" s="20"/>
      <c r="N107" s="28" t="s">
        <v>128</v>
      </c>
      <c r="O107" s="69">
        <f>J113/O106</f>
        <v>0.99194204060940006</v>
      </c>
      <c r="P107" s="64"/>
      <c r="Q107" s="70" t="s">
        <v>129</v>
      </c>
      <c r="R107" s="63">
        <f>J116/R106</f>
        <v>0.74152960318330119</v>
      </c>
      <c r="S107" s="71"/>
      <c r="T107" s="65" t="s">
        <v>130</v>
      </c>
      <c r="U107" s="67">
        <f>I122-J122</f>
        <v>1.114084586246463</v>
      </c>
      <c r="V107" s="48"/>
      <c r="W107" s="65" t="s">
        <v>131</v>
      </c>
      <c r="X107" s="68">
        <f>I117-J117</f>
        <v>6.6533128235605545</v>
      </c>
    </row>
    <row r="108" spans="1:24" ht="15.75">
      <c r="H108" s="36" t="s">
        <v>16</v>
      </c>
      <c r="I108" s="60">
        <f>ONSV_AUX_2014!N31</f>
        <v>33829</v>
      </c>
      <c r="J108" s="9"/>
      <c r="K108" s="2" t="s">
        <v>132</v>
      </c>
      <c r="L108" s="63">
        <f>I113/L106</f>
        <v>0.83624886286574374</v>
      </c>
      <c r="M108" s="20"/>
      <c r="N108" s="28" t="s">
        <v>133</v>
      </c>
      <c r="O108" s="69">
        <f>J122/O106</f>
        <v>8.0579593906000228E-3</v>
      </c>
      <c r="P108" s="64"/>
      <c r="Q108" s="70" t="s">
        <v>134</v>
      </c>
      <c r="R108" s="63">
        <f>J117/R106</f>
        <v>0.25847039681669887</v>
      </c>
      <c r="S108" s="71"/>
      <c r="T108" s="65" t="s">
        <v>135</v>
      </c>
      <c r="U108" s="72">
        <f>O112</f>
        <v>18096.740388325776</v>
      </c>
      <c r="V108" s="73"/>
      <c r="W108" s="65" t="s">
        <v>136</v>
      </c>
      <c r="X108" s="72">
        <f>R115</f>
        <v>186512.04679002674</v>
      </c>
    </row>
    <row r="109" spans="1:24" ht="15.75">
      <c r="H109" s="36" t="s">
        <v>94</v>
      </c>
      <c r="I109" s="60">
        <f>ONSV_AUX_2014!N32</f>
        <v>4904333</v>
      </c>
      <c r="J109" s="10"/>
      <c r="K109" s="2" t="s">
        <v>2</v>
      </c>
      <c r="L109" s="63">
        <f>I116/L106</f>
        <v>0.11638895780611654</v>
      </c>
      <c r="M109" s="20"/>
      <c r="N109" s="20"/>
      <c r="O109" s="74"/>
      <c r="P109" s="48"/>
      <c r="Q109" s="48"/>
      <c r="R109" s="48"/>
      <c r="S109" s="48"/>
      <c r="T109" s="48"/>
      <c r="U109" s="62"/>
      <c r="V109" s="75"/>
      <c r="W109" s="48"/>
      <c r="X109" s="62"/>
    </row>
    <row r="110" spans="1:24" ht="15.75">
      <c r="K110" s="2" t="s">
        <v>3</v>
      </c>
      <c r="L110" s="63">
        <f>I117/L106</f>
        <v>4.0568980631502341E-2</v>
      </c>
      <c r="M110" s="20"/>
      <c r="N110" s="28" t="s">
        <v>137</v>
      </c>
      <c r="O110" s="60">
        <f>IF(O108*I105&gt;J122,J122,O108*I105)</f>
        <v>22973.145527087978</v>
      </c>
      <c r="P110" s="76"/>
      <c r="Q110" s="65" t="s">
        <v>138</v>
      </c>
      <c r="R110" s="60">
        <f>I106-I114-I115-I118-I121</f>
        <v>227327</v>
      </c>
      <c r="S110" s="77"/>
      <c r="T110" s="65" t="s">
        <v>139</v>
      </c>
      <c r="U110" s="67">
        <f>O118</f>
        <v>2828014.8544729124</v>
      </c>
      <c r="V110" s="76"/>
      <c r="W110" s="65" t="s">
        <v>140</v>
      </c>
      <c r="X110" s="67">
        <f>I114</f>
        <v>304866</v>
      </c>
    </row>
    <row r="111" spans="1:24" ht="15.75">
      <c r="H111" s="24" t="s">
        <v>141</v>
      </c>
      <c r="K111" s="2" t="s">
        <v>0</v>
      </c>
      <c r="L111" s="63">
        <f>I122/L106</f>
        <v>6.7931986966373904E-3</v>
      </c>
      <c r="O111" s="48"/>
      <c r="P111" s="76"/>
      <c r="Q111" s="65" t="s">
        <v>142</v>
      </c>
      <c r="R111" s="60">
        <f>R107*R110</f>
        <v>168569.7001028503</v>
      </c>
      <c r="S111" s="48"/>
      <c r="T111" s="65" t="s">
        <v>143</v>
      </c>
      <c r="U111" s="67">
        <f>O116</f>
        <v>432025</v>
      </c>
      <c r="V111" s="66"/>
      <c r="W111" s="65" t="s">
        <v>144</v>
      </c>
      <c r="X111" s="67">
        <f>I115</f>
        <v>58681</v>
      </c>
    </row>
    <row r="112" spans="1:24" ht="15.75">
      <c r="K112" s="11"/>
      <c r="L112" s="11"/>
      <c r="M112" s="11"/>
      <c r="N112" s="28" t="s">
        <v>145</v>
      </c>
      <c r="O112" s="60">
        <f>J122-O110</f>
        <v>18096.740388325776</v>
      </c>
      <c r="P112" s="76"/>
      <c r="Q112" s="65" t="s">
        <v>127</v>
      </c>
      <c r="R112" s="60">
        <f>R108*R110</f>
        <v>58757.2998971497</v>
      </c>
      <c r="S112" s="48"/>
      <c r="T112" s="65" t="s">
        <v>146</v>
      </c>
      <c r="U112" s="67">
        <f>O117</f>
        <v>33829</v>
      </c>
      <c r="V112" s="71"/>
      <c r="W112" s="48"/>
      <c r="X112" s="62"/>
    </row>
    <row r="113" spans="8:24" ht="15.75">
      <c r="H113" s="37" t="s">
        <v>103</v>
      </c>
      <c r="I113" s="60">
        <f>ONSV_AUX_2014!N56</f>
        <v>5055877</v>
      </c>
      <c r="J113" s="61">
        <f>I113-(L108*I107)</f>
        <v>5055739.8551864903</v>
      </c>
      <c r="K113" s="11"/>
      <c r="L113" s="11"/>
      <c r="M113" s="11"/>
      <c r="O113" s="76"/>
      <c r="P113" s="76"/>
      <c r="Q113" s="48"/>
      <c r="R113" s="78"/>
      <c r="S113" s="48"/>
      <c r="T113" s="65" t="s">
        <v>147</v>
      </c>
      <c r="U113" s="68">
        <f>I113-J113</f>
        <v>137.14481350965798</v>
      </c>
      <c r="V113" s="71"/>
      <c r="W113" s="65" t="s">
        <v>148</v>
      </c>
      <c r="X113" s="67">
        <f>I121</f>
        <v>69459</v>
      </c>
    </row>
    <row r="114" spans="8:24" ht="15.75">
      <c r="H114" s="37" t="s">
        <v>104</v>
      </c>
      <c r="I114" s="60">
        <f>ONSV_AUX_2014!N57</f>
        <v>304866</v>
      </c>
      <c r="J114" s="10">
        <f>I114</f>
        <v>304866</v>
      </c>
      <c r="K114" s="11"/>
      <c r="L114" s="11"/>
      <c r="M114" s="11"/>
      <c r="N114" s="26" t="s">
        <v>149</v>
      </c>
      <c r="O114" s="76"/>
      <c r="P114" s="76"/>
      <c r="Q114" s="65" t="s">
        <v>150</v>
      </c>
      <c r="R114" s="60">
        <f>J116-R111</f>
        <v>535087.21210806945</v>
      </c>
      <c r="S114" s="48"/>
      <c r="T114" s="65" t="s">
        <v>151</v>
      </c>
      <c r="U114" s="72">
        <f>O119</f>
        <v>1761871.000713578</v>
      </c>
      <c r="V114" s="48"/>
      <c r="W114" s="65" t="s">
        <v>152</v>
      </c>
      <c r="X114" s="67">
        <f>I118</f>
        <v>40370</v>
      </c>
    </row>
    <row r="115" spans="8:24" ht="15.75">
      <c r="H115" s="37" t="s">
        <v>105</v>
      </c>
      <c r="I115" s="60">
        <f>ONSV_AUX_2014!N58</f>
        <v>58681</v>
      </c>
      <c r="J115" s="10">
        <f>I115</f>
        <v>58681</v>
      </c>
      <c r="K115" s="11"/>
      <c r="L115" s="11"/>
      <c r="M115" s="11"/>
      <c r="O115" s="73"/>
      <c r="P115" s="76"/>
      <c r="Q115" s="65" t="s">
        <v>136</v>
      </c>
      <c r="R115" s="60">
        <f>J117-R112</f>
        <v>186512.04679002674</v>
      </c>
      <c r="S115" s="48"/>
      <c r="T115" s="48"/>
      <c r="U115" s="62"/>
      <c r="V115" s="77"/>
      <c r="W115" s="48"/>
      <c r="X115" s="62"/>
    </row>
    <row r="116" spans="8:24" ht="15.75">
      <c r="H116" s="37" t="s">
        <v>106</v>
      </c>
      <c r="I116" s="60">
        <f>ONSV_AUX_2014!N59</f>
        <v>703676</v>
      </c>
      <c r="J116" s="61">
        <f>I116-(L109*I107)</f>
        <v>703656.91221091978</v>
      </c>
      <c r="K116" s="11"/>
      <c r="L116" s="11"/>
      <c r="M116" s="11"/>
      <c r="N116" s="28" t="s">
        <v>143</v>
      </c>
      <c r="O116" s="60">
        <f>I104</f>
        <v>432025</v>
      </c>
      <c r="P116" s="76"/>
      <c r="Q116" s="48"/>
      <c r="R116" s="48"/>
      <c r="S116" s="77"/>
      <c r="T116" s="65" t="s">
        <v>142</v>
      </c>
      <c r="U116" s="68">
        <f>R111</f>
        <v>168569.7001028503</v>
      </c>
      <c r="V116" s="48"/>
      <c r="W116" s="65" t="s">
        <v>153</v>
      </c>
      <c r="X116" s="67">
        <f>I119</f>
        <v>2161244</v>
      </c>
    </row>
    <row r="117" spans="8:24" ht="15.75">
      <c r="H117" s="37" t="s">
        <v>107</v>
      </c>
      <c r="I117" s="60">
        <f>ONSV_AUX_2014!N60</f>
        <v>245276</v>
      </c>
      <c r="J117" s="61">
        <f>I117-(L110*I107)</f>
        <v>245269.34668717644</v>
      </c>
      <c r="K117" s="11"/>
      <c r="L117" s="11"/>
      <c r="M117" s="11"/>
      <c r="N117" s="28" t="s">
        <v>146</v>
      </c>
      <c r="O117" s="60">
        <f>I108</f>
        <v>33829</v>
      </c>
      <c r="P117" s="76"/>
      <c r="Q117" s="48"/>
      <c r="R117" s="48"/>
      <c r="S117" s="48"/>
      <c r="T117" s="65" t="s">
        <v>154</v>
      </c>
      <c r="U117" s="68">
        <f>I116-J116</f>
        <v>19.087789080222137</v>
      </c>
      <c r="V117" s="48"/>
      <c r="W117" s="65" t="s">
        <v>155</v>
      </c>
      <c r="X117" s="67">
        <f>I120</f>
        <v>233639</v>
      </c>
    </row>
    <row r="118" spans="8:24" ht="15.75">
      <c r="H118" s="37" t="s">
        <v>108</v>
      </c>
      <c r="I118" s="60">
        <f>ONSV_AUX_2014!N61</f>
        <v>40370</v>
      </c>
      <c r="J118" s="10">
        <f>I118</f>
        <v>40370</v>
      </c>
      <c r="K118" s="11"/>
      <c r="L118" s="11"/>
      <c r="M118" s="11"/>
      <c r="N118" s="28" t="s">
        <v>139</v>
      </c>
      <c r="O118" s="60">
        <f>IF(OR((O107*I105&gt;J113),((O116+O117+(O107*I105))&gt;J113)),(J113-O116-O117),(O107*I105))</f>
        <v>2828014.8544729124</v>
      </c>
      <c r="P118" s="76"/>
      <c r="Q118" s="48"/>
      <c r="R118" s="78"/>
      <c r="S118" s="48"/>
      <c r="T118" s="65" t="s">
        <v>150</v>
      </c>
      <c r="U118" s="72">
        <f>R114</f>
        <v>535087.21210806945</v>
      </c>
      <c r="V118" s="48"/>
      <c r="W118" s="48"/>
      <c r="X118" s="48"/>
    </row>
    <row r="119" spans="8:24" ht="15.75">
      <c r="H119" s="37" t="s">
        <v>109</v>
      </c>
      <c r="I119" s="60">
        <f>ONSV_AUX_2014!N62</f>
        <v>2161244</v>
      </c>
      <c r="J119" s="10">
        <f>I119</f>
        <v>2161244</v>
      </c>
      <c r="K119" s="11"/>
      <c r="L119" s="11"/>
      <c r="M119" s="11"/>
      <c r="N119" s="28" t="s">
        <v>151</v>
      </c>
      <c r="O119" s="60">
        <f>IF((J113-O116-O118-O117)&lt;0,0,(J113-O116-O118-O117))</f>
        <v>1761871.000713578</v>
      </c>
      <c r="P119" s="48"/>
      <c r="Q119" s="48"/>
      <c r="R119" s="48"/>
      <c r="S119" s="48"/>
      <c r="T119" s="48"/>
      <c r="U119" s="62"/>
      <c r="V119" s="48"/>
      <c r="W119" s="48"/>
      <c r="X119" s="48"/>
    </row>
    <row r="120" spans="8:24" ht="15.75">
      <c r="H120" s="37" t="s">
        <v>110</v>
      </c>
      <c r="I120" s="60">
        <f>ONSV_AUX_2014!N63</f>
        <v>233639</v>
      </c>
      <c r="J120" s="10">
        <f>I120</f>
        <v>233639</v>
      </c>
      <c r="K120" s="11"/>
      <c r="L120" s="11"/>
      <c r="M120" s="11"/>
      <c r="O120" s="48"/>
      <c r="P120" s="76"/>
      <c r="Q120" s="48"/>
      <c r="R120" s="48"/>
      <c r="S120" s="48"/>
      <c r="T120" s="79" t="s">
        <v>156</v>
      </c>
      <c r="U120" s="80">
        <f>(SUM(U106:U118,X106:X117)/SUM(I113:I122))-1</f>
        <v>0</v>
      </c>
      <c r="V120" s="48"/>
      <c r="W120" s="79" t="s">
        <v>10</v>
      </c>
      <c r="X120" s="67">
        <f>SUM(U106:U118,X106:X117)</f>
        <v>8914159</v>
      </c>
    </row>
    <row r="121" spans="8:24" ht="15.75">
      <c r="H121" s="37" t="s">
        <v>111</v>
      </c>
      <c r="I121" s="60">
        <f>ONSV_AUX_2014!N64</f>
        <v>69459</v>
      </c>
      <c r="J121" s="10">
        <f>I121</f>
        <v>69459</v>
      </c>
      <c r="K121" s="11"/>
      <c r="L121" s="11"/>
      <c r="M121" s="11"/>
      <c r="O121" s="48"/>
      <c r="P121" s="76"/>
      <c r="Q121" s="48"/>
      <c r="R121" s="48"/>
      <c r="S121" s="48"/>
      <c r="T121" s="48"/>
      <c r="U121" s="48"/>
      <c r="V121" s="48"/>
      <c r="W121" s="48"/>
      <c r="X121" s="48"/>
    </row>
    <row r="122" spans="8:24" ht="15.75">
      <c r="H122" s="37" t="s">
        <v>112</v>
      </c>
      <c r="I122" s="60">
        <f>ONSV_AUX_2014!N65</f>
        <v>41071</v>
      </c>
      <c r="J122" s="61">
        <f>I122-(L111*I107)</f>
        <v>41069.885915413754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A1:F1"/>
    <mergeCell ref="Q4:R4"/>
    <mergeCell ref="T4:X4"/>
    <mergeCell ref="K5:L5"/>
    <mergeCell ref="K29:L29"/>
    <mergeCell ref="A25:F25"/>
    <mergeCell ref="A50:F50"/>
    <mergeCell ref="T27:X27"/>
    <mergeCell ref="T52:X52"/>
    <mergeCell ref="K104:L104"/>
    <mergeCell ref="A75:F75"/>
    <mergeCell ref="K54:L54"/>
    <mergeCell ref="K79:L79"/>
    <mergeCell ref="A100:F10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0.39997558519241921"/>
  </sheetPr>
  <dimension ref="A1:X122"/>
  <sheetViews>
    <sheetView showGridLines="0" zoomScale="90" zoomScaleNormal="90" workbookViewId="0">
      <selection activeCell="L14" sqref="L14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  <col min="27" max="28" width="10" bestFit="1" customWidth="1"/>
    <col min="30" max="30" width="10" bestFit="1" customWidth="1"/>
  </cols>
  <sheetData>
    <row r="1" spans="1:24" s="31" customFormat="1" ht="15.75">
      <c r="A1" s="101" t="str">
        <f>"PARÁ/"&amp;ONSV_AUX_2018!$A$1&amp;""</f>
        <v>PARÁ/2018</v>
      </c>
      <c r="B1" s="102"/>
      <c r="C1" s="102"/>
      <c r="D1" s="102"/>
      <c r="E1" s="102"/>
      <c r="F1" s="102"/>
    </row>
    <row r="2" spans="1:24" s="4" customFormat="1" ht="15.75">
      <c r="A2" s="32"/>
      <c r="B2" s="32"/>
      <c r="C2" s="32"/>
      <c r="D2" s="32"/>
      <c r="E2" s="32"/>
      <c r="F2" s="32"/>
    </row>
    <row r="3" spans="1:24" ht="15.75">
      <c r="A3" s="12"/>
      <c r="H3" s="23" t="s">
        <v>118</v>
      </c>
    </row>
    <row r="4" spans="1:24" ht="15.75">
      <c r="B4" s="5"/>
      <c r="J4" s="9"/>
      <c r="M4" s="25"/>
      <c r="N4" s="25"/>
      <c r="O4" s="25"/>
      <c r="P4" s="25"/>
      <c r="Q4" s="103"/>
      <c r="R4" s="103"/>
      <c r="S4" s="22"/>
      <c r="T4" s="104"/>
      <c r="U4" s="104"/>
      <c r="V4" s="104"/>
      <c r="W4" s="104"/>
      <c r="X4" s="104"/>
    </row>
    <row r="5" spans="1:24" ht="15.75">
      <c r="H5" s="36" t="s">
        <v>81</v>
      </c>
      <c r="I5" s="60">
        <f>ONSV_AUX_2018!O27</f>
        <v>23852</v>
      </c>
      <c r="J5" s="9"/>
      <c r="K5" s="104" t="s">
        <v>119</v>
      </c>
      <c r="L5" s="104"/>
      <c r="M5" s="9"/>
      <c r="N5" s="26" t="s">
        <v>120</v>
      </c>
      <c r="O5" s="26"/>
      <c r="Q5" s="26" t="s">
        <v>121</v>
      </c>
      <c r="R5" s="26"/>
      <c r="S5" s="26"/>
      <c r="T5" s="25" t="s">
        <v>122</v>
      </c>
      <c r="U5" s="25"/>
      <c r="V5" s="25"/>
      <c r="W5" s="25"/>
      <c r="X5" s="25"/>
    </row>
    <row r="6" spans="1:24" ht="15.75">
      <c r="H6" s="36" t="s">
        <v>84</v>
      </c>
      <c r="I6" s="60">
        <f>ONSV_AUX_2018!O28</f>
        <v>782894</v>
      </c>
      <c r="J6" s="9"/>
      <c r="K6" s="9"/>
      <c r="L6" s="9"/>
      <c r="M6" s="9"/>
      <c r="N6" s="9"/>
      <c r="O6" s="9"/>
      <c r="P6" s="20"/>
      <c r="Q6" s="11"/>
      <c r="R6" s="11"/>
      <c r="S6" s="11"/>
    </row>
    <row r="7" spans="1:24" ht="15.75">
      <c r="H7" s="36" t="s">
        <v>85</v>
      </c>
      <c r="I7" s="60">
        <f>ONSV_AUX_2018!O29</f>
        <v>180324</v>
      </c>
      <c r="J7" s="9"/>
      <c r="K7" s="2" t="s">
        <v>123</v>
      </c>
      <c r="L7" s="60">
        <f>I14+I17+I18+I23</f>
        <v>782120</v>
      </c>
      <c r="N7" s="28" t="s">
        <v>124</v>
      </c>
      <c r="O7" s="60">
        <f>J14+J23</f>
        <v>598585.41178975091</v>
      </c>
      <c r="P7" s="64"/>
      <c r="Q7" s="65" t="s">
        <v>125</v>
      </c>
      <c r="R7" s="60">
        <f>J17+J18</f>
        <v>183383.58821024906</v>
      </c>
      <c r="S7" s="66"/>
      <c r="T7" s="65" t="s">
        <v>126</v>
      </c>
      <c r="U7" s="67">
        <f>O11</f>
        <v>13329.426057382499</v>
      </c>
      <c r="V7" s="48"/>
      <c r="W7" s="65" t="s">
        <v>127</v>
      </c>
      <c r="X7" s="68">
        <f>R13</f>
        <v>18247.430244413066</v>
      </c>
    </row>
    <row r="8" spans="1:24" ht="15.75">
      <c r="H8" s="36" t="s">
        <v>101</v>
      </c>
      <c r="I8" s="60">
        <f>ONSV_AUX_2018!O30</f>
        <v>151</v>
      </c>
      <c r="J8" s="9"/>
      <c r="K8" s="27"/>
      <c r="L8" s="62"/>
      <c r="M8" s="20"/>
      <c r="N8" s="28" t="s">
        <v>128</v>
      </c>
      <c r="O8" s="69">
        <f>J14/O7</f>
        <v>0.97773178932388627</v>
      </c>
      <c r="P8" s="64"/>
      <c r="Q8" s="70" t="s">
        <v>129</v>
      </c>
      <c r="R8" s="63">
        <f>J17/R7</f>
        <v>0.78732846651655497</v>
      </c>
      <c r="S8" s="71"/>
      <c r="T8" s="65" t="s">
        <v>130</v>
      </c>
      <c r="U8" s="67">
        <f>I23-J23</f>
        <v>2.5739426175005065</v>
      </c>
      <c r="V8" s="48"/>
      <c r="W8" s="65" t="s">
        <v>131</v>
      </c>
      <c r="X8" s="68">
        <f>I18-J18</f>
        <v>7.5310796297271736</v>
      </c>
    </row>
    <row r="9" spans="1:24" ht="15.75">
      <c r="H9" s="36" t="s">
        <v>16</v>
      </c>
      <c r="I9" s="60">
        <f>ONSV_AUX_2018!O31</f>
        <v>363</v>
      </c>
      <c r="J9" s="9"/>
      <c r="K9" s="2" t="s">
        <v>132</v>
      </c>
      <c r="L9" s="63">
        <f>I14/L7</f>
        <v>0.74843885848718872</v>
      </c>
      <c r="M9" s="20"/>
      <c r="N9" s="28" t="s">
        <v>133</v>
      </c>
      <c r="O9" s="69">
        <f>J23/O7</f>
        <v>2.2268210676113787E-2</v>
      </c>
      <c r="P9" s="64"/>
      <c r="Q9" s="70" t="s">
        <v>134</v>
      </c>
      <c r="R9" s="63">
        <f>J18/R7</f>
        <v>0.212671533483445</v>
      </c>
      <c r="S9" s="71"/>
      <c r="T9" s="65" t="s">
        <v>135</v>
      </c>
      <c r="U9" s="72">
        <f>O13</f>
        <v>0</v>
      </c>
      <c r="V9" s="73"/>
      <c r="W9" s="65" t="s">
        <v>136</v>
      </c>
      <c r="X9" s="72">
        <f>R16</f>
        <v>20753.038675957207</v>
      </c>
    </row>
    <row r="10" spans="1:24" ht="15.75">
      <c r="H10" s="36" t="s">
        <v>94</v>
      </c>
      <c r="I10" s="60">
        <f>ONSV_AUX_2018!O32</f>
        <v>932801</v>
      </c>
      <c r="J10" s="10"/>
      <c r="K10" s="2" t="s">
        <v>2</v>
      </c>
      <c r="L10" s="63">
        <f>I17/L7</f>
        <v>0.18464046437886769</v>
      </c>
      <c r="M10" s="20"/>
      <c r="N10" s="20"/>
      <c r="O10" s="74"/>
      <c r="P10" s="48"/>
      <c r="Q10" s="48"/>
      <c r="R10" s="48"/>
      <c r="S10" s="48"/>
      <c r="T10" s="48"/>
      <c r="U10" s="62"/>
      <c r="V10" s="75"/>
      <c r="W10" s="48"/>
      <c r="X10" s="62"/>
    </row>
    <row r="11" spans="1:24" ht="15.75">
      <c r="K11" s="2" t="s">
        <v>3</v>
      </c>
      <c r="L11" s="63">
        <f>I18/L7</f>
        <v>4.987469953459827E-2</v>
      </c>
      <c r="M11" s="20"/>
      <c r="N11" s="28" t="s">
        <v>137</v>
      </c>
      <c r="O11" s="60">
        <f>IF(O9*I6&gt;J23,J23,O9*I6)</f>
        <v>13329.426057382499</v>
      </c>
      <c r="P11" s="76"/>
      <c r="Q11" s="65" t="s">
        <v>138</v>
      </c>
      <c r="R11" s="60">
        <f>I7-I15-I16-I19-I22</f>
        <v>85801</v>
      </c>
      <c r="S11" s="77"/>
      <c r="T11" s="65" t="s">
        <v>139</v>
      </c>
      <c r="U11" s="67">
        <f>O19</f>
        <v>561040.98573236843</v>
      </c>
      <c r="V11" s="76"/>
      <c r="W11" s="65" t="s">
        <v>140</v>
      </c>
      <c r="X11" s="67">
        <f>I15</f>
        <v>61412</v>
      </c>
    </row>
    <row r="12" spans="1:24" ht="15.75">
      <c r="H12" s="24" t="s">
        <v>141</v>
      </c>
      <c r="K12" s="2" t="s">
        <v>0</v>
      </c>
      <c r="L12" s="63">
        <f>I23/L7</f>
        <v>1.7045977599345369E-2</v>
      </c>
      <c r="O12" s="48"/>
      <c r="P12" s="76"/>
      <c r="Q12" s="65" t="s">
        <v>142</v>
      </c>
      <c r="R12" s="60">
        <f>R8*R11</f>
        <v>67553.569755586926</v>
      </c>
      <c r="S12" s="48"/>
      <c r="T12" s="65" t="s">
        <v>143</v>
      </c>
      <c r="U12" s="67">
        <f>O17</f>
        <v>23852</v>
      </c>
      <c r="V12" s="66"/>
      <c r="W12" s="65" t="s">
        <v>144</v>
      </c>
      <c r="X12" s="67">
        <f>I16</f>
        <v>8253</v>
      </c>
    </row>
    <row r="13" spans="1:24" ht="15.75">
      <c r="K13" s="11"/>
      <c r="L13" s="11"/>
      <c r="M13" s="11"/>
      <c r="N13" s="28" t="s">
        <v>145</v>
      </c>
      <c r="O13" s="60">
        <f>J23-O11</f>
        <v>0</v>
      </c>
      <c r="P13" s="76"/>
      <c r="Q13" s="65" t="s">
        <v>127</v>
      </c>
      <c r="R13" s="60">
        <f>R9*R11</f>
        <v>18247.430244413066</v>
      </c>
      <c r="S13" s="48"/>
      <c r="T13" s="65" t="s">
        <v>146</v>
      </c>
      <c r="U13" s="67">
        <f>O18</f>
        <v>363</v>
      </c>
      <c r="V13" s="71"/>
      <c r="W13" s="48"/>
      <c r="X13" s="62"/>
    </row>
    <row r="14" spans="1:24" ht="15.75">
      <c r="H14" s="37" t="s">
        <v>103</v>
      </c>
      <c r="I14" s="60">
        <f>ONSV_AUX_2018!O56</f>
        <v>585369</v>
      </c>
      <c r="J14" s="61">
        <f>I14-(L9*I8)</f>
        <v>585255.98573236843</v>
      </c>
      <c r="K14" s="11"/>
      <c r="L14" s="11"/>
      <c r="M14" s="11"/>
      <c r="O14" s="76"/>
      <c r="P14" s="76"/>
      <c r="Q14" s="48"/>
      <c r="R14" s="78"/>
      <c r="S14" s="48"/>
      <c r="T14" s="65" t="s">
        <v>147</v>
      </c>
      <c r="U14" s="68">
        <f>I14-J14</f>
        <v>113.0142676315736</v>
      </c>
      <c r="V14" s="71"/>
      <c r="W14" s="65" t="s">
        <v>148</v>
      </c>
      <c r="X14" s="67">
        <f>I22</f>
        <v>18237</v>
      </c>
    </row>
    <row r="15" spans="1:24" ht="15.75">
      <c r="H15" s="37" t="s">
        <v>104</v>
      </c>
      <c r="I15" s="60">
        <f>ONSV_AUX_2018!O57</f>
        <v>61412</v>
      </c>
      <c r="J15" s="10">
        <f>I15</f>
        <v>61412</v>
      </c>
      <c r="K15" s="11"/>
      <c r="L15" s="11"/>
      <c r="M15" s="11"/>
      <c r="N15" s="26" t="s">
        <v>149</v>
      </c>
      <c r="O15" s="76"/>
      <c r="P15" s="76"/>
      <c r="Q15" s="65" t="s">
        <v>150</v>
      </c>
      <c r="R15" s="60">
        <f>J17-R12</f>
        <v>76829.549534291858</v>
      </c>
      <c r="S15" s="48"/>
      <c r="T15" s="65" t="s">
        <v>151</v>
      </c>
      <c r="U15" s="72">
        <f>O20</f>
        <v>0</v>
      </c>
      <c r="V15" s="48"/>
      <c r="W15" s="65" t="s">
        <v>152</v>
      </c>
      <c r="X15" s="67">
        <f>I19</f>
        <v>6621</v>
      </c>
    </row>
    <row r="16" spans="1:24" ht="15.75">
      <c r="H16" s="37" t="s">
        <v>105</v>
      </c>
      <c r="I16" s="60">
        <f>ONSV_AUX_2018!O58</f>
        <v>8253</v>
      </c>
      <c r="J16" s="10">
        <f>I16</f>
        <v>8253</v>
      </c>
      <c r="K16" s="11"/>
      <c r="L16" s="11"/>
      <c r="M16" s="11"/>
      <c r="O16" s="73"/>
      <c r="P16" s="76"/>
      <c r="Q16" s="65" t="s">
        <v>136</v>
      </c>
      <c r="R16" s="60">
        <f>J18-R13</f>
        <v>20753.038675957207</v>
      </c>
      <c r="S16" s="48"/>
      <c r="T16" s="48"/>
      <c r="U16" s="62"/>
      <c r="V16" s="77"/>
      <c r="W16" s="48"/>
      <c r="X16" s="62"/>
    </row>
    <row r="17" spans="1:24" ht="15.75">
      <c r="H17" s="37" t="s">
        <v>106</v>
      </c>
      <c r="I17" s="60">
        <f>ONSV_AUX_2018!O59</f>
        <v>144411</v>
      </c>
      <c r="J17" s="61">
        <f>I17-(L10*I8)</f>
        <v>144383.11928987878</v>
      </c>
      <c r="K17" s="11"/>
      <c r="L17" s="11"/>
      <c r="M17" s="11"/>
      <c r="N17" s="28" t="s">
        <v>143</v>
      </c>
      <c r="O17" s="60">
        <f>I5</f>
        <v>23852</v>
      </c>
      <c r="P17" s="76"/>
      <c r="Q17" s="48"/>
      <c r="R17" s="48"/>
      <c r="S17" s="77"/>
      <c r="T17" s="65" t="s">
        <v>142</v>
      </c>
      <c r="U17" s="68">
        <f>R12</f>
        <v>67553.569755586926</v>
      </c>
      <c r="V17" s="48"/>
      <c r="W17" s="65" t="s">
        <v>153</v>
      </c>
      <c r="X17" s="67">
        <f>I20</f>
        <v>855702</v>
      </c>
    </row>
    <row r="18" spans="1:24" ht="15.75">
      <c r="H18" s="37" t="s">
        <v>107</v>
      </c>
      <c r="I18" s="60">
        <f>ONSV_AUX_2018!O60</f>
        <v>39008</v>
      </c>
      <c r="J18" s="61">
        <f>I18-(L11*I8)</f>
        <v>39000.468920370273</v>
      </c>
      <c r="K18" s="11"/>
      <c r="L18" s="11"/>
      <c r="M18" s="11"/>
      <c r="N18" s="28" t="s">
        <v>146</v>
      </c>
      <c r="O18" s="60">
        <f>I9</f>
        <v>363</v>
      </c>
      <c r="P18" s="76"/>
      <c r="Q18" s="48"/>
      <c r="R18" s="48"/>
      <c r="S18" s="48"/>
      <c r="T18" s="65" t="s">
        <v>154</v>
      </c>
      <c r="U18" s="68">
        <f>I17-J17</f>
        <v>27.880710121215088</v>
      </c>
      <c r="V18" s="48"/>
      <c r="W18" s="65" t="s">
        <v>155</v>
      </c>
      <c r="X18" s="67">
        <f>I21</f>
        <v>187190</v>
      </c>
    </row>
    <row r="19" spans="1:24" ht="15.75">
      <c r="H19" s="37" t="s">
        <v>108</v>
      </c>
      <c r="I19" s="60">
        <f>ONSV_AUX_2018!O61</f>
        <v>6621</v>
      </c>
      <c r="J19" s="10">
        <f>I19</f>
        <v>6621</v>
      </c>
      <c r="K19" s="11"/>
      <c r="L19" s="11"/>
      <c r="M19" s="11"/>
      <c r="N19" s="28" t="s">
        <v>139</v>
      </c>
      <c r="O19" s="60">
        <f>IF(OR((O8*I6&gt;J14),((O17+O18+(O8*I6))&gt;J14)),(J14-O17-O18),(O8*I6))</f>
        <v>561040.98573236843</v>
      </c>
      <c r="P19" s="76"/>
      <c r="Q19" s="48"/>
      <c r="R19" s="78"/>
      <c r="S19" s="48"/>
      <c r="T19" s="65" t="s">
        <v>150</v>
      </c>
      <c r="U19" s="72">
        <f>R15</f>
        <v>76829.549534291858</v>
      </c>
      <c r="V19" s="48"/>
      <c r="W19" s="48"/>
      <c r="X19" s="48"/>
    </row>
    <row r="20" spans="1:24" ht="15.75">
      <c r="H20" s="37" t="s">
        <v>109</v>
      </c>
      <c r="I20" s="60">
        <f>ONSV_AUX_2018!O62</f>
        <v>855702</v>
      </c>
      <c r="J20" s="10">
        <f t="shared" ref="J20:J22" si="0">I20</f>
        <v>855702</v>
      </c>
      <c r="K20" s="11"/>
      <c r="L20" s="11"/>
      <c r="M20" s="11"/>
      <c r="N20" s="28" t="s">
        <v>151</v>
      </c>
      <c r="O20" s="60">
        <f>IF((J14-O17-O19-O18)&lt;0,0,(J14-O17-O19-O18))</f>
        <v>0</v>
      </c>
      <c r="P20" s="48"/>
      <c r="Q20" s="48"/>
      <c r="R20" s="48"/>
      <c r="S20" s="48"/>
      <c r="T20" s="48"/>
      <c r="U20" s="62"/>
      <c r="V20" s="48"/>
      <c r="W20" s="48"/>
      <c r="X20" s="48"/>
    </row>
    <row r="21" spans="1:24" ht="15.75">
      <c r="H21" s="37" t="s">
        <v>110</v>
      </c>
      <c r="I21" s="60">
        <f>ONSV_AUX_2018!O63</f>
        <v>187190</v>
      </c>
      <c r="J21" s="10">
        <f t="shared" si="0"/>
        <v>187190</v>
      </c>
      <c r="K21" s="11"/>
      <c r="L21" s="11"/>
      <c r="M21" s="11"/>
      <c r="O21" s="48"/>
      <c r="P21" s="76"/>
      <c r="Q21" s="48"/>
      <c r="R21" s="48"/>
      <c r="S21" s="48"/>
      <c r="T21" s="79" t="s">
        <v>156</v>
      </c>
      <c r="U21" s="80">
        <f>(SUM(U7:U19,X7:X18)/SUM(I14:I23))-1</f>
        <v>0</v>
      </c>
      <c r="V21" s="48"/>
      <c r="W21" s="79" t="s">
        <v>10</v>
      </c>
      <c r="X21" s="67">
        <f>SUM(U7:U19,X7:X18)</f>
        <v>1919535</v>
      </c>
    </row>
    <row r="22" spans="1:24" ht="15.75">
      <c r="H22" s="37" t="s">
        <v>111</v>
      </c>
      <c r="I22" s="60">
        <f>ONSV_AUX_2018!O64</f>
        <v>18237</v>
      </c>
      <c r="J22" s="10">
        <f t="shared" si="0"/>
        <v>18237</v>
      </c>
      <c r="K22" s="11"/>
      <c r="L22" s="11"/>
      <c r="M22" s="11"/>
      <c r="O22" s="48"/>
      <c r="P22" s="76"/>
      <c r="Q22" s="48"/>
      <c r="R22" s="48"/>
      <c r="S22" s="48"/>
      <c r="T22" s="48"/>
      <c r="U22" s="48"/>
      <c r="V22" s="48"/>
      <c r="W22" s="48"/>
      <c r="X22" s="48"/>
    </row>
    <row r="23" spans="1:24" ht="15.75">
      <c r="H23" s="37" t="s">
        <v>112</v>
      </c>
      <c r="I23" s="60">
        <f>ONSV_AUX_2018!O65</f>
        <v>13332</v>
      </c>
      <c r="J23" s="61">
        <f>I23-(L12*I8)</f>
        <v>13329.426057382499</v>
      </c>
      <c r="K23" s="12"/>
      <c r="L23" s="12"/>
      <c r="M23" s="12"/>
      <c r="N23" s="12"/>
      <c r="O23" s="12"/>
      <c r="P23" s="12"/>
      <c r="Q23" s="4"/>
      <c r="R23" s="4"/>
    </row>
    <row r="25" spans="1:24" s="34" customFormat="1" ht="15.75">
      <c r="A25" s="101" t="str">
        <f>"PARÁ/"&amp;ONSV_AUX_2017!$A$1&amp;""</f>
        <v>PARÁ/2017</v>
      </c>
      <c r="B25" s="102"/>
      <c r="C25" s="102"/>
      <c r="D25" s="102"/>
      <c r="E25" s="102"/>
      <c r="F25" s="102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 spans="1:24" ht="15.75">
      <c r="A26" s="12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>
      <c r="A27" s="12"/>
      <c r="H27" s="23" t="s">
        <v>118</v>
      </c>
      <c r="N27" s="26"/>
      <c r="O27" s="26"/>
      <c r="P27" s="9"/>
      <c r="Q27" s="26"/>
      <c r="R27" s="26"/>
      <c r="S27" s="26"/>
      <c r="T27" s="104"/>
      <c r="U27" s="104"/>
      <c r="V27" s="104"/>
      <c r="W27" s="104"/>
      <c r="X27" s="104"/>
    </row>
    <row r="28" spans="1:24" ht="15.75">
      <c r="B28" s="5"/>
      <c r="J28" s="9"/>
      <c r="M28" s="25"/>
    </row>
    <row r="29" spans="1:24" ht="15.75">
      <c r="H29" s="36" t="s">
        <v>81</v>
      </c>
      <c r="I29" s="60">
        <f>ONSV_AUX_2017!O27</f>
        <v>23811</v>
      </c>
      <c r="J29" s="9"/>
      <c r="K29" s="104" t="s">
        <v>119</v>
      </c>
      <c r="L29" s="104"/>
      <c r="M29" s="9"/>
      <c r="N29" s="26" t="s">
        <v>120</v>
      </c>
      <c r="O29" s="26"/>
      <c r="Q29" s="26" t="s">
        <v>121</v>
      </c>
      <c r="R29" s="26"/>
      <c r="S29" s="26"/>
      <c r="T29" s="25" t="s">
        <v>122</v>
      </c>
      <c r="U29" s="25"/>
      <c r="V29" s="25"/>
      <c r="W29" s="25"/>
      <c r="X29" s="25"/>
    </row>
    <row r="30" spans="1:24" ht="15.75">
      <c r="H30" s="36" t="s">
        <v>84</v>
      </c>
      <c r="I30" s="60">
        <f>ONSV_AUX_2017!O28</f>
        <v>728091</v>
      </c>
      <c r="J30" s="9"/>
      <c r="K30" s="9"/>
      <c r="L30" s="9"/>
      <c r="M30" s="9"/>
      <c r="N30" s="9"/>
      <c r="O30" s="9"/>
      <c r="P30" s="20"/>
      <c r="Q30" s="11"/>
      <c r="R30" s="11"/>
      <c r="S30" s="11"/>
    </row>
    <row r="31" spans="1:24" ht="15.75">
      <c r="H31" s="36" t="s">
        <v>85</v>
      </c>
      <c r="I31" s="60">
        <f>ONSV_AUX_2017!O29</f>
        <v>172197</v>
      </c>
      <c r="J31" s="9"/>
      <c r="K31" s="2" t="s">
        <v>123</v>
      </c>
      <c r="L31" s="60">
        <f>I38+I41+I42+I47</f>
        <v>745791</v>
      </c>
      <c r="N31" s="28" t="s">
        <v>124</v>
      </c>
      <c r="O31" s="60">
        <f>J38+J47</f>
        <v>572734.81689642277</v>
      </c>
      <c r="P31" s="64"/>
      <c r="Q31" s="65" t="s">
        <v>125</v>
      </c>
      <c r="R31" s="60">
        <f>J41+J42</f>
        <v>172949.18310357729</v>
      </c>
      <c r="S31" s="66"/>
      <c r="T31" s="65" t="s">
        <v>126</v>
      </c>
      <c r="U31" s="67">
        <f>O35</f>
        <v>12620.189098554421</v>
      </c>
      <c r="V31" s="48"/>
      <c r="W31" s="65" t="s">
        <v>127</v>
      </c>
      <c r="X31" s="68">
        <f>R37</f>
        <v>17475.923549203926</v>
      </c>
    </row>
    <row r="32" spans="1:24" ht="15.75">
      <c r="H32" s="36" t="s">
        <v>101</v>
      </c>
      <c r="I32" s="60">
        <f>ONSV_AUX_2017!O30</f>
        <v>107</v>
      </c>
      <c r="J32" s="9"/>
      <c r="K32" s="27"/>
      <c r="L32" s="62"/>
      <c r="M32" s="20"/>
      <c r="N32" s="28" t="s">
        <v>128</v>
      </c>
      <c r="O32" s="69">
        <f>J38/O31</f>
        <v>0.97796503944540747</v>
      </c>
      <c r="P32" s="64"/>
      <c r="Q32" s="70" t="s">
        <v>129</v>
      </c>
      <c r="R32" s="63">
        <f>J41/R31</f>
        <v>0.78304253818492953</v>
      </c>
      <c r="S32" s="71"/>
      <c r="T32" s="65" t="s">
        <v>130</v>
      </c>
      <c r="U32" s="67">
        <f>I47-J47</f>
        <v>1.8109014455785655</v>
      </c>
      <c r="V32" s="48"/>
      <c r="W32" s="65" t="s">
        <v>131</v>
      </c>
      <c r="X32" s="68">
        <f>I42-J42</f>
        <v>5.3842108579992782</v>
      </c>
    </row>
    <row r="33" spans="8:24" ht="15.75">
      <c r="H33" s="36" t="s">
        <v>16</v>
      </c>
      <c r="I33" s="60">
        <f>ONSV_AUX_2017!O31</f>
        <v>324</v>
      </c>
      <c r="J33" s="9"/>
      <c r="K33" s="2" t="s">
        <v>132</v>
      </c>
      <c r="L33" s="63">
        <f>I38/L31</f>
        <v>0.75114207599716276</v>
      </c>
      <c r="M33" s="20"/>
      <c r="N33" s="28" t="s">
        <v>133</v>
      </c>
      <c r="O33" s="69">
        <f>J47/O31</f>
        <v>2.2034960554592479E-2</v>
      </c>
      <c r="P33" s="64"/>
      <c r="Q33" s="70" t="s">
        <v>134</v>
      </c>
      <c r="R33" s="63">
        <f>J42/R31</f>
        <v>0.21695746181507047</v>
      </c>
      <c r="S33" s="71"/>
      <c r="T33" s="65" t="s">
        <v>135</v>
      </c>
      <c r="U33" s="72">
        <f>O37</f>
        <v>0</v>
      </c>
      <c r="V33" s="73"/>
      <c r="W33" s="65" t="s">
        <v>136</v>
      </c>
      <c r="X33" s="72">
        <f>R40</f>
        <v>20046.692239938075</v>
      </c>
    </row>
    <row r="34" spans="8:24" ht="15.75">
      <c r="H34" s="36" t="s">
        <v>94</v>
      </c>
      <c r="I34" s="60">
        <f>ONSV_AUX_2017!O32</f>
        <v>907120</v>
      </c>
      <c r="J34" s="10"/>
      <c r="K34" s="2" t="s">
        <v>2</v>
      </c>
      <c r="L34" s="63">
        <f>I41/L31</f>
        <v>0.1816138837824538</v>
      </c>
      <c r="M34" s="20"/>
      <c r="N34" s="20"/>
      <c r="O34" s="74"/>
      <c r="P34" s="48"/>
      <c r="Q34" s="48"/>
      <c r="R34" s="48"/>
      <c r="S34" s="48"/>
      <c r="T34" s="48"/>
      <c r="U34" s="62"/>
      <c r="V34" s="75"/>
      <c r="W34" s="48"/>
      <c r="X34" s="62"/>
    </row>
    <row r="35" spans="8:24" ht="15.75">
      <c r="K35" s="2" t="s">
        <v>3</v>
      </c>
      <c r="L35" s="63">
        <f>I42/L31</f>
        <v>5.0319727644876376E-2</v>
      </c>
      <c r="M35" s="20"/>
      <c r="N35" s="28" t="s">
        <v>137</v>
      </c>
      <c r="O35" s="60">
        <f>IF(O33*I30&gt;J47,J47,O33*I30)</f>
        <v>12620.189098554421</v>
      </c>
      <c r="P35" s="76"/>
      <c r="Q35" s="65" t="s">
        <v>138</v>
      </c>
      <c r="R35" s="60">
        <f>I31-I39-I40-I43-I46</f>
        <v>80550</v>
      </c>
      <c r="S35" s="77"/>
      <c r="T35" s="65" t="s">
        <v>139</v>
      </c>
      <c r="U35" s="67">
        <f>O43</f>
        <v>535979.62779786834</v>
      </c>
      <c r="V35" s="76"/>
      <c r="W35" s="65" t="s">
        <v>140</v>
      </c>
      <c r="X35" s="67">
        <f>I39</f>
        <v>59623</v>
      </c>
    </row>
    <row r="36" spans="8:24" ht="15.75">
      <c r="H36" s="24" t="s">
        <v>141</v>
      </c>
      <c r="K36" s="2" t="s">
        <v>0</v>
      </c>
      <c r="L36" s="63">
        <f>I47/L31</f>
        <v>1.692431257550708E-2</v>
      </c>
      <c r="O36" s="48"/>
      <c r="P36" s="76"/>
      <c r="Q36" s="65" t="s">
        <v>142</v>
      </c>
      <c r="R36" s="60">
        <f>R32*R35</f>
        <v>63074.07645079607</v>
      </c>
      <c r="S36" s="48"/>
      <c r="T36" s="65" t="s">
        <v>143</v>
      </c>
      <c r="U36" s="67">
        <f>O41</f>
        <v>23811</v>
      </c>
      <c r="V36" s="66"/>
      <c r="W36" s="65" t="s">
        <v>144</v>
      </c>
      <c r="X36" s="67">
        <f>I40</f>
        <v>7677</v>
      </c>
    </row>
    <row r="37" spans="8:24" ht="15.75">
      <c r="K37" s="11"/>
      <c r="L37" s="11"/>
      <c r="M37" s="11"/>
      <c r="N37" s="28" t="s">
        <v>145</v>
      </c>
      <c r="O37" s="60">
        <f>J47-O35</f>
        <v>0</v>
      </c>
      <c r="P37" s="76"/>
      <c r="Q37" s="65" t="s">
        <v>127</v>
      </c>
      <c r="R37" s="60">
        <f>R33*R35</f>
        <v>17475.923549203926</v>
      </c>
      <c r="S37" s="48"/>
      <c r="T37" s="65" t="s">
        <v>146</v>
      </c>
      <c r="U37" s="67">
        <f>O42</f>
        <v>324</v>
      </c>
      <c r="V37" s="71"/>
      <c r="W37" s="48"/>
      <c r="X37" s="62"/>
    </row>
    <row r="38" spans="8:24" ht="15.75">
      <c r="H38" s="37" t="s">
        <v>103</v>
      </c>
      <c r="I38" s="60">
        <f>ONSV_AUX_2017!O56</f>
        <v>560195</v>
      </c>
      <c r="J38" s="61">
        <f>I38-(L33*I32)</f>
        <v>560114.62779786834</v>
      </c>
      <c r="K38" s="11"/>
      <c r="L38" s="11"/>
      <c r="M38" s="11"/>
      <c r="O38" s="76"/>
      <c r="P38" s="76"/>
      <c r="Q38" s="48"/>
      <c r="R38" s="78"/>
      <c r="S38" s="48"/>
      <c r="T38" s="65" t="s">
        <v>147</v>
      </c>
      <c r="U38" s="68">
        <f>I38-J38</f>
        <v>80.37220213166438</v>
      </c>
      <c r="V38" s="71"/>
      <c r="W38" s="65" t="s">
        <v>148</v>
      </c>
      <c r="X38" s="67">
        <f>I46</f>
        <v>17696</v>
      </c>
    </row>
    <row r="39" spans="8:24" ht="15.75">
      <c r="H39" s="37" t="s">
        <v>104</v>
      </c>
      <c r="I39" s="60">
        <f>ONSV_AUX_2017!O57</f>
        <v>59623</v>
      </c>
      <c r="J39" s="10">
        <f>I39</f>
        <v>59623</v>
      </c>
      <c r="K39" s="11"/>
      <c r="L39" s="11"/>
      <c r="M39" s="11"/>
      <c r="N39" s="26" t="s">
        <v>149</v>
      </c>
      <c r="O39" s="76"/>
      <c r="P39" s="76"/>
      <c r="Q39" s="65" t="s">
        <v>150</v>
      </c>
      <c r="R39" s="60">
        <f>J41-R36</f>
        <v>72352.490863639221</v>
      </c>
      <c r="S39" s="48"/>
      <c r="T39" s="65" t="s">
        <v>151</v>
      </c>
      <c r="U39" s="72">
        <f>O44</f>
        <v>0</v>
      </c>
      <c r="V39" s="48"/>
      <c r="W39" s="65" t="s">
        <v>152</v>
      </c>
      <c r="X39" s="67">
        <f>I43</f>
        <v>6651</v>
      </c>
    </row>
    <row r="40" spans="8:24" ht="15.75">
      <c r="H40" s="37" t="s">
        <v>105</v>
      </c>
      <c r="I40" s="60">
        <f>ONSV_AUX_2017!O58</f>
        <v>7677</v>
      </c>
      <c r="J40" s="10">
        <f>I40</f>
        <v>7677</v>
      </c>
      <c r="K40" s="11"/>
      <c r="L40" s="11"/>
      <c r="M40" s="11"/>
      <c r="O40" s="73"/>
      <c r="P40" s="76"/>
      <c r="Q40" s="65" t="s">
        <v>136</v>
      </c>
      <c r="R40" s="60">
        <f>J42-R37</f>
        <v>20046.692239938075</v>
      </c>
      <c r="S40" s="48"/>
      <c r="T40" s="48"/>
      <c r="U40" s="62"/>
      <c r="V40" s="77"/>
      <c r="W40" s="48"/>
      <c r="X40" s="62"/>
    </row>
    <row r="41" spans="8:24" ht="15.75">
      <c r="H41" s="37" t="s">
        <v>106</v>
      </c>
      <c r="I41" s="60">
        <f>ONSV_AUX_2017!O59</f>
        <v>135446</v>
      </c>
      <c r="J41" s="61">
        <f>I41-(L34*I32)</f>
        <v>135426.56731443529</v>
      </c>
      <c r="K41" s="11"/>
      <c r="L41" s="11"/>
      <c r="M41" s="11"/>
      <c r="N41" s="28" t="s">
        <v>143</v>
      </c>
      <c r="O41" s="60">
        <f>I29</f>
        <v>23811</v>
      </c>
      <c r="P41" s="76"/>
      <c r="Q41" s="48"/>
      <c r="R41" s="48"/>
      <c r="S41" s="77"/>
      <c r="T41" s="65" t="s">
        <v>142</v>
      </c>
      <c r="U41" s="68">
        <f>R36</f>
        <v>63074.07645079607</v>
      </c>
      <c r="V41" s="48"/>
      <c r="W41" s="65" t="s">
        <v>153</v>
      </c>
      <c r="X41" s="67">
        <f>I44</f>
        <v>814618</v>
      </c>
    </row>
    <row r="42" spans="8:24" ht="15.75">
      <c r="H42" s="37" t="s">
        <v>107</v>
      </c>
      <c r="I42" s="60">
        <f>ONSV_AUX_2017!O60</f>
        <v>37528</v>
      </c>
      <c r="J42" s="61">
        <f>I42-(L35*I32)</f>
        <v>37522.615789142001</v>
      </c>
      <c r="K42" s="11"/>
      <c r="L42" s="11"/>
      <c r="M42" s="11"/>
      <c r="N42" s="28" t="s">
        <v>146</v>
      </c>
      <c r="O42" s="60">
        <f>I33</f>
        <v>324</v>
      </c>
      <c r="P42" s="76"/>
      <c r="Q42" s="48"/>
      <c r="R42" s="48"/>
      <c r="S42" s="48"/>
      <c r="T42" s="65" t="s">
        <v>154</v>
      </c>
      <c r="U42" s="68">
        <f>I41-J41</f>
        <v>19.432685564708663</v>
      </c>
      <c r="V42" s="48"/>
      <c r="W42" s="65" t="s">
        <v>155</v>
      </c>
      <c r="X42" s="67">
        <f>I45</f>
        <v>178483</v>
      </c>
    </row>
    <row r="43" spans="8:24" ht="15.75">
      <c r="H43" s="37" t="s">
        <v>108</v>
      </c>
      <c r="I43" s="60">
        <f>ONSV_AUX_2017!O61</f>
        <v>6651</v>
      </c>
      <c r="J43" s="10">
        <f>I43</f>
        <v>6651</v>
      </c>
      <c r="K43" s="11"/>
      <c r="L43" s="11"/>
      <c r="M43" s="11"/>
      <c r="N43" s="28" t="s">
        <v>139</v>
      </c>
      <c r="O43" s="60">
        <f>IF(OR((O32*I30&gt;J38),((O41+O42+(O32*I30))&gt;J38)),(J38-O41-O42),(O32*I30))</f>
        <v>535979.62779786834</v>
      </c>
      <c r="P43" s="76"/>
      <c r="Q43" s="48"/>
      <c r="R43" s="78"/>
      <c r="S43" s="48"/>
      <c r="T43" s="65" t="s">
        <v>150</v>
      </c>
      <c r="U43" s="72">
        <f>R39</f>
        <v>72352.490863639221</v>
      </c>
      <c r="V43" s="48"/>
      <c r="W43" s="48"/>
      <c r="X43" s="48"/>
    </row>
    <row r="44" spans="8:24" ht="15.75">
      <c r="H44" s="37" t="s">
        <v>109</v>
      </c>
      <c r="I44" s="60">
        <f>ONSV_AUX_2017!O62</f>
        <v>814618</v>
      </c>
      <c r="J44" s="10">
        <f>I44</f>
        <v>814618</v>
      </c>
      <c r="K44" s="11"/>
      <c r="L44" s="11"/>
      <c r="M44" s="11"/>
      <c r="N44" s="28" t="s">
        <v>151</v>
      </c>
      <c r="O44" s="60">
        <f>IF((J38-O41-O43-O42)&lt;0,0,(J38-O41-O43-O42))</f>
        <v>0</v>
      </c>
      <c r="P44" s="48"/>
      <c r="Q44" s="48"/>
      <c r="R44" s="48"/>
      <c r="S44" s="48"/>
      <c r="T44" s="48"/>
      <c r="U44" s="62"/>
      <c r="V44" s="48"/>
      <c r="W44" s="48"/>
      <c r="X44" s="48"/>
    </row>
    <row r="45" spans="8:24" ht="15.75">
      <c r="H45" s="37" t="s">
        <v>110</v>
      </c>
      <c r="I45" s="60">
        <f>ONSV_AUX_2017!O63</f>
        <v>178483</v>
      </c>
      <c r="J45" s="10">
        <f>I45</f>
        <v>178483</v>
      </c>
      <c r="K45" s="11"/>
      <c r="L45" s="11"/>
      <c r="M45" s="11"/>
      <c r="O45" s="48"/>
      <c r="P45" s="76"/>
      <c r="Q45" s="48"/>
      <c r="R45" s="48"/>
      <c r="S45" s="48"/>
      <c r="T45" s="79" t="s">
        <v>156</v>
      </c>
      <c r="U45" s="80">
        <f>(SUM(U31:U43,X31:X42)/SUM(I38:I47))-1</f>
        <v>0</v>
      </c>
      <c r="V45" s="48"/>
      <c r="W45" s="79" t="s">
        <v>10</v>
      </c>
      <c r="X45" s="67">
        <f>SUM(U31:U43,X31:X42)</f>
        <v>1830539</v>
      </c>
    </row>
    <row r="46" spans="8:24" ht="15.75">
      <c r="H46" s="37" t="s">
        <v>111</v>
      </c>
      <c r="I46" s="60">
        <f>ONSV_AUX_2017!O64</f>
        <v>17696</v>
      </c>
      <c r="J46" s="10">
        <f>I46</f>
        <v>17696</v>
      </c>
      <c r="K46" s="11"/>
      <c r="L46" s="11"/>
      <c r="M46" s="11"/>
      <c r="O46" s="48"/>
      <c r="P46" s="76"/>
      <c r="Q46" s="48"/>
      <c r="R46" s="48"/>
      <c r="S46" s="48"/>
      <c r="T46" s="48"/>
      <c r="U46" s="48"/>
      <c r="V46" s="48"/>
      <c r="W46" s="48"/>
      <c r="X46" s="48"/>
    </row>
    <row r="47" spans="8:24" ht="15.75">
      <c r="H47" s="37" t="s">
        <v>112</v>
      </c>
      <c r="I47" s="60">
        <f>ONSV_AUX_2017!O65</f>
        <v>12622</v>
      </c>
      <c r="J47" s="61">
        <f>I47-(L36*I32)</f>
        <v>12620.189098554421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39"/>
      <c r="I48" s="40"/>
      <c r="J48" s="40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4" customFormat="1" ht="15.75">
      <c r="A50" s="101" t="str">
        <f>"PARÁ/"&amp;ONSV_AUX_2016!$A$1&amp;""</f>
        <v>PARÁ/2016</v>
      </c>
      <c r="B50" s="102"/>
      <c r="C50" s="102"/>
      <c r="D50" s="102"/>
      <c r="E50" s="102"/>
      <c r="F50" s="102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</row>
    <row r="52" spans="1:24" ht="15.75">
      <c r="H52" s="23" t="s">
        <v>118</v>
      </c>
      <c r="N52" s="26"/>
      <c r="O52" s="26"/>
      <c r="P52" s="9"/>
      <c r="Q52" s="26"/>
      <c r="R52" s="26"/>
      <c r="S52" s="26"/>
      <c r="T52" s="104"/>
      <c r="U52" s="104"/>
      <c r="V52" s="104"/>
      <c r="W52" s="104"/>
      <c r="X52" s="104"/>
    </row>
    <row r="53" spans="1:24" ht="15.75">
      <c r="J53" s="9"/>
      <c r="M53" s="25"/>
      <c r="N53" s="9"/>
      <c r="O53" s="9"/>
      <c r="P53" s="9"/>
      <c r="Q53" s="11"/>
      <c r="R53" s="11"/>
      <c r="S53" s="11"/>
    </row>
    <row r="54" spans="1:24" ht="15.75">
      <c r="H54" s="36" t="s">
        <v>81</v>
      </c>
      <c r="I54" s="60">
        <f>ONSV_AUX_2016!O27</f>
        <v>23772</v>
      </c>
      <c r="J54" s="9"/>
      <c r="K54" s="104" t="s">
        <v>119</v>
      </c>
      <c r="L54" s="104"/>
      <c r="M54" s="9"/>
      <c r="N54" s="26" t="s">
        <v>120</v>
      </c>
      <c r="O54" s="26"/>
      <c r="Q54" s="26" t="s">
        <v>121</v>
      </c>
      <c r="R54" s="26"/>
      <c r="S54" s="26"/>
      <c r="T54" s="25" t="s">
        <v>122</v>
      </c>
      <c r="U54" s="25"/>
      <c r="V54" s="25"/>
      <c r="W54" s="25"/>
      <c r="X54" s="25"/>
    </row>
    <row r="55" spans="1:24" ht="15.75">
      <c r="H55" s="36" t="s">
        <v>84</v>
      </c>
      <c r="I55" s="60">
        <f>ONSV_AUX_2016!O28</f>
        <v>673142</v>
      </c>
      <c r="J55" s="9"/>
      <c r="K55" s="9"/>
      <c r="L55" s="9"/>
      <c r="M55" s="9"/>
      <c r="N55" s="9"/>
      <c r="O55" s="9"/>
      <c r="P55" s="20"/>
      <c r="Q55" s="11"/>
      <c r="R55" s="11"/>
      <c r="S55" s="11"/>
    </row>
    <row r="56" spans="1:24" ht="15.75">
      <c r="H56" s="36" t="s">
        <v>85</v>
      </c>
      <c r="I56" s="60">
        <f>ONSV_AUX_2016!O29</f>
        <v>164210</v>
      </c>
      <c r="J56" s="9"/>
      <c r="K56" s="2" t="s">
        <v>123</v>
      </c>
      <c r="L56" s="60">
        <f>I63+I66+I67+I72</f>
        <v>711581</v>
      </c>
      <c r="N56" s="28" t="s">
        <v>124</v>
      </c>
      <c r="O56" s="60">
        <f>J63+J72</f>
        <v>548413.10820272041</v>
      </c>
      <c r="P56" s="64"/>
      <c r="Q56" s="65" t="s">
        <v>125</v>
      </c>
      <c r="R56" s="60">
        <f>J66+J67</f>
        <v>163088.89179727959</v>
      </c>
      <c r="S56" s="66"/>
      <c r="T56" s="65" t="s">
        <v>126</v>
      </c>
      <c r="U56" s="67">
        <f>O60</f>
        <v>11842.685074503113</v>
      </c>
      <c r="V56" s="48"/>
      <c r="W56" s="65" t="s">
        <v>127</v>
      </c>
      <c r="X56" s="68">
        <f>R62</f>
        <v>16821.855199347669</v>
      </c>
    </row>
    <row r="57" spans="1:24" ht="15.75">
      <c r="H57" s="36" t="s">
        <v>101</v>
      </c>
      <c r="I57" s="60">
        <f>ONSV_AUX_2016!O30</f>
        <v>79</v>
      </c>
      <c r="J57" s="9"/>
      <c r="K57" s="27"/>
      <c r="L57" s="62"/>
      <c r="M57" s="20"/>
      <c r="N57" s="28" t="s">
        <v>128</v>
      </c>
      <c r="O57" s="69">
        <f>J63/O56</f>
        <v>0.97840553973387989</v>
      </c>
      <c r="P57" s="64"/>
      <c r="Q57" s="70" t="s">
        <v>129</v>
      </c>
      <c r="R57" s="63">
        <f>J66/R56</f>
        <v>0.77715855236133335</v>
      </c>
      <c r="S57" s="71"/>
      <c r="T57" s="65" t="s">
        <v>130</v>
      </c>
      <c r="U57" s="67">
        <f>I72-J72</f>
        <v>1.3149254968866444</v>
      </c>
      <c r="V57" s="48"/>
      <c r="W57" s="65" t="s">
        <v>131</v>
      </c>
      <c r="X57" s="68">
        <f>I67-J67</f>
        <v>4.035258108349808</v>
      </c>
    </row>
    <row r="58" spans="1:24" ht="15.75">
      <c r="H58" s="36" t="s">
        <v>16</v>
      </c>
      <c r="I58" s="60">
        <f>ONSV_AUX_2016!O31</f>
        <v>300</v>
      </c>
      <c r="J58" s="9"/>
      <c r="K58" s="2" t="s">
        <v>132</v>
      </c>
      <c r="L58" s="63">
        <f>I63/L56</f>
        <v>0.75413761750243469</v>
      </c>
      <c r="M58" s="20"/>
      <c r="N58" s="28" t="s">
        <v>133</v>
      </c>
      <c r="O58" s="69">
        <f>J72/O56</f>
        <v>2.1594460266120181E-2</v>
      </c>
      <c r="P58" s="64"/>
      <c r="Q58" s="70" t="s">
        <v>134</v>
      </c>
      <c r="R58" s="63">
        <f>J67/R56</f>
        <v>0.22284144763866665</v>
      </c>
      <c r="S58" s="71"/>
      <c r="T58" s="65" t="s">
        <v>135</v>
      </c>
      <c r="U58" s="72">
        <f>O62</f>
        <v>0</v>
      </c>
      <c r="V58" s="73"/>
      <c r="W58" s="65" t="s">
        <v>136</v>
      </c>
      <c r="X58" s="72">
        <f>R65</f>
        <v>19521.109542543982</v>
      </c>
    </row>
    <row r="59" spans="1:24" ht="15.75">
      <c r="H59" s="36" t="s">
        <v>94</v>
      </c>
      <c r="I59" s="60">
        <f>ONSV_AUX_2016!O32</f>
        <v>877825</v>
      </c>
      <c r="J59" s="10"/>
      <c r="K59" s="2" t="s">
        <v>2</v>
      </c>
      <c r="L59" s="63">
        <f>I66/L56</f>
        <v>0.17813853939326654</v>
      </c>
      <c r="M59" s="20"/>
      <c r="N59" s="20"/>
      <c r="O59" s="74"/>
      <c r="P59" s="48"/>
      <c r="Q59" s="48"/>
      <c r="R59" s="48"/>
      <c r="S59" s="48"/>
      <c r="T59" s="48"/>
      <c r="U59" s="62"/>
      <c r="V59" s="75"/>
      <c r="W59" s="48"/>
      <c r="X59" s="62"/>
    </row>
    <row r="60" spans="1:24" ht="15.75">
      <c r="K60" s="2" t="s">
        <v>3</v>
      </c>
      <c r="L60" s="63">
        <f>I67/L56</f>
        <v>5.1079216561431516E-2</v>
      </c>
      <c r="M60" s="20"/>
      <c r="N60" s="28" t="s">
        <v>137</v>
      </c>
      <c r="O60" s="60">
        <f>IF(O58*I55&gt;J72,J72,O58*I55)</f>
        <v>11842.685074503113</v>
      </c>
      <c r="P60" s="76"/>
      <c r="Q60" s="65" t="s">
        <v>138</v>
      </c>
      <c r="R60" s="60">
        <f>I56-I64-I65-I68-I71</f>
        <v>75488</v>
      </c>
      <c r="S60" s="77"/>
      <c r="T60" s="65" t="s">
        <v>139</v>
      </c>
      <c r="U60" s="67">
        <f>O68</f>
        <v>512498.42312821734</v>
      </c>
      <c r="V60" s="76"/>
      <c r="W60" s="65" t="s">
        <v>140</v>
      </c>
      <c r="X60" s="67">
        <f>I64</f>
        <v>57719</v>
      </c>
    </row>
    <row r="61" spans="1:24" ht="15.75">
      <c r="H61" s="24" t="s">
        <v>141</v>
      </c>
      <c r="K61" s="2" t="s">
        <v>0</v>
      </c>
      <c r="L61" s="63">
        <f>I72/L56</f>
        <v>1.6644626542867223E-2</v>
      </c>
      <c r="O61" s="48"/>
      <c r="P61" s="76"/>
      <c r="Q61" s="65" t="s">
        <v>142</v>
      </c>
      <c r="R61" s="60">
        <f>R57*R60</f>
        <v>58666.144800652335</v>
      </c>
      <c r="S61" s="48"/>
      <c r="T61" s="65" t="s">
        <v>143</v>
      </c>
      <c r="U61" s="67">
        <f>O66</f>
        <v>23772</v>
      </c>
      <c r="V61" s="66"/>
      <c r="W61" s="65" t="s">
        <v>144</v>
      </c>
      <c r="X61" s="67">
        <f>I65</f>
        <v>7246</v>
      </c>
    </row>
    <row r="62" spans="1:24" ht="15.75">
      <c r="K62" s="11"/>
      <c r="L62" s="11"/>
      <c r="M62" s="11"/>
      <c r="N62" s="28" t="s">
        <v>145</v>
      </c>
      <c r="O62" s="60">
        <f>J72-O60</f>
        <v>0</v>
      </c>
      <c r="P62" s="76"/>
      <c r="Q62" s="65" t="s">
        <v>127</v>
      </c>
      <c r="R62" s="60">
        <f>R58*R60</f>
        <v>16821.855199347669</v>
      </c>
      <c r="S62" s="48"/>
      <c r="T62" s="65" t="s">
        <v>146</v>
      </c>
      <c r="U62" s="67">
        <f>O67</f>
        <v>300</v>
      </c>
      <c r="V62" s="71"/>
      <c r="W62" s="48"/>
      <c r="X62" s="62"/>
    </row>
    <row r="63" spans="1:24" ht="15.75">
      <c r="H63" s="37" t="s">
        <v>103</v>
      </c>
      <c r="I63" s="60">
        <f>ONSV_AUX_2016!O56</f>
        <v>536630</v>
      </c>
      <c r="J63" s="61">
        <f>I63-(L58*I57)</f>
        <v>536570.42312821734</v>
      </c>
      <c r="K63" s="11"/>
      <c r="L63" s="11"/>
      <c r="M63" s="11"/>
      <c r="O63" s="76"/>
      <c r="P63" s="76"/>
      <c r="Q63" s="48"/>
      <c r="R63" s="78"/>
      <c r="S63" s="48"/>
      <c r="T63" s="65" t="s">
        <v>147</v>
      </c>
      <c r="U63" s="68">
        <f>I63-J63</f>
        <v>59.57687178265769</v>
      </c>
      <c r="V63" s="71"/>
      <c r="W63" s="65" t="s">
        <v>148</v>
      </c>
      <c r="X63" s="67">
        <f>I71</f>
        <v>17270</v>
      </c>
    </row>
    <row r="64" spans="1:24" ht="15.75">
      <c r="H64" s="37" t="s">
        <v>104</v>
      </c>
      <c r="I64" s="60">
        <f>ONSV_AUX_2016!O57</f>
        <v>57719</v>
      </c>
      <c r="J64" s="10">
        <f>I64</f>
        <v>57719</v>
      </c>
      <c r="K64" s="11"/>
      <c r="L64" s="11"/>
      <c r="M64" s="11"/>
      <c r="N64" s="26" t="s">
        <v>149</v>
      </c>
      <c r="O64" s="76"/>
      <c r="P64" s="76"/>
      <c r="Q64" s="65" t="s">
        <v>150</v>
      </c>
      <c r="R64" s="60">
        <f>J66-R61</f>
        <v>68079.78225473559</v>
      </c>
      <c r="S64" s="48"/>
      <c r="T64" s="65" t="s">
        <v>151</v>
      </c>
      <c r="U64" s="72">
        <f>O69</f>
        <v>0</v>
      </c>
      <c r="V64" s="48"/>
      <c r="W64" s="65" t="s">
        <v>152</v>
      </c>
      <c r="X64" s="67">
        <f>I68</f>
        <v>6487</v>
      </c>
    </row>
    <row r="65" spans="1:24" ht="15.75">
      <c r="H65" s="37" t="s">
        <v>105</v>
      </c>
      <c r="I65" s="60">
        <f>ONSV_AUX_2016!O58</f>
        <v>7246</v>
      </c>
      <c r="J65" s="10">
        <f>I65</f>
        <v>7246</v>
      </c>
      <c r="K65" s="11"/>
      <c r="L65" s="11"/>
      <c r="M65" s="11"/>
      <c r="O65" s="73"/>
      <c r="P65" s="76"/>
      <c r="Q65" s="65" t="s">
        <v>136</v>
      </c>
      <c r="R65" s="60">
        <f>J67-R62</f>
        <v>19521.109542543982</v>
      </c>
      <c r="S65" s="48"/>
      <c r="T65" s="48"/>
      <c r="U65" s="62"/>
      <c r="V65" s="77"/>
      <c r="W65" s="48"/>
      <c r="X65" s="62"/>
    </row>
    <row r="66" spans="1:24" ht="15.75">
      <c r="H66" s="37" t="s">
        <v>106</v>
      </c>
      <c r="I66" s="60">
        <f>ONSV_AUX_2016!O59</f>
        <v>126760</v>
      </c>
      <c r="J66" s="61">
        <f>I66-(L59*I57)</f>
        <v>126745.92705538793</v>
      </c>
      <c r="K66" s="11"/>
      <c r="L66" s="11"/>
      <c r="M66" s="11"/>
      <c r="N66" s="28" t="s">
        <v>143</v>
      </c>
      <c r="O66" s="60">
        <f>I54</f>
        <v>23772</v>
      </c>
      <c r="P66" s="76"/>
      <c r="Q66" s="48"/>
      <c r="R66" s="48"/>
      <c r="S66" s="77"/>
      <c r="T66" s="65" t="s">
        <v>142</v>
      </c>
      <c r="U66" s="68">
        <f>R61</f>
        <v>58666.144800652335</v>
      </c>
      <c r="V66" s="48"/>
      <c r="W66" s="65" t="s">
        <v>153</v>
      </c>
      <c r="X66" s="67">
        <f>I69</f>
        <v>768161</v>
      </c>
    </row>
    <row r="67" spans="1:24" ht="15.75">
      <c r="H67" s="37" t="s">
        <v>107</v>
      </c>
      <c r="I67" s="60">
        <f>ONSV_AUX_2016!O60</f>
        <v>36347</v>
      </c>
      <c r="J67" s="61">
        <f>I67-(L60*I57)</f>
        <v>36342.96474189165</v>
      </c>
      <c r="K67" s="11"/>
      <c r="L67" s="11"/>
      <c r="M67" s="11"/>
      <c r="N67" s="28" t="s">
        <v>146</v>
      </c>
      <c r="O67" s="60">
        <f>I58</f>
        <v>300</v>
      </c>
      <c r="P67" s="76"/>
      <c r="Q67" s="48"/>
      <c r="R67" s="48"/>
      <c r="S67" s="48"/>
      <c r="T67" s="65" t="s">
        <v>154</v>
      </c>
      <c r="U67" s="68">
        <f>I66-J66</f>
        <v>14.072944612067658</v>
      </c>
      <c r="V67" s="48"/>
      <c r="W67" s="65" t="s">
        <v>155</v>
      </c>
      <c r="X67" s="67">
        <f>I70</f>
        <v>169256</v>
      </c>
    </row>
    <row r="68" spans="1:24" ht="15.75">
      <c r="H68" s="37" t="s">
        <v>108</v>
      </c>
      <c r="I68" s="60">
        <f>ONSV_AUX_2016!O61</f>
        <v>6487</v>
      </c>
      <c r="J68" s="10">
        <f>I68</f>
        <v>6487</v>
      </c>
      <c r="K68" s="11"/>
      <c r="L68" s="11"/>
      <c r="M68" s="11"/>
      <c r="N68" s="28" t="s">
        <v>139</v>
      </c>
      <c r="O68" s="60">
        <f>IF(OR((O57*I55&gt;J63),((O66+O67+(O57*I55))&gt;J63)),(J63-O66-O67),(O57*I55))</f>
        <v>512498.42312821734</v>
      </c>
      <c r="P68" s="76"/>
      <c r="Q68" s="48"/>
      <c r="R68" s="78"/>
      <c r="S68" s="48"/>
      <c r="T68" s="65" t="s">
        <v>150</v>
      </c>
      <c r="U68" s="72">
        <f>R64</f>
        <v>68079.78225473559</v>
      </c>
      <c r="V68" s="48"/>
      <c r="W68" s="48"/>
      <c r="X68" s="48"/>
    </row>
    <row r="69" spans="1:24" ht="15.75">
      <c r="H69" s="37" t="s">
        <v>109</v>
      </c>
      <c r="I69" s="60">
        <f>ONSV_AUX_2016!O62</f>
        <v>768161</v>
      </c>
      <c r="J69" s="10">
        <f>I69</f>
        <v>768161</v>
      </c>
      <c r="K69" s="11"/>
      <c r="L69" s="11"/>
      <c r="M69" s="11"/>
      <c r="N69" s="28" t="s">
        <v>151</v>
      </c>
      <c r="O69" s="60">
        <f>IF((J63-O66-O68-O67)&lt;0,0,(J63-O66-O68-O67))</f>
        <v>0</v>
      </c>
      <c r="P69" s="48"/>
      <c r="Q69" s="48"/>
      <c r="R69" s="48"/>
      <c r="S69" s="48"/>
      <c r="T69" s="48"/>
      <c r="U69" s="62"/>
      <c r="V69" s="48"/>
      <c r="W69" s="48"/>
      <c r="X69" s="48"/>
    </row>
    <row r="70" spans="1:24" ht="15.75">
      <c r="H70" s="37" t="s">
        <v>110</v>
      </c>
      <c r="I70" s="60">
        <f>ONSV_AUX_2016!O63</f>
        <v>169256</v>
      </c>
      <c r="J70" s="10">
        <f>I70</f>
        <v>169256</v>
      </c>
      <c r="K70" s="11"/>
      <c r="L70" s="11"/>
      <c r="M70" s="11"/>
      <c r="O70" s="48"/>
      <c r="P70" s="76"/>
      <c r="Q70" s="48"/>
      <c r="R70" s="48"/>
      <c r="S70" s="48"/>
      <c r="T70" s="79" t="s">
        <v>156</v>
      </c>
      <c r="U70" s="80">
        <f>(SUM(U56:U68,X56:X67)/SUM(I63:I72))-1</f>
        <v>0</v>
      </c>
      <c r="V70" s="48"/>
      <c r="W70" s="79" t="s">
        <v>10</v>
      </c>
      <c r="X70" s="67">
        <f>SUM(U56:U68,X56:X67)</f>
        <v>1737720</v>
      </c>
    </row>
    <row r="71" spans="1:24" ht="15.75">
      <c r="H71" s="37" t="s">
        <v>111</v>
      </c>
      <c r="I71" s="60">
        <f>ONSV_AUX_2016!O64</f>
        <v>17270</v>
      </c>
      <c r="J71" s="10">
        <f>I71</f>
        <v>17270</v>
      </c>
      <c r="K71" s="11"/>
      <c r="L71" s="11"/>
      <c r="M71" s="11"/>
      <c r="O71" s="48"/>
      <c r="P71" s="76"/>
      <c r="Q71" s="48"/>
      <c r="R71" s="48"/>
      <c r="S71" s="48"/>
      <c r="T71" s="48"/>
      <c r="U71" s="48"/>
      <c r="V71" s="48"/>
      <c r="W71" s="48"/>
      <c r="X71" s="48"/>
    </row>
    <row r="72" spans="1:24" ht="15.75">
      <c r="H72" s="37" t="s">
        <v>112</v>
      </c>
      <c r="I72" s="60">
        <f>ONSV_AUX_2016!O65</f>
        <v>11844</v>
      </c>
      <c r="J72" s="61">
        <f>I72-(L61*I57)</f>
        <v>11842.685074503113</v>
      </c>
      <c r="K72" s="12"/>
      <c r="L72" s="12"/>
      <c r="M72" s="12"/>
      <c r="N72" s="12"/>
      <c r="O72" s="12"/>
      <c r="P72" s="12"/>
      <c r="Q72" s="4"/>
      <c r="R72" s="4"/>
    </row>
    <row r="75" spans="1:24" s="34" customFormat="1" ht="15.75">
      <c r="A75" s="101" t="str">
        <f>"PARÁ/"&amp;ONSV_AUX_2015!$A$1&amp;""</f>
        <v>PARÁ/2015</v>
      </c>
      <c r="B75" s="102"/>
      <c r="C75" s="102"/>
      <c r="D75" s="102"/>
      <c r="E75" s="102"/>
      <c r="F75" s="102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 spans="1:24"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>
      <c r="H77" s="23" t="s">
        <v>118</v>
      </c>
      <c r="P77" s="9"/>
    </row>
    <row r="78" spans="1:24" ht="15.75">
      <c r="J78" s="9"/>
      <c r="M78" s="25"/>
      <c r="P78" s="9"/>
    </row>
    <row r="79" spans="1:24" ht="15.75">
      <c r="H79" s="36" t="s">
        <v>81</v>
      </c>
      <c r="I79" s="60">
        <f>ONSV_AUX_2015!O27</f>
        <v>23733</v>
      </c>
      <c r="J79" s="9"/>
      <c r="K79" s="104" t="s">
        <v>119</v>
      </c>
      <c r="L79" s="104"/>
      <c r="M79" s="9"/>
      <c r="N79" s="26" t="s">
        <v>120</v>
      </c>
      <c r="O79" s="26"/>
      <c r="Q79" s="26" t="s">
        <v>121</v>
      </c>
      <c r="R79" s="26"/>
      <c r="S79" s="26"/>
      <c r="T79" s="25" t="s">
        <v>122</v>
      </c>
      <c r="U79" s="25"/>
      <c r="V79" s="25"/>
      <c r="W79" s="25"/>
      <c r="X79" s="25"/>
    </row>
    <row r="80" spans="1:24" ht="15.75">
      <c r="H80" s="36" t="s">
        <v>84</v>
      </c>
      <c r="I80" s="60">
        <f>ONSV_AUX_2015!O28</f>
        <v>594913</v>
      </c>
      <c r="J80" s="9"/>
      <c r="K80" s="9"/>
      <c r="L80" s="9"/>
      <c r="M80" s="9"/>
      <c r="N80" s="9"/>
      <c r="O80" s="9"/>
      <c r="P80" s="20"/>
      <c r="Q80" s="11"/>
      <c r="R80" s="11"/>
      <c r="S80" s="11"/>
    </row>
    <row r="81" spans="8:24" ht="15.75">
      <c r="H81" s="36" t="s">
        <v>85</v>
      </c>
      <c r="I81" s="60">
        <f>ONSV_AUX_2015!O29</f>
        <v>156225</v>
      </c>
      <c r="J81" s="9"/>
      <c r="K81" s="2" t="s">
        <v>123</v>
      </c>
      <c r="L81" s="60">
        <f>I88+I91+I92+I97</f>
        <v>671952</v>
      </c>
      <c r="N81" s="28" t="s">
        <v>124</v>
      </c>
      <c r="O81" s="60">
        <f>J88+J97</f>
        <v>519603.09173571918</v>
      </c>
      <c r="P81" s="64"/>
      <c r="Q81" s="65" t="s">
        <v>125</v>
      </c>
      <c r="R81" s="60">
        <f>J91+J92</f>
        <v>152277.90826428079</v>
      </c>
      <c r="S81" s="66"/>
      <c r="T81" s="65" t="s">
        <v>126</v>
      </c>
      <c r="U81" s="67">
        <f>O85</f>
        <v>10917.846273245708</v>
      </c>
      <c r="V81" s="48"/>
      <c r="W81" s="65" t="s">
        <v>127</v>
      </c>
      <c r="X81" s="68">
        <f>R87</f>
        <v>16107.039095433833</v>
      </c>
    </row>
    <row r="82" spans="8:24" ht="15.75">
      <c r="H82" s="36" t="s">
        <v>101</v>
      </c>
      <c r="I82" s="60">
        <f>ONSV_AUX_2015!O30</f>
        <v>71</v>
      </c>
      <c r="J82" s="9"/>
      <c r="K82" s="27"/>
      <c r="L82" s="62"/>
      <c r="M82" s="20"/>
      <c r="N82" s="28" t="s">
        <v>128</v>
      </c>
      <c r="O82" s="69">
        <f>J88/O81</f>
        <v>0.97898810371436595</v>
      </c>
      <c r="P82" s="64"/>
      <c r="Q82" s="70" t="s">
        <v>129</v>
      </c>
      <c r="R82" s="63">
        <f>J91/R81</f>
        <v>0.77435749274429722</v>
      </c>
      <c r="S82" s="71"/>
      <c r="T82" s="65" t="s">
        <v>130</v>
      </c>
      <c r="U82" s="67">
        <f>I97-J97</f>
        <v>1.1537267542917107</v>
      </c>
      <c r="V82" s="48"/>
      <c r="W82" s="65" t="s">
        <v>131</v>
      </c>
      <c r="X82" s="68">
        <f>I92-J92</f>
        <v>3.630979593777738</v>
      </c>
    </row>
    <row r="83" spans="8:24" ht="15.75">
      <c r="H83" s="36" t="s">
        <v>16</v>
      </c>
      <c r="I83" s="60">
        <f>ONSV_AUX_2015!O31</f>
        <v>266</v>
      </c>
      <c r="J83" s="9"/>
      <c r="K83" s="2" t="s">
        <v>132</v>
      </c>
      <c r="L83" s="63">
        <f>I88/L81</f>
        <v>0.75710616234492945</v>
      </c>
      <c r="M83" s="20"/>
      <c r="N83" s="28" t="s">
        <v>133</v>
      </c>
      <c r="O83" s="69">
        <f>J97/O81</f>
        <v>2.1011896285634015E-2</v>
      </c>
      <c r="P83" s="64"/>
      <c r="Q83" s="70" t="s">
        <v>134</v>
      </c>
      <c r="R83" s="63">
        <f>J92/R81</f>
        <v>0.22564250725570278</v>
      </c>
      <c r="S83" s="71"/>
      <c r="T83" s="65" t="s">
        <v>135</v>
      </c>
      <c r="U83" s="72">
        <f>O87</f>
        <v>0</v>
      </c>
      <c r="V83" s="73"/>
      <c r="W83" s="65" t="s">
        <v>136</v>
      </c>
      <c r="X83" s="72">
        <f>R90</f>
        <v>18253.32992497239</v>
      </c>
    </row>
    <row r="84" spans="8:24" ht="15.75">
      <c r="H84" s="36" t="s">
        <v>94</v>
      </c>
      <c r="I84" s="60">
        <f>ONSV_AUX_2015!O32</f>
        <v>844122</v>
      </c>
      <c r="J84" s="10"/>
      <c r="K84" s="2" t="s">
        <v>2</v>
      </c>
      <c r="L84" s="63">
        <f>I91/L81</f>
        <v>0.17550360740052862</v>
      </c>
      <c r="M84" s="20"/>
      <c r="N84" s="20"/>
      <c r="O84" s="74"/>
      <c r="P84" s="48"/>
      <c r="Q84" s="48"/>
      <c r="R84" s="48"/>
      <c r="S84" s="48"/>
      <c r="T84" s="48"/>
      <c r="U84" s="62"/>
      <c r="V84" s="75"/>
      <c r="W84" s="48"/>
      <c r="X84" s="62"/>
    </row>
    <row r="85" spans="8:24" ht="15.75">
      <c r="K85" s="2" t="s">
        <v>3</v>
      </c>
      <c r="L85" s="63">
        <f>I92/L81</f>
        <v>5.1140557658880398E-2</v>
      </c>
      <c r="M85" s="20"/>
      <c r="N85" s="28" t="s">
        <v>137</v>
      </c>
      <c r="O85" s="60">
        <f>IF(O83*I80&gt;J97,J97,O83*I80)</f>
        <v>10917.846273245708</v>
      </c>
      <c r="P85" s="76"/>
      <c r="Q85" s="65" t="s">
        <v>138</v>
      </c>
      <c r="R85" s="60">
        <f>I81-I89-I90-I93-I96</f>
        <v>71383</v>
      </c>
      <c r="S85" s="77"/>
      <c r="T85" s="65" t="s">
        <v>139</v>
      </c>
      <c r="U85" s="67">
        <f>O93</f>
        <v>484686.24546247348</v>
      </c>
      <c r="V85" s="76"/>
      <c r="W85" s="65" t="s">
        <v>140</v>
      </c>
      <c r="X85" s="67">
        <f>I89</f>
        <v>55204</v>
      </c>
    </row>
    <row r="86" spans="8:24" ht="15.75">
      <c r="H86" s="24" t="s">
        <v>141</v>
      </c>
      <c r="K86" s="2" t="s">
        <v>0</v>
      </c>
      <c r="L86" s="63">
        <f>I97/L81</f>
        <v>1.6249672595661596E-2</v>
      </c>
      <c r="O86" s="48"/>
      <c r="P86" s="76"/>
      <c r="Q86" s="65" t="s">
        <v>142</v>
      </c>
      <c r="R86" s="60">
        <f>R82*R85</f>
        <v>55275.960904566171</v>
      </c>
      <c r="S86" s="48"/>
      <c r="T86" s="65" t="s">
        <v>143</v>
      </c>
      <c r="U86" s="67">
        <f>O91</f>
        <v>23733</v>
      </c>
      <c r="V86" s="66"/>
      <c r="W86" s="65" t="s">
        <v>144</v>
      </c>
      <c r="X86" s="67">
        <f>I90</f>
        <v>6854</v>
      </c>
    </row>
    <row r="87" spans="8:24" ht="15.75">
      <c r="K87" s="11"/>
      <c r="L87" s="11"/>
      <c r="M87" s="11"/>
      <c r="N87" s="28" t="s">
        <v>145</v>
      </c>
      <c r="O87" s="60">
        <f>J97-O85</f>
        <v>0</v>
      </c>
      <c r="P87" s="76"/>
      <c r="Q87" s="65" t="s">
        <v>127</v>
      </c>
      <c r="R87" s="60">
        <f>R83*R85</f>
        <v>16107.039095433833</v>
      </c>
      <c r="S87" s="48"/>
      <c r="T87" s="65" t="s">
        <v>146</v>
      </c>
      <c r="U87" s="67">
        <f>O92</f>
        <v>266</v>
      </c>
      <c r="V87" s="71"/>
      <c r="W87" s="48"/>
      <c r="X87" s="62"/>
    </row>
    <row r="88" spans="8:24" ht="15.75">
      <c r="H88" s="37" t="s">
        <v>103</v>
      </c>
      <c r="I88" s="60">
        <f>ONSV_AUX_2015!O56</f>
        <v>508739</v>
      </c>
      <c r="J88" s="61">
        <f>I88-(L83*I82)</f>
        <v>508685.24546247348</v>
      </c>
      <c r="K88" s="11"/>
      <c r="L88" s="11"/>
      <c r="M88" s="11"/>
      <c r="O88" s="76"/>
      <c r="P88" s="76"/>
      <c r="Q88" s="48"/>
      <c r="R88" s="78"/>
      <c r="S88" s="48"/>
      <c r="T88" s="65" t="s">
        <v>147</v>
      </c>
      <c r="U88" s="68">
        <f>I88-J88</f>
        <v>53.754537526518106</v>
      </c>
      <c r="V88" s="71"/>
      <c r="W88" s="65" t="s">
        <v>148</v>
      </c>
      <c r="X88" s="67">
        <f>I96</f>
        <v>16449</v>
      </c>
    </row>
    <row r="89" spans="8:24" ht="15.75">
      <c r="H89" s="37" t="s">
        <v>104</v>
      </c>
      <c r="I89" s="60">
        <f>ONSV_AUX_2015!O57</f>
        <v>55204</v>
      </c>
      <c r="J89" s="10">
        <f>I89</f>
        <v>55204</v>
      </c>
      <c r="K89" s="11"/>
      <c r="L89" s="11"/>
      <c r="M89" s="11"/>
      <c r="N89" s="26" t="s">
        <v>149</v>
      </c>
      <c r="O89" s="76"/>
      <c r="P89" s="76"/>
      <c r="Q89" s="65" t="s">
        <v>150</v>
      </c>
      <c r="R89" s="60">
        <f>J91-R86</f>
        <v>62641.578339308391</v>
      </c>
      <c r="S89" s="48"/>
      <c r="T89" s="65" t="s">
        <v>151</v>
      </c>
      <c r="U89" s="72">
        <f>O94</f>
        <v>0</v>
      </c>
      <c r="V89" s="48"/>
      <c r="W89" s="65" t="s">
        <v>152</v>
      </c>
      <c r="X89" s="67">
        <f>I93</f>
        <v>6335</v>
      </c>
    </row>
    <row r="90" spans="8:24" ht="15.75">
      <c r="H90" s="37" t="s">
        <v>105</v>
      </c>
      <c r="I90" s="60">
        <f>ONSV_AUX_2015!O58</f>
        <v>6854</v>
      </c>
      <c r="J90" s="10">
        <f>I90</f>
        <v>6854</v>
      </c>
      <c r="K90" s="11"/>
      <c r="L90" s="11"/>
      <c r="M90" s="11"/>
      <c r="O90" s="73"/>
      <c r="P90" s="76"/>
      <c r="Q90" s="65" t="s">
        <v>136</v>
      </c>
      <c r="R90" s="60">
        <f>J92-R87</f>
        <v>18253.32992497239</v>
      </c>
      <c r="S90" s="48"/>
      <c r="T90" s="48"/>
      <c r="U90" s="62"/>
      <c r="V90" s="77"/>
      <c r="W90" s="48"/>
      <c r="X90" s="62"/>
    </row>
    <row r="91" spans="8:24" ht="15.75">
      <c r="H91" s="37" t="s">
        <v>106</v>
      </c>
      <c r="I91" s="60">
        <f>ONSV_AUX_2015!O59</f>
        <v>117930</v>
      </c>
      <c r="J91" s="61">
        <f>I91-(L84*I82)</f>
        <v>117917.53924387456</v>
      </c>
      <c r="K91" s="11"/>
      <c r="L91" s="11"/>
      <c r="M91" s="11"/>
      <c r="N91" s="28" t="s">
        <v>143</v>
      </c>
      <c r="O91" s="60">
        <f>I79</f>
        <v>23733</v>
      </c>
      <c r="P91" s="76"/>
      <c r="Q91" s="48"/>
      <c r="R91" s="48"/>
      <c r="S91" s="77"/>
      <c r="T91" s="65" t="s">
        <v>142</v>
      </c>
      <c r="U91" s="68">
        <f>R86</f>
        <v>55275.960904566171</v>
      </c>
      <c r="V91" s="48"/>
      <c r="W91" s="65" t="s">
        <v>153</v>
      </c>
      <c r="X91" s="67">
        <f>I94</f>
        <v>703448</v>
      </c>
    </row>
    <row r="92" spans="8:24" ht="15.75">
      <c r="H92" s="37" t="s">
        <v>107</v>
      </c>
      <c r="I92" s="60">
        <f>ONSV_AUX_2015!O60</f>
        <v>34364</v>
      </c>
      <c r="J92" s="61">
        <f>I92-(L85*I82)</f>
        <v>34360.369020406222</v>
      </c>
      <c r="K92" s="11"/>
      <c r="L92" s="11"/>
      <c r="M92" s="11"/>
      <c r="N92" s="28" t="s">
        <v>146</v>
      </c>
      <c r="O92" s="60">
        <f>I83</f>
        <v>266</v>
      </c>
      <c r="P92" s="76"/>
      <c r="Q92" s="48"/>
      <c r="R92" s="48"/>
      <c r="S92" s="48"/>
      <c r="T92" s="65" t="s">
        <v>154</v>
      </c>
      <c r="U92" s="68">
        <f>I91-J91</f>
        <v>12.460756125437911</v>
      </c>
      <c r="V92" s="48"/>
      <c r="W92" s="65" t="s">
        <v>155</v>
      </c>
      <c r="X92" s="67">
        <f>I95</f>
        <v>155783</v>
      </c>
    </row>
    <row r="93" spans="8:24" ht="15.75">
      <c r="H93" s="37" t="s">
        <v>108</v>
      </c>
      <c r="I93" s="60">
        <f>ONSV_AUX_2015!O61</f>
        <v>6335</v>
      </c>
      <c r="J93" s="10">
        <f>I93</f>
        <v>6335</v>
      </c>
      <c r="K93" s="11"/>
      <c r="L93" s="11"/>
      <c r="M93" s="11"/>
      <c r="N93" s="28" t="s">
        <v>139</v>
      </c>
      <c r="O93" s="60">
        <f>IF(OR((O82*I80&gt;J88),((O91+O92+(O82*I80))&gt;J88)),(J88-O91-O92),(O82*I80))</f>
        <v>484686.24546247348</v>
      </c>
      <c r="P93" s="76"/>
      <c r="Q93" s="48"/>
      <c r="R93" s="78"/>
      <c r="S93" s="48"/>
      <c r="T93" s="65" t="s">
        <v>150</v>
      </c>
      <c r="U93" s="72">
        <f>R89</f>
        <v>62641.578339308391</v>
      </c>
      <c r="V93" s="48"/>
      <c r="W93" s="48"/>
      <c r="X93" s="48"/>
    </row>
    <row r="94" spans="8:24" ht="15.75">
      <c r="H94" s="37" t="s">
        <v>109</v>
      </c>
      <c r="I94" s="60">
        <f>ONSV_AUX_2015!O62</f>
        <v>703448</v>
      </c>
      <c r="J94" s="10">
        <f>I94</f>
        <v>703448</v>
      </c>
      <c r="K94" s="11"/>
      <c r="L94" s="11"/>
      <c r="M94" s="11"/>
      <c r="N94" s="28" t="s">
        <v>151</v>
      </c>
      <c r="O94" s="60">
        <f>IF((J88-O91-O93-O92)&lt;0,0,(J88-O91-O93-O92))</f>
        <v>0</v>
      </c>
      <c r="P94" s="48"/>
      <c r="Q94" s="48"/>
      <c r="R94" s="48"/>
      <c r="S94" s="48"/>
      <c r="T94" s="48"/>
      <c r="U94" s="62"/>
      <c r="V94" s="48"/>
      <c r="W94" s="48"/>
      <c r="X94" s="48"/>
    </row>
    <row r="95" spans="8:24" ht="15.75">
      <c r="H95" s="37" t="s">
        <v>110</v>
      </c>
      <c r="I95" s="60">
        <f>ONSV_AUX_2015!O63</f>
        <v>155783</v>
      </c>
      <c r="J95" s="10">
        <f>I95</f>
        <v>155783</v>
      </c>
      <c r="K95" s="11"/>
      <c r="L95" s="11"/>
      <c r="M95" s="11"/>
      <c r="O95" s="48"/>
      <c r="P95" s="76"/>
      <c r="Q95" s="48"/>
      <c r="R95" s="48"/>
      <c r="S95" s="48"/>
      <c r="T95" s="79" t="s">
        <v>156</v>
      </c>
      <c r="U95" s="80">
        <f>(SUM(U81:U93,X81:X92)/SUM(I88:I97))-1</f>
        <v>0</v>
      </c>
      <c r="V95" s="48"/>
      <c r="W95" s="79" t="s">
        <v>10</v>
      </c>
      <c r="X95" s="67">
        <f>SUM(U81:U93,X81:X92)</f>
        <v>1616025</v>
      </c>
    </row>
    <row r="96" spans="8:24" ht="15.75">
      <c r="H96" s="37" t="s">
        <v>111</v>
      </c>
      <c r="I96" s="60">
        <f>ONSV_AUX_2015!O64</f>
        <v>16449</v>
      </c>
      <c r="J96" s="10">
        <f>I96</f>
        <v>16449</v>
      </c>
      <c r="K96" s="11"/>
      <c r="L96" s="11"/>
      <c r="M96" s="11"/>
      <c r="O96" s="48"/>
      <c r="P96" s="76"/>
      <c r="Q96" s="48"/>
      <c r="R96" s="48"/>
      <c r="S96" s="48"/>
      <c r="T96" s="48"/>
      <c r="U96" s="48"/>
      <c r="V96" s="48"/>
      <c r="W96" s="48"/>
      <c r="X96" s="48"/>
    </row>
    <row r="97" spans="1:24" ht="15.75">
      <c r="H97" s="37" t="s">
        <v>112</v>
      </c>
      <c r="I97" s="60">
        <f>ONSV_AUX_2015!O65</f>
        <v>10919</v>
      </c>
      <c r="J97" s="61">
        <f>I97-(L86*I82)</f>
        <v>10917.846273245708</v>
      </c>
      <c r="K97" s="12"/>
      <c r="L97" s="12"/>
      <c r="M97" s="12"/>
      <c r="N97" s="12"/>
      <c r="O97" s="12"/>
      <c r="P97" s="12"/>
      <c r="Q97" s="4"/>
      <c r="R97" s="4"/>
    </row>
    <row r="98" spans="1:24" ht="15.75">
      <c r="I98" s="40"/>
      <c r="J98" s="21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4" ht="15.75">
      <c r="I99" s="40"/>
      <c r="J99" s="21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4" s="34" customFormat="1" ht="15.75">
      <c r="A100" s="101" t="str">
        <f>"PARÁ/"&amp;ONSV_AUX_2014!$A$1&amp;""</f>
        <v>PARÁ/2014</v>
      </c>
      <c r="B100" s="102"/>
      <c r="C100" s="102"/>
      <c r="D100" s="102"/>
      <c r="E100" s="102"/>
      <c r="F100" s="102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</row>
    <row r="101" spans="1:24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>
      <c r="H102" s="23" t="s">
        <v>118</v>
      </c>
      <c r="N102" s="26"/>
      <c r="O102" s="26"/>
      <c r="P102" s="9"/>
      <c r="Q102" s="26"/>
      <c r="R102" s="26"/>
      <c r="S102" s="26"/>
      <c r="T102" s="25"/>
      <c r="U102" s="25"/>
      <c r="V102" s="25"/>
      <c r="W102" s="25"/>
      <c r="X102" s="25"/>
    </row>
    <row r="103" spans="1:24" ht="15.75">
      <c r="J103" s="9"/>
      <c r="M103" s="25"/>
      <c r="N103" s="9"/>
      <c r="O103" s="9"/>
      <c r="P103" s="9"/>
      <c r="Q103" s="11"/>
      <c r="R103" s="11"/>
      <c r="S103" s="11"/>
    </row>
    <row r="104" spans="1:24" ht="15.75">
      <c r="H104" s="36" t="s">
        <v>81</v>
      </c>
      <c r="I104" s="60">
        <f>ONSV_AUX_2014!O27</f>
        <v>23685</v>
      </c>
      <c r="J104" s="9"/>
      <c r="K104" s="104" t="s">
        <v>119</v>
      </c>
      <c r="L104" s="104"/>
      <c r="M104" s="9"/>
      <c r="N104" s="26" t="s">
        <v>120</v>
      </c>
      <c r="O104" s="26"/>
      <c r="Q104" s="26" t="s">
        <v>121</v>
      </c>
      <c r="R104" s="26"/>
      <c r="S104" s="26"/>
      <c r="T104" s="25" t="s">
        <v>122</v>
      </c>
      <c r="U104" s="25"/>
      <c r="V104" s="25"/>
      <c r="W104" s="25"/>
      <c r="X104" s="25"/>
    </row>
    <row r="105" spans="1:24" ht="15.75">
      <c r="H105" s="36" t="s">
        <v>84</v>
      </c>
      <c r="I105" s="60">
        <f>ONSV_AUX_2014!O28</f>
        <v>499684</v>
      </c>
      <c r="J105" s="9"/>
      <c r="K105" s="9"/>
      <c r="L105" s="9"/>
      <c r="M105" s="9"/>
      <c r="N105" s="9"/>
      <c r="O105" s="9"/>
      <c r="P105" s="20"/>
      <c r="Q105" s="11"/>
      <c r="R105" s="11"/>
      <c r="S105" s="11"/>
    </row>
    <row r="106" spans="1:24" ht="15.75">
      <c r="H106" s="36" t="s">
        <v>85</v>
      </c>
      <c r="I106" s="60">
        <f>ONSV_AUX_2014!O29</f>
        <v>144804</v>
      </c>
      <c r="J106" s="9"/>
      <c r="K106" s="2" t="s">
        <v>123</v>
      </c>
      <c r="L106" s="60">
        <f>I113+I116+I117+I122</f>
        <v>619932</v>
      </c>
      <c r="N106" s="28" t="s">
        <v>124</v>
      </c>
      <c r="O106" s="60">
        <f>J113+J122</f>
        <v>481956.23733409471</v>
      </c>
      <c r="P106" s="64"/>
      <c r="Q106" s="65" t="s">
        <v>125</v>
      </c>
      <c r="R106" s="60">
        <f>J116+J117</f>
        <v>137920.76266590529</v>
      </c>
      <c r="S106" s="66"/>
      <c r="T106" s="65" t="s">
        <v>126</v>
      </c>
      <c r="U106" s="67">
        <f>O110</f>
        <v>9852.1258476736166</v>
      </c>
      <c r="V106" s="48"/>
      <c r="W106" s="65" t="s">
        <v>127</v>
      </c>
      <c r="X106" s="68">
        <f>R112</f>
        <v>15347.232170691568</v>
      </c>
    </row>
    <row r="107" spans="1:24" ht="15.75">
      <c r="H107" s="36" t="s">
        <v>101</v>
      </c>
      <c r="I107" s="60">
        <f>ONSV_AUX_2014!O30</f>
        <v>55</v>
      </c>
      <c r="J107" s="9"/>
      <c r="K107" s="27"/>
      <c r="L107" s="62"/>
      <c r="M107" s="20"/>
      <c r="N107" s="28" t="s">
        <v>128</v>
      </c>
      <c r="O107" s="69">
        <f>J113/O106</f>
        <v>0.97955804887562004</v>
      </c>
      <c r="P107" s="64"/>
      <c r="Q107" s="70" t="s">
        <v>129</v>
      </c>
      <c r="R107" s="63">
        <f>J116/R106</f>
        <v>0.76673457403232004</v>
      </c>
      <c r="S107" s="71"/>
      <c r="T107" s="65" t="s">
        <v>130</v>
      </c>
      <c r="U107" s="67">
        <f>I122-J122</f>
        <v>0.87415232638340967</v>
      </c>
      <c r="V107" s="48"/>
      <c r="W107" s="65" t="s">
        <v>131</v>
      </c>
      <c r="X107" s="68">
        <f>I117-J117</f>
        <v>2.8545469503114873</v>
      </c>
    </row>
    <row r="108" spans="1:24" ht="15.75">
      <c r="H108" s="36" t="s">
        <v>16</v>
      </c>
      <c r="I108" s="60">
        <f>ONSV_AUX_2014!O31</f>
        <v>240</v>
      </c>
      <c r="J108" s="9"/>
      <c r="K108" s="2" t="s">
        <v>132</v>
      </c>
      <c r="L108" s="63">
        <f>I113/L106</f>
        <v>0.76160933779833917</v>
      </c>
      <c r="M108" s="20"/>
      <c r="N108" s="28" t="s">
        <v>133</v>
      </c>
      <c r="O108" s="69">
        <f>J122/O106</f>
        <v>2.0441951124379926E-2</v>
      </c>
      <c r="P108" s="64"/>
      <c r="Q108" s="70" t="s">
        <v>134</v>
      </c>
      <c r="R108" s="63">
        <f>J117/R106</f>
        <v>0.23326542596767996</v>
      </c>
      <c r="S108" s="71"/>
      <c r="T108" s="65" t="s">
        <v>135</v>
      </c>
      <c r="U108" s="72">
        <f>O112</f>
        <v>0</v>
      </c>
      <c r="V108" s="73"/>
      <c r="W108" s="65" t="s">
        <v>136</v>
      </c>
      <c r="X108" s="72">
        <f>R115</f>
        <v>16824.91328235812</v>
      </c>
    </row>
    <row r="109" spans="1:24" ht="15.75">
      <c r="H109" s="36" t="s">
        <v>94</v>
      </c>
      <c r="I109" s="60">
        <f>ONSV_AUX_2014!O32</f>
        <v>804040</v>
      </c>
      <c r="J109" s="10"/>
      <c r="K109" s="2" t="s">
        <v>2</v>
      </c>
      <c r="L109" s="63">
        <f>I116/L106</f>
        <v>0.17059612989811787</v>
      </c>
      <c r="M109" s="20"/>
      <c r="N109" s="20"/>
      <c r="O109" s="74"/>
      <c r="P109" s="48"/>
      <c r="Q109" s="48"/>
      <c r="R109" s="48"/>
      <c r="S109" s="48"/>
      <c r="T109" s="48"/>
      <c r="U109" s="62"/>
      <c r="V109" s="75"/>
      <c r="W109" s="48"/>
      <c r="X109" s="62"/>
    </row>
    <row r="110" spans="1:24" ht="15.75">
      <c r="K110" s="2" t="s">
        <v>3</v>
      </c>
      <c r="L110" s="63">
        <f>I117/L106</f>
        <v>5.190085364201235E-2</v>
      </c>
      <c r="M110" s="20"/>
      <c r="N110" s="28" t="s">
        <v>137</v>
      </c>
      <c r="O110" s="60">
        <f>IF(O108*I105&gt;J122,J122,O108*I105)</f>
        <v>9852.1258476736166</v>
      </c>
      <c r="P110" s="76"/>
      <c r="Q110" s="65" t="s">
        <v>138</v>
      </c>
      <c r="R110" s="60">
        <f>I106-I114-I115-I118-I121</f>
        <v>65793</v>
      </c>
      <c r="S110" s="77"/>
      <c r="T110" s="65" t="s">
        <v>139</v>
      </c>
      <c r="U110" s="67">
        <f>O118</f>
        <v>448179.11148642108</v>
      </c>
      <c r="V110" s="76"/>
      <c r="W110" s="65" t="s">
        <v>140</v>
      </c>
      <c r="X110" s="67">
        <f>I114</f>
        <v>51769</v>
      </c>
    </row>
    <row r="111" spans="1:24" ht="15.75">
      <c r="H111" s="24" t="s">
        <v>141</v>
      </c>
      <c r="K111" s="2" t="s">
        <v>0</v>
      </c>
      <c r="L111" s="63">
        <f>I122/L106</f>
        <v>1.589367866153062E-2</v>
      </c>
      <c r="O111" s="48"/>
      <c r="P111" s="76"/>
      <c r="Q111" s="65" t="s">
        <v>142</v>
      </c>
      <c r="R111" s="60">
        <f>R107*R110</f>
        <v>50445.767829308432</v>
      </c>
      <c r="S111" s="48"/>
      <c r="T111" s="65" t="s">
        <v>143</v>
      </c>
      <c r="U111" s="67">
        <f>O116</f>
        <v>23685</v>
      </c>
      <c r="V111" s="66"/>
      <c r="W111" s="65" t="s">
        <v>144</v>
      </c>
      <c r="X111" s="67">
        <f>I115</f>
        <v>6092</v>
      </c>
    </row>
    <row r="112" spans="1:24" ht="15.75">
      <c r="K112" s="11"/>
      <c r="L112" s="11"/>
      <c r="M112" s="11"/>
      <c r="N112" s="28" t="s">
        <v>145</v>
      </c>
      <c r="O112" s="60">
        <f>J122-O110</f>
        <v>0</v>
      </c>
      <c r="P112" s="76"/>
      <c r="Q112" s="65" t="s">
        <v>127</v>
      </c>
      <c r="R112" s="60">
        <f>R108*R110</f>
        <v>15347.232170691568</v>
      </c>
      <c r="S112" s="48"/>
      <c r="T112" s="65" t="s">
        <v>146</v>
      </c>
      <c r="U112" s="67">
        <f>O117</f>
        <v>240</v>
      </c>
      <c r="V112" s="71"/>
      <c r="W112" s="48"/>
      <c r="X112" s="62"/>
    </row>
    <row r="113" spans="8:24" ht="15.75">
      <c r="H113" s="37" t="s">
        <v>103</v>
      </c>
      <c r="I113" s="60">
        <f>ONSV_AUX_2014!O56</f>
        <v>472146</v>
      </c>
      <c r="J113" s="61">
        <f>I113-(L108*I107)</f>
        <v>472104.11148642108</v>
      </c>
      <c r="K113" s="11"/>
      <c r="L113" s="11"/>
      <c r="M113" s="11"/>
      <c r="O113" s="76"/>
      <c r="P113" s="76"/>
      <c r="Q113" s="48"/>
      <c r="R113" s="78"/>
      <c r="S113" s="48"/>
      <c r="T113" s="65" t="s">
        <v>147</v>
      </c>
      <c r="U113" s="68">
        <f>I113-J113</f>
        <v>41.8885135789169</v>
      </c>
      <c r="V113" s="71"/>
      <c r="W113" s="65" t="s">
        <v>148</v>
      </c>
      <c r="X113" s="67">
        <f>I121</f>
        <v>15089</v>
      </c>
    </row>
    <row r="114" spans="8:24" ht="15.75">
      <c r="H114" s="37" t="s">
        <v>104</v>
      </c>
      <c r="I114" s="60">
        <f>ONSV_AUX_2014!O57</f>
        <v>51769</v>
      </c>
      <c r="J114" s="10">
        <f>I114</f>
        <v>51769</v>
      </c>
      <c r="K114" s="11"/>
      <c r="L114" s="11"/>
      <c r="M114" s="11"/>
      <c r="N114" s="26" t="s">
        <v>149</v>
      </c>
      <c r="O114" s="76"/>
      <c r="P114" s="76"/>
      <c r="Q114" s="65" t="s">
        <v>150</v>
      </c>
      <c r="R114" s="60">
        <f>J116-R111</f>
        <v>55302.849383547175</v>
      </c>
      <c r="S114" s="48"/>
      <c r="T114" s="65" t="s">
        <v>151</v>
      </c>
      <c r="U114" s="72">
        <f>O119</f>
        <v>0</v>
      </c>
      <c r="V114" s="48"/>
      <c r="W114" s="65" t="s">
        <v>152</v>
      </c>
      <c r="X114" s="67">
        <f>I118</f>
        <v>6061</v>
      </c>
    </row>
    <row r="115" spans="8:24" ht="15.75">
      <c r="H115" s="37" t="s">
        <v>105</v>
      </c>
      <c r="I115" s="60">
        <f>ONSV_AUX_2014!O58</f>
        <v>6092</v>
      </c>
      <c r="J115" s="10">
        <f>I115</f>
        <v>6092</v>
      </c>
      <c r="K115" s="11"/>
      <c r="L115" s="11"/>
      <c r="M115" s="11"/>
      <c r="O115" s="73"/>
      <c r="P115" s="76"/>
      <c r="Q115" s="65" t="s">
        <v>136</v>
      </c>
      <c r="R115" s="60">
        <f>J117-R112</f>
        <v>16824.91328235812</v>
      </c>
      <c r="S115" s="48"/>
      <c r="T115" s="48"/>
      <c r="U115" s="62"/>
      <c r="V115" s="77"/>
      <c r="W115" s="48"/>
      <c r="X115" s="62"/>
    </row>
    <row r="116" spans="8:24" ht="15.75">
      <c r="H116" s="37" t="s">
        <v>106</v>
      </c>
      <c r="I116" s="60">
        <f>ONSV_AUX_2014!O59</f>
        <v>105758</v>
      </c>
      <c r="J116" s="61">
        <f>I116-(L109*I107)</f>
        <v>105748.61721285561</v>
      </c>
      <c r="K116" s="11"/>
      <c r="L116" s="11"/>
      <c r="M116" s="11"/>
      <c r="N116" s="28" t="s">
        <v>143</v>
      </c>
      <c r="O116" s="60">
        <f>I104</f>
        <v>23685</v>
      </c>
      <c r="P116" s="76"/>
      <c r="Q116" s="48"/>
      <c r="R116" s="48"/>
      <c r="S116" s="77"/>
      <c r="T116" s="65" t="s">
        <v>142</v>
      </c>
      <c r="U116" s="68">
        <f>R111</f>
        <v>50445.767829308432</v>
      </c>
      <c r="V116" s="48"/>
      <c r="W116" s="65" t="s">
        <v>153</v>
      </c>
      <c r="X116" s="67">
        <f>I119</f>
        <v>631566</v>
      </c>
    </row>
    <row r="117" spans="8:24" ht="15.75">
      <c r="H117" s="37" t="s">
        <v>107</v>
      </c>
      <c r="I117" s="60">
        <f>ONSV_AUX_2014!O60</f>
        <v>32175</v>
      </c>
      <c r="J117" s="61">
        <f>I117-(L110*I107)</f>
        <v>32172.145453049689</v>
      </c>
      <c r="K117" s="11"/>
      <c r="L117" s="11"/>
      <c r="M117" s="11"/>
      <c r="N117" s="28" t="s">
        <v>146</v>
      </c>
      <c r="O117" s="60">
        <f>I108</f>
        <v>240</v>
      </c>
      <c r="P117" s="76"/>
      <c r="Q117" s="48"/>
      <c r="R117" s="48"/>
      <c r="S117" s="48"/>
      <c r="T117" s="65" t="s">
        <v>154</v>
      </c>
      <c r="U117" s="68">
        <f>I116-J116</f>
        <v>9.3827871443936601</v>
      </c>
      <c r="V117" s="48"/>
      <c r="W117" s="65" t="s">
        <v>155</v>
      </c>
      <c r="X117" s="67">
        <f>I120</f>
        <v>139185</v>
      </c>
    </row>
    <row r="118" spans="8:24" ht="15.75">
      <c r="H118" s="37" t="s">
        <v>108</v>
      </c>
      <c r="I118" s="60">
        <f>ONSV_AUX_2014!O61</f>
        <v>6061</v>
      </c>
      <c r="J118" s="10">
        <f>I118</f>
        <v>6061</v>
      </c>
      <c r="K118" s="11"/>
      <c r="L118" s="11"/>
      <c r="M118" s="11"/>
      <c r="N118" s="28" t="s">
        <v>139</v>
      </c>
      <c r="O118" s="60">
        <f>IF(OR((O107*I105&gt;J113),((O116+O117+(O107*I105))&gt;J113)),(J113-O116-O117),(O107*I105))</f>
        <v>448179.11148642108</v>
      </c>
      <c r="P118" s="76"/>
      <c r="Q118" s="48"/>
      <c r="R118" s="78"/>
      <c r="S118" s="48"/>
      <c r="T118" s="65" t="s">
        <v>150</v>
      </c>
      <c r="U118" s="72">
        <f>R114</f>
        <v>55302.849383547175</v>
      </c>
      <c r="V118" s="48"/>
      <c r="W118" s="48"/>
      <c r="X118" s="48"/>
    </row>
    <row r="119" spans="8:24" ht="15.75">
      <c r="H119" s="37" t="s">
        <v>109</v>
      </c>
      <c r="I119" s="60">
        <f>ONSV_AUX_2014!O62</f>
        <v>631566</v>
      </c>
      <c r="J119" s="10">
        <f>I119</f>
        <v>631566</v>
      </c>
      <c r="K119" s="11"/>
      <c r="L119" s="11"/>
      <c r="M119" s="11"/>
      <c r="N119" s="28" t="s">
        <v>151</v>
      </c>
      <c r="O119" s="60">
        <f>IF((J113-O116-O118-O117)&lt;0,0,(J113-O116-O118-O117))</f>
        <v>0</v>
      </c>
      <c r="P119" s="48"/>
      <c r="Q119" s="48"/>
      <c r="R119" s="48"/>
      <c r="S119" s="48"/>
      <c r="T119" s="48"/>
      <c r="U119" s="62"/>
      <c r="V119" s="48"/>
      <c r="W119" s="48"/>
      <c r="X119" s="48"/>
    </row>
    <row r="120" spans="8:24" ht="15.75">
      <c r="H120" s="37" t="s">
        <v>110</v>
      </c>
      <c r="I120" s="60">
        <f>ONSV_AUX_2014!O63</f>
        <v>139185</v>
      </c>
      <c r="J120" s="10">
        <f>I120</f>
        <v>139185</v>
      </c>
      <c r="K120" s="11"/>
      <c r="L120" s="11"/>
      <c r="M120" s="11"/>
      <c r="O120" s="48"/>
      <c r="P120" s="76"/>
      <c r="Q120" s="48"/>
      <c r="R120" s="48"/>
      <c r="S120" s="48"/>
      <c r="T120" s="79" t="s">
        <v>156</v>
      </c>
      <c r="U120" s="80">
        <f>(SUM(U106:U118,X106:X117)/SUM(I113:I122))-1</f>
        <v>0</v>
      </c>
      <c r="V120" s="48"/>
      <c r="W120" s="79" t="s">
        <v>10</v>
      </c>
      <c r="X120" s="67">
        <f>SUM(U106:U118,X106:X117)</f>
        <v>1469694</v>
      </c>
    </row>
    <row r="121" spans="8:24" ht="15.75">
      <c r="H121" s="37" t="s">
        <v>111</v>
      </c>
      <c r="I121" s="60">
        <f>ONSV_AUX_2014!O64</f>
        <v>15089</v>
      </c>
      <c r="J121" s="10">
        <f>I121</f>
        <v>15089</v>
      </c>
      <c r="K121" s="11"/>
      <c r="L121" s="11"/>
      <c r="M121" s="11"/>
      <c r="O121" s="48"/>
      <c r="P121" s="76"/>
      <c r="Q121" s="48"/>
      <c r="R121" s="48"/>
      <c r="S121" s="48"/>
      <c r="T121" s="48"/>
      <c r="U121" s="48"/>
      <c r="V121" s="48"/>
      <c r="W121" s="48"/>
      <c r="X121" s="48"/>
    </row>
    <row r="122" spans="8:24" ht="15.75">
      <c r="H122" s="37" t="s">
        <v>112</v>
      </c>
      <c r="I122" s="60">
        <f>ONSV_AUX_2014!O65</f>
        <v>9853</v>
      </c>
      <c r="J122" s="61">
        <f>I122-(L111*I107)</f>
        <v>9852.1258476736166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A1:F1"/>
    <mergeCell ref="Q4:R4"/>
    <mergeCell ref="T4:X4"/>
    <mergeCell ref="K5:L5"/>
    <mergeCell ref="A25:F25"/>
    <mergeCell ref="T27:X27"/>
    <mergeCell ref="T52:X52"/>
    <mergeCell ref="K79:L79"/>
    <mergeCell ref="A100:F100"/>
    <mergeCell ref="K104:L104"/>
    <mergeCell ref="K29:L29"/>
    <mergeCell ref="A50:F50"/>
    <mergeCell ref="A75:F75"/>
    <mergeCell ref="K54:L5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9" tint="0.39997558519241921"/>
  </sheetPr>
  <dimension ref="A1:X122"/>
  <sheetViews>
    <sheetView showGridLines="0" topLeftCell="A91" zoomScale="90" zoomScaleNormal="90" workbookViewId="0">
      <selection activeCell="L38" sqref="L38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  <col min="27" max="28" width="10" bestFit="1" customWidth="1"/>
    <col min="30" max="30" width="10" bestFit="1" customWidth="1"/>
  </cols>
  <sheetData>
    <row r="1" spans="1:24" s="31" customFormat="1" ht="15.75">
      <c r="A1" s="101" t="str">
        <f>"PARAÍBA/"&amp;ONSV_AUX_2018!$A$1&amp;""</f>
        <v>PARAÍBA/2018</v>
      </c>
      <c r="B1" s="102"/>
      <c r="C1" s="102"/>
      <c r="D1" s="102"/>
      <c r="E1" s="102"/>
      <c r="F1" s="102"/>
    </row>
    <row r="2" spans="1:24" s="4" customFormat="1" ht="15.75">
      <c r="A2" s="32"/>
      <c r="B2" s="32"/>
      <c r="C2" s="32"/>
      <c r="D2" s="32"/>
      <c r="E2" s="32"/>
      <c r="F2" s="32"/>
    </row>
    <row r="3" spans="1:24" ht="15.75">
      <c r="A3" s="12"/>
      <c r="H3" s="23" t="s">
        <v>118</v>
      </c>
    </row>
    <row r="4" spans="1:24" ht="15.75">
      <c r="B4" s="5"/>
      <c r="J4" s="9"/>
      <c r="M4" s="25"/>
      <c r="N4" s="25"/>
      <c r="O4" s="25"/>
      <c r="P4" s="25"/>
      <c r="Q4" s="103"/>
      <c r="R4" s="103"/>
      <c r="S4" s="22"/>
      <c r="T4" s="104"/>
      <c r="U4" s="104"/>
      <c r="V4" s="104"/>
      <c r="W4" s="104"/>
      <c r="X4" s="104"/>
    </row>
    <row r="5" spans="1:24" ht="15.75">
      <c r="H5" s="36" t="s">
        <v>81</v>
      </c>
      <c r="I5" s="60">
        <f>ONSV_AUX_2018!P27</f>
        <v>29292</v>
      </c>
      <c r="J5" s="9"/>
      <c r="K5" s="104" t="s">
        <v>119</v>
      </c>
      <c r="L5" s="104"/>
      <c r="M5" s="9"/>
      <c r="N5" s="26" t="s">
        <v>120</v>
      </c>
      <c r="O5" s="26"/>
      <c r="Q5" s="26" t="s">
        <v>121</v>
      </c>
      <c r="R5" s="26"/>
      <c r="S5" s="26"/>
      <c r="T5" s="25" t="s">
        <v>122</v>
      </c>
      <c r="U5" s="25"/>
      <c r="V5" s="25"/>
      <c r="W5" s="25"/>
      <c r="X5" s="25"/>
    </row>
    <row r="6" spans="1:24" ht="15.75">
      <c r="H6" s="36" t="s">
        <v>84</v>
      </c>
      <c r="I6" s="60">
        <f>ONSV_AUX_2018!P28</f>
        <v>506307</v>
      </c>
      <c r="J6" s="9"/>
      <c r="K6" s="9"/>
      <c r="L6" s="9"/>
      <c r="M6" s="9"/>
      <c r="N6" s="9"/>
      <c r="O6" s="9"/>
      <c r="P6" s="20"/>
      <c r="Q6" s="11"/>
      <c r="R6" s="11"/>
      <c r="S6" s="11"/>
    </row>
    <row r="7" spans="1:24" ht="15.75">
      <c r="H7" s="36" t="s">
        <v>85</v>
      </c>
      <c r="I7" s="60">
        <f>ONSV_AUX_2018!P29</f>
        <v>86034</v>
      </c>
      <c r="J7" s="9"/>
      <c r="K7" s="2" t="s">
        <v>123</v>
      </c>
      <c r="L7" s="60">
        <f>I14+I17+I18+I23</f>
        <v>635234</v>
      </c>
      <c r="N7" s="28" t="s">
        <v>124</v>
      </c>
      <c r="O7" s="60">
        <f>J14+J23</f>
        <v>526888.71765680052</v>
      </c>
      <c r="P7" s="64"/>
      <c r="Q7" s="65" t="s">
        <v>125</v>
      </c>
      <c r="R7" s="60">
        <f>J17+J18</f>
        <v>108288.28234319952</v>
      </c>
      <c r="S7" s="66"/>
      <c r="T7" s="65" t="s">
        <v>126</v>
      </c>
      <c r="U7" s="67">
        <f>O11</f>
        <v>9919.8260661636323</v>
      </c>
      <c r="V7" s="48"/>
      <c r="W7" s="65" t="s">
        <v>127</v>
      </c>
      <c r="X7" s="68">
        <f>R13</f>
        <v>10783.910644702579</v>
      </c>
    </row>
    <row r="8" spans="1:24" ht="15.75">
      <c r="H8" s="36" t="s">
        <v>101</v>
      </c>
      <c r="I8" s="60">
        <f>ONSV_AUX_2018!P30</f>
        <v>57</v>
      </c>
      <c r="J8" s="9"/>
      <c r="K8" s="27"/>
      <c r="L8" s="62"/>
      <c r="M8" s="20"/>
      <c r="N8" s="28" t="s">
        <v>128</v>
      </c>
      <c r="O8" s="69">
        <f>J14/O7</f>
        <v>0.98040748781635711</v>
      </c>
      <c r="P8" s="64"/>
      <c r="Q8" s="70" t="s">
        <v>129</v>
      </c>
      <c r="R8" s="63">
        <f>J17/R7</f>
        <v>0.7454523629245231</v>
      </c>
      <c r="S8" s="71"/>
      <c r="T8" s="65" t="s">
        <v>130</v>
      </c>
      <c r="U8" s="67">
        <f>I23-J23</f>
        <v>0.92637988520800718</v>
      </c>
      <c r="V8" s="48"/>
      <c r="W8" s="65" t="s">
        <v>131</v>
      </c>
      <c r="X8" s="68">
        <f>I18-J18</f>
        <v>2.473606576473685</v>
      </c>
    </row>
    <row r="9" spans="1:24" ht="15.75">
      <c r="H9" s="36" t="s">
        <v>16</v>
      </c>
      <c r="I9" s="60">
        <f>ONSV_AUX_2018!P31</f>
        <v>22732</v>
      </c>
      <c r="J9" s="9"/>
      <c r="K9" s="2" t="s">
        <v>132</v>
      </c>
      <c r="L9" s="63">
        <f>I14/L7</f>
        <v>0.8132625142860741</v>
      </c>
      <c r="M9" s="20"/>
      <c r="N9" s="28" t="s">
        <v>133</v>
      </c>
      <c r="O9" s="69">
        <f>J23/O7</f>
        <v>1.9592512183642795E-2</v>
      </c>
      <c r="P9" s="64"/>
      <c r="Q9" s="70" t="s">
        <v>134</v>
      </c>
      <c r="R9" s="63">
        <f>J18/R7</f>
        <v>0.2545476370754769</v>
      </c>
      <c r="S9" s="71"/>
      <c r="T9" s="65" t="s">
        <v>135</v>
      </c>
      <c r="U9" s="72">
        <f>O13</f>
        <v>403.24755395115972</v>
      </c>
      <c r="V9" s="73"/>
      <c r="W9" s="65" t="s">
        <v>136</v>
      </c>
      <c r="X9" s="72">
        <f>R16</f>
        <v>16780.615748720949</v>
      </c>
    </row>
    <row r="10" spans="1:24" ht="15.75">
      <c r="H10" s="36" t="s">
        <v>94</v>
      </c>
      <c r="I10" s="60">
        <f>ONSV_AUX_2018!P32</f>
        <v>607921</v>
      </c>
      <c r="J10" s="10"/>
      <c r="K10" s="2" t="s">
        <v>2</v>
      </c>
      <c r="L10" s="63">
        <f>I17/L7</f>
        <v>0.12708860042126208</v>
      </c>
      <c r="M10" s="20"/>
      <c r="N10" s="20"/>
      <c r="O10" s="74"/>
      <c r="P10" s="48"/>
      <c r="Q10" s="48"/>
      <c r="R10" s="48"/>
      <c r="S10" s="48"/>
      <c r="T10" s="48"/>
      <c r="U10" s="62"/>
      <c r="V10" s="75"/>
      <c r="W10" s="48"/>
      <c r="X10" s="62"/>
    </row>
    <row r="11" spans="1:24" ht="15.75">
      <c r="K11" s="2" t="s">
        <v>3</v>
      </c>
      <c r="L11" s="63">
        <f>I18/L7</f>
        <v>4.3396606604810199E-2</v>
      </c>
      <c r="M11" s="20"/>
      <c r="N11" s="28" t="s">
        <v>137</v>
      </c>
      <c r="O11" s="60">
        <f>IF(O9*I6&gt;J23,J23,O9*I6)</f>
        <v>9919.8260661636323</v>
      </c>
      <c r="P11" s="76"/>
      <c r="Q11" s="65" t="s">
        <v>138</v>
      </c>
      <c r="R11" s="60">
        <f>I7-I15-I16-I19-I22</f>
        <v>42365</v>
      </c>
      <c r="S11" s="77"/>
      <c r="T11" s="65" t="s">
        <v>139</v>
      </c>
      <c r="U11" s="67">
        <f>O19</f>
        <v>464541.6440366857</v>
      </c>
      <c r="V11" s="76"/>
      <c r="W11" s="65" t="s">
        <v>140</v>
      </c>
      <c r="X11" s="67">
        <f>I15</f>
        <v>28728</v>
      </c>
    </row>
    <row r="12" spans="1:24" ht="15.75">
      <c r="H12" s="24" t="s">
        <v>141</v>
      </c>
      <c r="K12" s="2" t="s">
        <v>0</v>
      </c>
      <c r="L12" s="63">
        <f>I23/L7</f>
        <v>1.6252278687853609E-2</v>
      </c>
      <c r="O12" s="48"/>
      <c r="P12" s="76"/>
      <c r="Q12" s="65" t="s">
        <v>142</v>
      </c>
      <c r="R12" s="60">
        <f>R8*R11</f>
        <v>31581.089355297423</v>
      </c>
      <c r="S12" s="48"/>
      <c r="T12" s="65" t="s">
        <v>143</v>
      </c>
      <c r="U12" s="67">
        <f>O17</f>
        <v>29292</v>
      </c>
      <c r="V12" s="66"/>
      <c r="W12" s="65" t="s">
        <v>144</v>
      </c>
      <c r="X12" s="67">
        <f>I16</f>
        <v>2682</v>
      </c>
    </row>
    <row r="13" spans="1:24" ht="15.75">
      <c r="K13" s="11"/>
      <c r="L13" s="11"/>
      <c r="M13" s="11"/>
      <c r="N13" s="28" t="s">
        <v>145</v>
      </c>
      <c r="O13" s="60">
        <f>J23-O11</f>
        <v>403.24755395115972</v>
      </c>
      <c r="P13" s="76"/>
      <c r="Q13" s="65" t="s">
        <v>127</v>
      </c>
      <c r="R13" s="60">
        <f>R9*R11</f>
        <v>10783.910644702579</v>
      </c>
      <c r="S13" s="48"/>
      <c r="T13" s="65" t="s">
        <v>146</v>
      </c>
      <c r="U13" s="67">
        <f>O18</f>
        <v>22732</v>
      </c>
      <c r="V13" s="71"/>
      <c r="W13" s="48"/>
      <c r="X13" s="62"/>
    </row>
    <row r="14" spans="1:24" ht="15.75">
      <c r="H14" s="37" t="s">
        <v>103</v>
      </c>
      <c r="I14" s="60">
        <f>ONSV_AUX_2018!P56</f>
        <v>516612</v>
      </c>
      <c r="J14" s="61">
        <f>I14-(L9*I8)</f>
        <v>516565.6440366857</v>
      </c>
      <c r="K14" s="11"/>
      <c r="L14" s="11"/>
      <c r="M14" s="11"/>
      <c r="O14" s="76"/>
      <c r="P14" s="76"/>
      <c r="Q14" s="48"/>
      <c r="R14" s="78"/>
      <c r="S14" s="48"/>
      <c r="T14" s="65" t="s">
        <v>147</v>
      </c>
      <c r="U14" s="68">
        <f>I14-J14</f>
        <v>46.355963314301334</v>
      </c>
      <c r="V14" s="71"/>
      <c r="W14" s="65" t="s">
        <v>148</v>
      </c>
      <c r="X14" s="67">
        <f>I22</f>
        <v>7551</v>
      </c>
    </row>
    <row r="15" spans="1:24" ht="15.75">
      <c r="H15" s="37" t="s">
        <v>104</v>
      </c>
      <c r="I15" s="60">
        <f>ONSV_AUX_2018!P57</f>
        <v>28728</v>
      </c>
      <c r="J15" s="10">
        <f>I15</f>
        <v>28728</v>
      </c>
      <c r="K15" s="11"/>
      <c r="L15" s="11"/>
      <c r="M15" s="11"/>
      <c r="N15" s="26" t="s">
        <v>149</v>
      </c>
      <c r="O15" s="76"/>
      <c r="P15" s="76"/>
      <c r="Q15" s="65" t="s">
        <v>150</v>
      </c>
      <c r="R15" s="60">
        <f>J17-R12</f>
        <v>49142.666594478571</v>
      </c>
      <c r="S15" s="48"/>
      <c r="T15" s="65" t="s">
        <v>151</v>
      </c>
      <c r="U15" s="72">
        <f>O20</f>
        <v>0</v>
      </c>
      <c r="V15" s="48"/>
      <c r="W15" s="65" t="s">
        <v>152</v>
      </c>
      <c r="X15" s="67">
        <f>I19</f>
        <v>4708</v>
      </c>
    </row>
    <row r="16" spans="1:24" ht="15.75">
      <c r="H16" s="37" t="s">
        <v>105</v>
      </c>
      <c r="I16" s="60">
        <f>ONSV_AUX_2018!P58</f>
        <v>2682</v>
      </c>
      <c r="J16" s="10">
        <f>I16</f>
        <v>2682</v>
      </c>
      <c r="K16" s="11"/>
      <c r="L16" s="11"/>
      <c r="M16" s="11"/>
      <c r="O16" s="73"/>
      <c r="P16" s="76"/>
      <c r="Q16" s="65" t="s">
        <v>136</v>
      </c>
      <c r="R16" s="60">
        <f>J18-R13</f>
        <v>16780.615748720949</v>
      </c>
      <c r="S16" s="48"/>
      <c r="T16" s="48"/>
      <c r="U16" s="62"/>
      <c r="V16" s="77"/>
      <c r="W16" s="48"/>
      <c r="X16" s="62"/>
    </row>
    <row r="17" spans="1:24" ht="15.75">
      <c r="H17" s="37" t="s">
        <v>106</v>
      </c>
      <c r="I17" s="60">
        <f>ONSV_AUX_2018!P59</f>
        <v>80731</v>
      </c>
      <c r="J17" s="61">
        <f>I17-(L10*I8)</f>
        <v>80723.755949775994</v>
      </c>
      <c r="K17" s="11"/>
      <c r="L17" s="11"/>
      <c r="M17" s="11"/>
      <c r="N17" s="28" t="s">
        <v>143</v>
      </c>
      <c r="O17" s="60">
        <f>I5</f>
        <v>29292</v>
      </c>
      <c r="P17" s="76"/>
      <c r="Q17" s="48"/>
      <c r="R17" s="48"/>
      <c r="S17" s="77"/>
      <c r="T17" s="65" t="s">
        <v>142</v>
      </c>
      <c r="U17" s="68">
        <f>R12</f>
        <v>31581.089355297423</v>
      </c>
      <c r="V17" s="48"/>
      <c r="W17" s="65" t="s">
        <v>153</v>
      </c>
      <c r="X17" s="67">
        <f>I20</f>
        <v>480324</v>
      </c>
    </row>
    <row r="18" spans="1:24" ht="15.75">
      <c r="H18" s="37" t="s">
        <v>107</v>
      </c>
      <c r="I18" s="60">
        <f>ONSV_AUX_2018!P60</f>
        <v>27567</v>
      </c>
      <c r="J18" s="61">
        <f>I18-(L11*I8)</f>
        <v>27564.526393423526</v>
      </c>
      <c r="K18" s="11"/>
      <c r="L18" s="11"/>
      <c r="M18" s="11"/>
      <c r="N18" s="28" t="s">
        <v>146</v>
      </c>
      <c r="O18" s="60">
        <f>I9</f>
        <v>22732</v>
      </c>
      <c r="P18" s="76"/>
      <c r="Q18" s="48"/>
      <c r="R18" s="48"/>
      <c r="S18" s="48"/>
      <c r="T18" s="65" t="s">
        <v>154</v>
      </c>
      <c r="U18" s="68">
        <f>I17-J17</f>
        <v>7.2440502240060596</v>
      </c>
      <c r="V18" s="48"/>
      <c r="W18" s="65" t="s">
        <v>155</v>
      </c>
      <c r="X18" s="67">
        <f>I21</f>
        <v>66338</v>
      </c>
    </row>
    <row r="19" spans="1:24" ht="15.75">
      <c r="H19" s="37" t="s">
        <v>108</v>
      </c>
      <c r="I19" s="60">
        <f>ONSV_AUX_2018!P61</f>
        <v>4708</v>
      </c>
      <c r="J19" s="10">
        <f>I19</f>
        <v>4708</v>
      </c>
      <c r="K19" s="11"/>
      <c r="L19" s="11"/>
      <c r="M19" s="11"/>
      <c r="N19" s="28" t="s">
        <v>139</v>
      </c>
      <c r="O19" s="60">
        <f>IF(OR((O8*I6&gt;J14),((O17+O18+(O8*I6))&gt;J14)),(J14-O17-O18),(O8*I6))</f>
        <v>464541.6440366857</v>
      </c>
      <c r="P19" s="76"/>
      <c r="Q19" s="48"/>
      <c r="R19" s="78"/>
      <c r="S19" s="48"/>
      <c r="T19" s="65" t="s">
        <v>150</v>
      </c>
      <c r="U19" s="72">
        <f>R15</f>
        <v>49142.666594478571</v>
      </c>
      <c r="V19" s="48"/>
      <c r="W19" s="48"/>
      <c r="X19" s="48"/>
    </row>
    <row r="20" spans="1:24" ht="15.75">
      <c r="H20" s="37" t="s">
        <v>109</v>
      </c>
      <c r="I20" s="60">
        <f>ONSV_AUX_2018!P62</f>
        <v>480324</v>
      </c>
      <c r="J20" s="10">
        <f t="shared" ref="J20:J22" si="0">I20</f>
        <v>480324</v>
      </c>
      <c r="K20" s="11"/>
      <c r="L20" s="11"/>
      <c r="M20" s="11"/>
      <c r="N20" s="28" t="s">
        <v>151</v>
      </c>
      <c r="O20" s="60">
        <f>IF((J14-O17-O19-O18)&lt;0,0,(J14-O17-O19-O18))</f>
        <v>0</v>
      </c>
      <c r="P20" s="48"/>
      <c r="Q20" s="48"/>
      <c r="R20" s="48"/>
      <c r="S20" s="48"/>
      <c r="T20" s="48"/>
      <c r="U20" s="62"/>
      <c r="V20" s="48"/>
      <c r="W20" s="48"/>
      <c r="X20" s="48"/>
    </row>
    <row r="21" spans="1:24" ht="15.75">
      <c r="H21" s="37" t="s">
        <v>110</v>
      </c>
      <c r="I21" s="60">
        <f>ONSV_AUX_2018!P63</f>
        <v>66338</v>
      </c>
      <c r="J21" s="10">
        <f t="shared" si="0"/>
        <v>66338</v>
      </c>
      <c r="K21" s="11"/>
      <c r="L21" s="11"/>
      <c r="M21" s="11"/>
      <c r="O21" s="48"/>
      <c r="P21" s="76"/>
      <c r="Q21" s="48"/>
      <c r="R21" s="48"/>
      <c r="S21" s="48"/>
      <c r="T21" s="79" t="s">
        <v>156</v>
      </c>
      <c r="U21" s="80">
        <f>(SUM(U7:U19,X7:X18)/SUM(I14:I23))-1</f>
        <v>0</v>
      </c>
      <c r="V21" s="48"/>
      <c r="W21" s="79" t="s">
        <v>10</v>
      </c>
      <c r="X21" s="67">
        <f>SUM(U7:U19,X7:X18)</f>
        <v>1225565</v>
      </c>
    </row>
    <row r="22" spans="1:24" ht="15.75">
      <c r="H22" s="37" t="s">
        <v>111</v>
      </c>
      <c r="I22" s="60">
        <f>ONSV_AUX_2018!P64</f>
        <v>7551</v>
      </c>
      <c r="J22" s="10">
        <f t="shared" si="0"/>
        <v>7551</v>
      </c>
      <c r="K22" s="11"/>
      <c r="L22" s="11"/>
      <c r="M22" s="11"/>
      <c r="O22" s="48"/>
      <c r="P22" s="76"/>
      <c r="Q22" s="48"/>
      <c r="R22" s="48"/>
      <c r="S22" s="48"/>
      <c r="T22" s="48"/>
      <c r="U22" s="48"/>
      <c r="V22" s="48"/>
      <c r="W22" s="48"/>
      <c r="X22" s="48"/>
    </row>
    <row r="23" spans="1:24" ht="15.75">
      <c r="H23" s="37" t="s">
        <v>112</v>
      </c>
      <c r="I23" s="60">
        <f>ONSV_AUX_2018!P65</f>
        <v>10324</v>
      </c>
      <c r="J23" s="61">
        <f>I23-(L12*I8)</f>
        <v>10323.073620114792</v>
      </c>
      <c r="K23" s="12"/>
      <c r="L23" s="12"/>
      <c r="M23" s="12"/>
      <c r="N23" s="12"/>
      <c r="O23" s="12"/>
      <c r="P23" s="12"/>
      <c r="Q23" s="4"/>
      <c r="R23" s="4"/>
    </row>
    <row r="25" spans="1:24" s="34" customFormat="1" ht="15.75">
      <c r="A25" s="101" t="str">
        <f>"PARAÍBA/"&amp;ONSV_AUX_2017!$A$1&amp;""</f>
        <v>PARAÍBA/2017</v>
      </c>
      <c r="B25" s="102"/>
      <c r="C25" s="102"/>
      <c r="D25" s="102"/>
      <c r="E25" s="102"/>
      <c r="F25" s="102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 spans="1:24" ht="15.75">
      <c r="A26" s="3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>
      <c r="A27" s="12"/>
      <c r="H27" s="23" t="s">
        <v>118</v>
      </c>
      <c r="N27" s="26"/>
      <c r="O27" s="26"/>
      <c r="P27" s="9"/>
      <c r="Q27" s="26"/>
      <c r="R27" s="26"/>
      <c r="S27" s="26"/>
      <c r="T27" s="104"/>
      <c r="U27" s="104"/>
      <c r="V27" s="104"/>
      <c r="W27" s="104"/>
      <c r="X27" s="104"/>
    </row>
    <row r="28" spans="1:24" ht="15.75">
      <c r="B28" s="5"/>
      <c r="J28" s="9"/>
      <c r="M28" s="25"/>
    </row>
    <row r="29" spans="1:24" ht="15.75">
      <c r="H29" s="36" t="s">
        <v>81</v>
      </c>
      <c r="I29" s="60">
        <f>ONSV_AUX_2017!P27</f>
        <v>29294</v>
      </c>
      <c r="J29" s="9"/>
      <c r="K29" s="104" t="s">
        <v>119</v>
      </c>
      <c r="L29" s="104"/>
      <c r="M29" s="9"/>
      <c r="N29" s="26" t="s">
        <v>120</v>
      </c>
      <c r="O29" s="26"/>
      <c r="Q29" s="26" t="s">
        <v>121</v>
      </c>
      <c r="R29" s="26"/>
      <c r="S29" s="26"/>
      <c r="T29" s="25" t="s">
        <v>122</v>
      </c>
      <c r="U29" s="25"/>
      <c r="V29" s="25"/>
      <c r="W29" s="25"/>
      <c r="X29" s="25"/>
    </row>
    <row r="30" spans="1:24" ht="15.75">
      <c r="H30" s="36" t="s">
        <v>84</v>
      </c>
      <c r="I30" s="60">
        <f>ONSV_AUX_2017!P28</f>
        <v>470789</v>
      </c>
      <c r="J30" s="9"/>
      <c r="K30" s="9"/>
      <c r="L30" s="9"/>
      <c r="M30" s="9"/>
      <c r="N30" s="9"/>
      <c r="O30" s="9"/>
      <c r="P30" s="20"/>
      <c r="Q30" s="11"/>
      <c r="R30" s="11"/>
      <c r="S30" s="11"/>
    </row>
    <row r="31" spans="1:24" ht="15.75">
      <c r="H31" s="36" t="s">
        <v>85</v>
      </c>
      <c r="I31" s="60">
        <f>ONSV_AUX_2017!P29</f>
        <v>82541</v>
      </c>
      <c r="J31" s="9"/>
      <c r="K31" s="2" t="s">
        <v>123</v>
      </c>
      <c r="L31" s="60">
        <f>I38+I41+I42+I47</f>
        <v>606320</v>
      </c>
      <c r="N31" s="28" t="s">
        <v>124</v>
      </c>
      <c r="O31" s="60">
        <f>J38+J47</f>
        <v>503330.58521737694</v>
      </c>
      <c r="P31" s="64"/>
      <c r="Q31" s="65" t="s">
        <v>125</v>
      </c>
      <c r="R31" s="60">
        <f>J41+J42</f>
        <v>102962.41478262303</v>
      </c>
      <c r="S31" s="66"/>
      <c r="T31" s="65" t="s">
        <v>126</v>
      </c>
      <c r="U31" s="67">
        <f>O35</f>
        <v>8421.4937747465483</v>
      </c>
      <c r="V31" s="48"/>
      <c r="W31" s="65" t="s">
        <v>127</v>
      </c>
      <c r="X31" s="68">
        <f>R37</f>
        <v>10031.299464877098</v>
      </c>
    </row>
    <row r="32" spans="1:24" ht="15.75">
      <c r="H32" s="36" t="s">
        <v>101</v>
      </c>
      <c r="I32" s="60">
        <f>ONSV_AUX_2017!P30</f>
        <v>27</v>
      </c>
      <c r="J32" s="9"/>
      <c r="K32" s="27"/>
      <c r="L32" s="62"/>
      <c r="M32" s="20"/>
      <c r="N32" s="28" t="s">
        <v>128</v>
      </c>
      <c r="O32" s="69">
        <f>J38/O31</f>
        <v>0.98211195721491684</v>
      </c>
      <c r="P32" s="64"/>
      <c r="Q32" s="70" t="s">
        <v>129</v>
      </c>
      <c r="R32" s="63">
        <f>J41/R31</f>
        <v>0.74573407013897652</v>
      </c>
      <c r="S32" s="71"/>
      <c r="T32" s="65" t="s">
        <v>130</v>
      </c>
      <c r="U32" s="67">
        <f>I47-J47</f>
        <v>0.40095659057988087</v>
      </c>
      <c r="V32" s="48"/>
      <c r="W32" s="65" t="s">
        <v>131</v>
      </c>
      <c r="X32" s="68">
        <f>I42-J42</f>
        <v>1.1658645599673036</v>
      </c>
    </row>
    <row r="33" spans="8:24" ht="15.75">
      <c r="H33" s="36" t="s">
        <v>16</v>
      </c>
      <c r="I33" s="60">
        <f>ONSV_AUX_2017!P31</f>
        <v>22353</v>
      </c>
      <c r="J33" s="9"/>
      <c r="K33" s="2" t="s">
        <v>132</v>
      </c>
      <c r="L33" s="63">
        <f>I38/L31</f>
        <v>0.81532689009104109</v>
      </c>
      <c r="M33" s="20"/>
      <c r="N33" s="28" t="s">
        <v>133</v>
      </c>
      <c r="O33" s="69">
        <f>J47/O31</f>
        <v>1.7888042785083231E-2</v>
      </c>
      <c r="P33" s="64"/>
      <c r="Q33" s="70" t="s">
        <v>134</v>
      </c>
      <c r="R33" s="63">
        <f>J42/R31</f>
        <v>0.25426592986102348</v>
      </c>
      <c r="S33" s="71"/>
      <c r="T33" s="65" t="s">
        <v>135</v>
      </c>
      <c r="U33" s="72">
        <f>O37</f>
        <v>582.10526866287182</v>
      </c>
      <c r="V33" s="73"/>
      <c r="W33" s="65" t="s">
        <v>136</v>
      </c>
      <c r="X33" s="72">
        <f>R40</f>
        <v>16148.534670562934</v>
      </c>
    </row>
    <row r="34" spans="8:24" ht="15.75">
      <c r="H34" s="36" t="s">
        <v>94</v>
      </c>
      <c r="I34" s="60">
        <f>ONSV_AUX_2017!P32</f>
        <v>593547</v>
      </c>
      <c r="J34" s="10"/>
      <c r="K34" s="2" t="s">
        <v>2</v>
      </c>
      <c r="L34" s="63">
        <f>I41/L31</f>
        <v>0.12664269692571578</v>
      </c>
      <c r="M34" s="20"/>
      <c r="N34" s="20"/>
      <c r="O34" s="74"/>
      <c r="P34" s="48"/>
      <c r="Q34" s="48"/>
      <c r="R34" s="48"/>
      <c r="S34" s="48"/>
      <c r="T34" s="48"/>
      <c r="U34" s="62"/>
      <c r="V34" s="75"/>
      <c r="W34" s="48"/>
      <c r="X34" s="62"/>
    </row>
    <row r="35" spans="8:24" ht="15.75">
      <c r="K35" s="2" t="s">
        <v>3</v>
      </c>
      <c r="L35" s="63">
        <f>I42/L31</f>
        <v>4.3180168887716058E-2</v>
      </c>
      <c r="M35" s="20"/>
      <c r="N35" s="28" t="s">
        <v>137</v>
      </c>
      <c r="O35" s="60">
        <f>IF(O33*I30&gt;J47,J47,O33*I30)</f>
        <v>8421.4937747465483</v>
      </c>
      <c r="P35" s="76"/>
      <c r="Q35" s="65" t="s">
        <v>138</v>
      </c>
      <c r="R35" s="60">
        <f>I31-I39-I40-I43-I46</f>
        <v>39452</v>
      </c>
      <c r="S35" s="77"/>
      <c r="T35" s="65" t="s">
        <v>139</v>
      </c>
      <c r="U35" s="67">
        <f>O43</f>
        <v>442679.98617396754</v>
      </c>
      <c r="V35" s="76"/>
      <c r="W35" s="65" t="s">
        <v>140</v>
      </c>
      <c r="X35" s="67">
        <f>I39</f>
        <v>28645</v>
      </c>
    </row>
    <row r="36" spans="8:24" ht="15.75">
      <c r="H36" s="24" t="s">
        <v>141</v>
      </c>
      <c r="K36" s="2" t="s">
        <v>0</v>
      </c>
      <c r="L36" s="63">
        <f>I47/L31</f>
        <v>1.4850244095527114E-2</v>
      </c>
      <c r="O36" s="48"/>
      <c r="P36" s="76"/>
      <c r="Q36" s="65" t="s">
        <v>142</v>
      </c>
      <c r="R36" s="60">
        <f>R32*R35</f>
        <v>29420.700535122902</v>
      </c>
      <c r="S36" s="48"/>
      <c r="T36" s="65" t="s">
        <v>143</v>
      </c>
      <c r="U36" s="67">
        <f>O41</f>
        <v>29294</v>
      </c>
      <c r="V36" s="66"/>
      <c r="W36" s="65" t="s">
        <v>144</v>
      </c>
      <c r="X36" s="67">
        <f>I40</f>
        <v>2645</v>
      </c>
    </row>
    <row r="37" spans="8:24" ht="15.75">
      <c r="K37" s="11"/>
      <c r="L37" s="11"/>
      <c r="M37" s="11"/>
      <c r="N37" s="28" t="s">
        <v>145</v>
      </c>
      <c r="O37" s="60">
        <f>J47-O35</f>
        <v>582.10526866287182</v>
      </c>
      <c r="P37" s="76"/>
      <c r="Q37" s="65" t="s">
        <v>127</v>
      </c>
      <c r="R37" s="60">
        <f>R33*R35</f>
        <v>10031.299464877098</v>
      </c>
      <c r="S37" s="48"/>
      <c r="T37" s="65" t="s">
        <v>146</v>
      </c>
      <c r="U37" s="67">
        <f>O42</f>
        <v>22353</v>
      </c>
      <c r="V37" s="71"/>
      <c r="W37" s="48"/>
      <c r="X37" s="62"/>
    </row>
    <row r="38" spans="8:24" ht="15.75">
      <c r="H38" s="37" t="s">
        <v>103</v>
      </c>
      <c r="I38" s="60">
        <f>ONSV_AUX_2017!P56</f>
        <v>494349</v>
      </c>
      <c r="J38" s="61">
        <f>I38-(L33*I32)</f>
        <v>494326.98617396754</v>
      </c>
      <c r="K38" s="11"/>
      <c r="L38" s="11"/>
      <c r="M38" s="11"/>
      <c r="O38" s="76"/>
      <c r="P38" s="76"/>
      <c r="Q38" s="48"/>
      <c r="R38" s="78"/>
      <c r="S38" s="48"/>
      <c r="T38" s="65" t="s">
        <v>147</v>
      </c>
      <c r="U38" s="68">
        <f>I38-J38</f>
        <v>22.013826032460202</v>
      </c>
      <c r="V38" s="71"/>
      <c r="W38" s="65" t="s">
        <v>148</v>
      </c>
      <c r="X38" s="67">
        <f>I46</f>
        <v>7194</v>
      </c>
    </row>
    <row r="39" spans="8:24" ht="15.75">
      <c r="H39" s="37" t="s">
        <v>104</v>
      </c>
      <c r="I39" s="60">
        <f>ONSV_AUX_2017!P57</f>
        <v>28645</v>
      </c>
      <c r="J39" s="10">
        <f>I39</f>
        <v>28645</v>
      </c>
      <c r="K39" s="11"/>
      <c r="L39" s="11"/>
      <c r="M39" s="11"/>
      <c r="N39" s="26" t="s">
        <v>149</v>
      </c>
      <c r="O39" s="76"/>
      <c r="P39" s="76"/>
      <c r="Q39" s="65" t="s">
        <v>150</v>
      </c>
      <c r="R39" s="60">
        <f>J41-R36</f>
        <v>47361.880112060098</v>
      </c>
      <c r="S39" s="48"/>
      <c r="T39" s="65" t="s">
        <v>151</v>
      </c>
      <c r="U39" s="72">
        <f>O44</f>
        <v>0</v>
      </c>
      <c r="V39" s="48"/>
      <c r="W39" s="65" t="s">
        <v>152</v>
      </c>
      <c r="X39" s="67">
        <f>I43</f>
        <v>4605</v>
      </c>
    </row>
    <row r="40" spans="8:24" ht="15.75">
      <c r="H40" s="37" t="s">
        <v>105</v>
      </c>
      <c r="I40" s="60">
        <f>ONSV_AUX_2017!P58</f>
        <v>2645</v>
      </c>
      <c r="J40" s="10">
        <f>I40</f>
        <v>2645</v>
      </c>
      <c r="K40" s="11"/>
      <c r="L40" s="11"/>
      <c r="M40" s="11"/>
      <c r="O40" s="73"/>
      <c r="P40" s="76"/>
      <c r="Q40" s="65" t="s">
        <v>136</v>
      </c>
      <c r="R40" s="60">
        <f>J42-R37</f>
        <v>16148.534670562934</v>
      </c>
      <c r="S40" s="48"/>
      <c r="T40" s="48"/>
      <c r="U40" s="62"/>
      <c r="V40" s="77"/>
      <c r="W40" s="48"/>
      <c r="X40" s="62"/>
    </row>
    <row r="41" spans="8:24" ht="15.75">
      <c r="H41" s="37" t="s">
        <v>106</v>
      </c>
      <c r="I41" s="60">
        <f>ONSV_AUX_2017!P59</f>
        <v>76786</v>
      </c>
      <c r="J41" s="61">
        <f>I41-(L34*I32)</f>
        <v>76782.580647183</v>
      </c>
      <c r="K41" s="11"/>
      <c r="L41" s="11"/>
      <c r="M41" s="11"/>
      <c r="N41" s="28" t="s">
        <v>143</v>
      </c>
      <c r="O41" s="60">
        <f>I29</f>
        <v>29294</v>
      </c>
      <c r="P41" s="76"/>
      <c r="Q41" s="48"/>
      <c r="R41" s="48"/>
      <c r="S41" s="77"/>
      <c r="T41" s="65" t="s">
        <v>142</v>
      </c>
      <c r="U41" s="68">
        <f>R36</f>
        <v>29420.700535122902</v>
      </c>
      <c r="V41" s="48"/>
      <c r="W41" s="65" t="s">
        <v>153</v>
      </c>
      <c r="X41" s="67">
        <f>I44</f>
        <v>460132</v>
      </c>
    </row>
    <row r="42" spans="8:24" ht="15.75">
      <c r="H42" s="37" t="s">
        <v>107</v>
      </c>
      <c r="I42" s="60">
        <f>ONSV_AUX_2017!P60</f>
        <v>26181</v>
      </c>
      <c r="J42" s="61">
        <f>I42-(L35*I32)</f>
        <v>26179.834135440033</v>
      </c>
      <c r="K42" s="11"/>
      <c r="L42" s="11"/>
      <c r="M42" s="11"/>
      <c r="N42" s="28" t="s">
        <v>146</v>
      </c>
      <c r="O42" s="60">
        <f>I33</f>
        <v>22353</v>
      </c>
      <c r="P42" s="76"/>
      <c r="Q42" s="48"/>
      <c r="R42" s="48"/>
      <c r="S42" s="48"/>
      <c r="T42" s="65" t="s">
        <v>154</v>
      </c>
      <c r="U42" s="68">
        <f>I41-J41</f>
        <v>3.4193528169998899</v>
      </c>
      <c r="V42" s="48"/>
      <c r="W42" s="65" t="s">
        <v>155</v>
      </c>
      <c r="X42" s="67">
        <f>I45</f>
        <v>63680</v>
      </c>
    </row>
    <row r="43" spans="8:24" ht="15.75">
      <c r="H43" s="37" t="s">
        <v>108</v>
      </c>
      <c r="I43" s="60">
        <f>ONSV_AUX_2017!P61</f>
        <v>4605</v>
      </c>
      <c r="J43" s="10">
        <f>I43</f>
        <v>4605</v>
      </c>
      <c r="K43" s="11"/>
      <c r="L43" s="11"/>
      <c r="M43" s="11"/>
      <c r="N43" s="28" t="s">
        <v>139</v>
      </c>
      <c r="O43" s="60">
        <f>IF(OR((O32*I30&gt;J38),((O41+O42+(O32*I30))&gt;J38)),(J38-O41-O42),(O32*I30))</f>
        <v>442679.98617396754</v>
      </c>
      <c r="P43" s="76"/>
      <c r="Q43" s="48"/>
      <c r="R43" s="78"/>
      <c r="S43" s="48"/>
      <c r="T43" s="65" t="s">
        <v>150</v>
      </c>
      <c r="U43" s="72">
        <f>R39</f>
        <v>47361.880112060098</v>
      </c>
      <c r="V43" s="48"/>
      <c r="W43" s="48"/>
      <c r="X43" s="48"/>
    </row>
    <row r="44" spans="8:24" ht="15.75">
      <c r="H44" s="37" t="s">
        <v>109</v>
      </c>
      <c r="I44" s="60">
        <f>ONSV_AUX_2017!P62</f>
        <v>460132</v>
      </c>
      <c r="J44" s="10">
        <f>I44</f>
        <v>460132</v>
      </c>
      <c r="K44" s="11"/>
      <c r="L44" s="11"/>
      <c r="M44" s="11"/>
      <c r="N44" s="28" t="s">
        <v>151</v>
      </c>
      <c r="O44" s="60">
        <f>IF((J38-O41-O43-O42)&lt;0,0,(J38-O41-O43-O42))</f>
        <v>0</v>
      </c>
      <c r="P44" s="48"/>
      <c r="Q44" s="48"/>
      <c r="R44" s="48"/>
      <c r="S44" s="48"/>
      <c r="T44" s="48"/>
      <c r="U44" s="62"/>
      <c r="V44" s="48"/>
      <c r="W44" s="48"/>
      <c r="X44" s="48"/>
    </row>
    <row r="45" spans="8:24" ht="15.75">
      <c r="H45" s="37" t="s">
        <v>110</v>
      </c>
      <c r="I45" s="60">
        <f>ONSV_AUX_2017!P63</f>
        <v>63680</v>
      </c>
      <c r="J45" s="10">
        <f>I45</f>
        <v>63680</v>
      </c>
      <c r="K45" s="11"/>
      <c r="L45" s="11"/>
      <c r="M45" s="11"/>
      <c r="O45" s="48"/>
      <c r="P45" s="76"/>
      <c r="Q45" s="48"/>
      <c r="R45" s="48"/>
      <c r="S45" s="48"/>
      <c r="T45" s="79" t="s">
        <v>156</v>
      </c>
      <c r="U45" s="80">
        <f>(SUM(U31:U43,X31:X42)/SUM(I38:I47))-1</f>
        <v>0</v>
      </c>
      <c r="V45" s="48"/>
      <c r="W45" s="79" t="s">
        <v>10</v>
      </c>
      <c r="X45" s="67">
        <f>SUM(U31:U43,X31:X42)</f>
        <v>1173221</v>
      </c>
    </row>
    <row r="46" spans="8:24" ht="15.75">
      <c r="H46" s="37" t="s">
        <v>111</v>
      </c>
      <c r="I46" s="60">
        <f>ONSV_AUX_2017!P64</f>
        <v>7194</v>
      </c>
      <c r="J46" s="10">
        <f>I46</f>
        <v>7194</v>
      </c>
      <c r="K46" s="11"/>
      <c r="L46" s="11"/>
      <c r="M46" s="11"/>
      <c r="O46" s="48"/>
      <c r="P46" s="76"/>
      <c r="Q46" s="48"/>
      <c r="R46" s="48"/>
      <c r="S46" s="48"/>
      <c r="T46" s="48"/>
      <c r="U46" s="48"/>
      <c r="V46" s="48"/>
      <c r="W46" s="48"/>
      <c r="X46" s="48"/>
    </row>
    <row r="47" spans="8:24" ht="15.75">
      <c r="H47" s="37" t="s">
        <v>112</v>
      </c>
      <c r="I47" s="60">
        <f>ONSV_AUX_2017!P65</f>
        <v>9004</v>
      </c>
      <c r="J47" s="61">
        <f>I47-(L36*I32)</f>
        <v>9003.5990434094201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39"/>
      <c r="I48" s="40"/>
      <c r="J48" s="40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4" customFormat="1" ht="15.75">
      <c r="A50" s="101" t="str">
        <f>"PARAÍBA/"&amp;ONSV_AUX_2016!$A$1&amp;""</f>
        <v>PARAÍBA/2016</v>
      </c>
      <c r="B50" s="102"/>
      <c r="C50" s="102"/>
      <c r="D50" s="102"/>
      <c r="E50" s="102"/>
      <c r="F50" s="102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</row>
    <row r="52" spans="1:24" ht="15.75">
      <c r="H52" s="23" t="s">
        <v>118</v>
      </c>
      <c r="N52" s="26"/>
      <c r="O52" s="26"/>
      <c r="P52" s="9"/>
      <c r="Q52" s="26"/>
      <c r="R52" s="26"/>
      <c r="S52" s="26"/>
      <c r="T52" s="104"/>
      <c r="U52" s="104"/>
      <c r="V52" s="104"/>
      <c r="W52" s="104"/>
      <c r="X52" s="104"/>
    </row>
    <row r="53" spans="1:24" ht="15.75">
      <c r="J53" s="9"/>
      <c r="M53" s="25"/>
      <c r="N53" s="9"/>
      <c r="O53" s="9"/>
      <c r="P53" s="9"/>
      <c r="Q53" s="11"/>
      <c r="R53" s="11"/>
      <c r="S53" s="11"/>
    </row>
    <row r="54" spans="1:24" ht="15.75">
      <c r="H54" s="36" t="s">
        <v>81</v>
      </c>
      <c r="I54" s="60">
        <f>ONSV_AUX_2016!P27</f>
        <v>29250</v>
      </c>
      <c r="J54" s="9"/>
      <c r="K54" s="104" t="s">
        <v>119</v>
      </c>
      <c r="L54" s="104"/>
      <c r="M54" s="9"/>
      <c r="N54" s="26" t="s">
        <v>120</v>
      </c>
      <c r="O54" s="26"/>
      <c r="Q54" s="26" t="s">
        <v>121</v>
      </c>
      <c r="R54" s="26"/>
      <c r="S54" s="26"/>
      <c r="T54" s="25" t="s">
        <v>122</v>
      </c>
      <c r="U54" s="25"/>
      <c r="V54" s="25"/>
      <c r="W54" s="25"/>
      <c r="X54" s="25"/>
    </row>
    <row r="55" spans="1:24" ht="15.75">
      <c r="H55" s="36" t="s">
        <v>84</v>
      </c>
      <c r="I55" s="60">
        <f>ONSV_AUX_2016!P28</f>
        <v>437806</v>
      </c>
      <c r="J55" s="9"/>
      <c r="K55" s="9"/>
      <c r="L55" s="9"/>
      <c r="M55" s="9"/>
      <c r="N55" s="9"/>
      <c r="O55" s="9"/>
      <c r="P55" s="20"/>
      <c r="Q55" s="11"/>
      <c r="R55" s="11"/>
      <c r="S55" s="11"/>
    </row>
    <row r="56" spans="1:24" ht="15.75">
      <c r="H56" s="36" t="s">
        <v>85</v>
      </c>
      <c r="I56" s="60">
        <f>ONSV_AUX_2016!P29</f>
        <v>79555</v>
      </c>
      <c r="J56" s="9"/>
      <c r="K56" s="2" t="s">
        <v>123</v>
      </c>
      <c r="L56" s="60">
        <f>I63+I66+I67+I72</f>
        <v>580538</v>
      </c>
      <c r="N56" s="28" t="s">
        <v>124</v>
      </c>
      <c r="O56" s="60">
        <f>J63+J72</f>
        <v>482452.35156010458</v>
      </c>
      <c r="P56" s="64"/>
      <c r="Q56" s="65" t="s">
        <v>125</v>
      </c>
      <c r="R56" s="60">
        <f>J66+J67</f>
        <v>98077.64843989542</v>
      </c>
      <c r="S56" s="66"/>
      <c r="T56" s="65" t="s">
        <v>126</v>
      </c>
      <c r="U56" s="67">
        <f>O60</f>
        <v>7180.6285674015835</v>
      </c>
      <c r="V56" s="48"/>
      <c r="W56" s="65" t="s">
        <v>127</v>
      </c>
      <c r="X56" s="68">
        <f>R62</f>
        <v>9433.3499321975123</v>
      </c>
    </row>
    <row r="57" spans="1:24" ht="15.75">
      <c r="H57" s="36" t="s">
        <v>101</v>
      </c>
      <c r="I57" s="60">
        <f>ONSV_AUX_2016!P30</f>
        <v>8</v>
      </c>
      <c r="J57" s="9"/>
      <c r="K57" s="27"/>
      <c r="L57" s="62"/>
      <c r="M57" s="20"/>
      <c r="N57" s="28" t="s">
        <v>128</v>
      </c>
      <c r="O57" s="69">
        <f>J63/O56</f>
        <v>0.98359860630644269</v>
      </c>
      <c r="P57" s="64"/>
      <c r="Q57" s="70" t="s">
        <v>129</v>
      </c>
      <c r="R57" s="63">
        <f>J66/R56</f>
        <v>0.74640850742768583</v>
      </c>
      <c r="S57" s="71"/>
      <c r="T57" s="65" t="s">
        <v>130</v>
      </c>
      <c r="U57" s="67">
        <f>I72-J72</f>
        <v>0.10904368017236266</v>
      </c>
      <c r="V57" s="48"/>
      <c r="W57" s="65" t="s">
        <v>131</v>
      </c>
      <c r="X57" s="68">
        <f>I67-J67</f>
        <v>0.34274414422543487</v>
      </c>
    </row>
    <row r="58" spans="1:24" ht="15.75">
      <c r="H58" s="36" t="s">
        <v>16</v>
      </c>
      <c r="I58" s="60">
        <f>ONSV_AUX_2016!P31</f>
        <v>22123</v>
      </c>
      <c r="J58" s="9"/>
      <c r="K58" s="2" t="s">
        <v>132</v>
      </c>
      <c r="L58" s="63">
        <f>I63/L56</f>
        <v>0.81742452690435419</v>
      </c>
      <c r="M58" s="20"/>
      <c r="N58" s="28" t="s">
        <v>133</v>
      </c>
      <c r="O58" s="69">
        <f>J72/O56</f>
        <v>1.6401393693557382E-2</v>
      </c>
      <c r="P58" s="64"/>
      <c r="Q58" s="70" t="s">
        <v>134</v>
      </c>
      <c r="R58" s="63">
        <f>J67/R56</f>
        <v>0.25359149257231411</v>
      </c>
      <c r="S58" s="71"/>
      <c r="T58" s="65" t="s">
        <v>135</v>
      </c>
      <c r="U58" s="72">
        <f>O62</f>
        <v>732.26238891824414</v>
      </c>
      <c r="V58" s="73"/>
      <c r="W58" s="65" t="s">
        <v>136</v>
      </c>
      <c r="X58" s="72">
        <f>R65</f>
        <v>15438.307323658262</v>
      </c>
    </row>
    <row r="59" spans="1:24" ht="15.75">
      <c r="H59" s="36" t="s">
        <v>94</v>
      </c>
      <c r="I59" s="60">
        <f>ONSV_AUX_2016!P32</f>
        <v>576002</v>
      </c>
      <c r="J59" s="10"/>
      <c r="K59" s="2" t="s">
        <v>2</v>
      </c>
      <c r="L59" s="63">
        <f>I66/L56</f>
        <v>0.12610199504597461</v>
      </c>
      <c r="M59" s="20"/>
      <c r="N59" s="20"/>
      <c r="O59" s="74"/>
      <c r="P59" s="48"/>
      <c r="Q59" s="48"/>
      <c r="R59" s="48"/>
      <c r="S59" s="48"/>
      <c r="T59" s="48"/>
      <c r="U59" s="62"/>
      <c r="V59" s="75"/>
      <c r="W59" s="48"/>
      <c r="X59" s="62"/>
    </row>
    <row r="60" spans="1:24" ht="15.75">
      <c r="K60" s="2" t="s">
        <v>3</v>
      </c>
      <c r="L60" s="63">
        <f>I67/L56</f>
        <v>4.2843018028104966E-2</v>
      </c>
      <c r="M60" s="20"/>
      <c r="N60" s="28" t="s">
        <v>137</v>
      </c>
      <c r="O60" s="60">
        <f>IF(O58*I55&gt;J72,J72,O58*I55)</f>
        <v>7180.6285674015835</v>
      </c>
      <c r="P60" s="76"/>
      <c r="Q60" s="65" t="s">
        <v>138</v>
      </c>
      <c r="R60" s="60">
        <f>I56-I64-I65-I68-I71</f>
        <v>37199</v>
      </c>
      <c r="S60" s="77"/>
      <c r="T60" s="65" t="s">
        <v>139</v>
      </c>
      <c r="U60" s="67">
        <f>O68</f>
        <v>423166.46060378477</v>
      </c>
      <c r="V60" s="76"/>
      <c r="W60" s="65" t="s">
        <v>140</v>
      </c>
      <c r="X60" s="67">
        <f>I64</f>
        <v>28197</v>
      </c>
    </row>
    <row r="61" spans="1:24" ht="15.75">
      <c r="H61" s="24" t="s">
        <v>141</v>
      </c>
      <c r="K61" s="2" t="s">
        <v>0</v>
      </c>
      <c r="L61" s="63">
        <f>I72/L56</f>
        <v>1.3630460021566202E-2</v>
      </c>
      <c r="O61" s="48"/>
      <c r="P61" s="76"/>
      <c r="Q61" s="65" t="s">
        <v>142</v>
      </c>
      <c r="R61" s="60">
        <f>R57*R60</f>
        <v>27765.650067802486</v>
      </c>
      <c r="S61" s="48"/>
      <c r="T61" s="65" t="s">
        <v>143</v>
      </c>
      <c r="U61" s="67">
        <f>O66</f>
        <v>29250</v>
      </c>
      <c r="V61" s="66"/>
      <c r="W61" s="65" t="s">
        <v>144</v>
      </c>
      <c r="X61" s="67">
        <f>I65</f>
        <v>2644</v>
      </c>
    </row>
    <row r="62" spans="1:24" ht="15.75">
      <c r="K62" s="11"/>
      <c r="L62" s="11"/>
      <c r="M62" s="11"/>
      <c r="N62" s="28" t="s">
        <v>145</v>
      </c>
      <c r="O62" s="60">
        <f>J72-O60</f>
        <v>732.26238891824414</v>
      </c>
      <c r="P62" s="76"/>
      <c r="Q62" s="65" t="s">
        <v>127</v>
      </c>
      <c r="R62" s="60">
        <f>R58*R60</f>
        <v>9433.3499321975123</v>
      </c>
      <c r="S62" s="48"/>
      <c r="T62" s="65" t="s">
        <v>146</v>
      </c>
      <c r="U62" s="67">
        <f>O67</f>
        <v>22123</v>
      </c>
      <c r="V62" s="71"/>
      <c r="W62" s="48"/>
      <c r="X62" s="62"/>
    </row>
    <row r="63" spans="1:24" ht="15.75">
      <c r="H63" s="37" t="s">
        <v>103</v>
      </c>
      <c r="I63" s="60">
        <f>ONSV_AUX_2016!P56</f>
        <v>474546</v>
      </c>
      <c r="J63" s="61">
        <f>I63-(L58*I57)</f>
        <v>474539.46060378477</v>
      </c>
      <c r="K63" s="11"/>
      <c r="L63" s="11"/>
      <c r="M63" s="11"/>
      <c r="O63" s="76"/>
      <c r="P63" s="76"/>
      <c r="Q63" s="48"/>
      <c r="R63" s="78"/>
      <c r="S63" s="48"/>
      <c r="T63" s="65" t="s">
        <v>147</v>
      </c>
      <c r="U63" s="68">
        <f>I63-J63</f>
        <v>6.5393962152302265</v>
      </c>
      <c r="V63" s="71"/>
      <c r="W63" s="65" t="s">
        <v>148</v>
      </c>
      <c r="X63" s="67">
        <f>I71</f>
        <v>7043</v>
      </c>
    </row>
    <row r="64" spans="1:24" ht="15.75">
      <c r="H64" s="37" t="s">
        <v>104</v>
      </c>
      <c r="I64" s="60">
        <f>ONSV_AUX_2016!P57</f>
        <v>28197</v>
      </c>
      <c r="J64" s="10">
        <f>I64</f>
        <v>28197</v>
      </c>
      <c r="K64" s="11"/>
      <c r="L64" s="11"/>
      <c r="M64" s="11"/>
      <c r="N64" s="26" t="s">
        <v>149</v>
      </c>
      <c r="O64" s="76"/>
      <c r="P64" s="76"/>
      <c r="Q64" s="65" t="s">
        <v>150</v>
      </c>
      <c r="R64" s="60">
        <f>J66-R61</f>
        <v>45440.341116237149</v>
      </c>
      <c r="S64" s="48"/>
      <c r="T64" s="65" t="s">
        <v>151</v>
      </c>
      <c r="U64" s="72">
        <f>O69</f>
        <v>0</v>
      </c>
      <c r="V64" s="48"/>
      <c r="W64" s="65" t="s">
        <v>152</v>
      </c>
      <c r="X64" s="67">
        <f>I68</f>
        <v>4472</v>
      </c>
    </row>
    <row r="65" spans="1:24" ht="15.75">
      <c r="H65" s="37" t="s">
        <v>105</v>
      </c>
      <c r="I65" s="60">
        <f>ONSV_AUX_2016!P58</f>
        <v>2644</v>
      </c>
      <c r="J65" s="10">
        <f>I65</f>
        <v>2644</v>
      </c>
      <c r="K65" s="11"/>
      <c r="L65" s="11"/>
      <c r="M65" s="11"/>
      <c r="O65" s="73"/>
      <c r="P65" s="76"/>
      <c r="Q65" s="65" t="s">
        <v>136</v>
      </c>
      <c r="R65" s="60">
        <f>J67-R62</f>
        <v>15438.307323658262</v>
      </c>
      <c r="S65" s="48"/>
      <c r="T65" s="48"/>
      <c r="U65" s="62"/>
      <c r="V65" s="77"/>
      <c r="W65" s="48"/>
      <c r="X65" s="62"/>
    </row>
    <row r="66" spans="1:24" ht="15.75">
      <c r="H66" s="37" t="s">
        <v>106</v>
      </c>
      <c r="I66" s="60">
        <f>ONSV_AUX_2016!P59</f>
        <v>73207</v>
      </c>
      <c r="J66" s="61">
        <f>I66-(L59*I57)</f>
        <v>73205.991184039638</v>
      </c>
      <c r="K66" s="11"/>
      <c r="L66" s="11"/>
      <c r="M66" s="11"/>
      <c r="N66" s="28" t="s">
        <v>143</v>
      </c>
      <c r="O66" s="60">
        <f>I54</f>
        <v>29250</v>
      </c>
      <c r="P66" s="76"/>
      <c r="Q66" s="48"/>
      <c r="R66" s="48"/>
      <c r="S66" s="77"/>
      <c r="T66" s="65" t="s">
        <v>142</v>
      </c>
      <c r="U66" s="68">
        <f>R61</f>
        <v>27765.650067802486</v>
      </c>
      <c r="V66" s="48"/>
      <c r="W66" s="65" t="s">
        <v>153</v>
      </c>
      <c r="X66" s="67">
        <f>I69</f>
        <v>438315</v>
      </c>
    </row>
    <row r="67" spans="1:24" ht="15.75">
      <c r="H67" s="37" t="s">
        <v>107</v>
      </c>
      <c r="I67" s="60">
        <f>ONSV_AUX_2016!P60</f>
        <v>24872</v>
      </c>
      <c r="J67" s="61">
        <f>I67-(L60*I57)</f>
        <v>24871.657255855775</v>
      </c>
      <c r="K67" s="11"/>
      <c r="L67" s="11"/>
      <c r="M67" s="11"/>
      <c r="N67" s="28" t="s">
        <v>146</v>
      </c>
      <c r="O67" s="60">
        <f>I58</f>
        <v>22123</v>
      </c>
      <c r="P67" s="76"/>
      <c r="Q67" s="48"/>
      <c r="R67" s="48"/>
      <c r="S67" s="48"/>
      <c r="T67" s="65" t="s">
        <v>154</v>
      </c>
      <c r="U67" s="68">
        <f>I66-J66</f>
        <v>1.0088159603619715</v>
      </c>
      <c r="V67" s="48"/>
      <c r="W67" s="65" t="s">
        <v>155</v>
      </c>
      <c r="X67" s="67">
        <f>I70</f>
        <v>61163</v>
      </c>
    </row>
    <row r="68" spans="1:24" ht="15.75">
      <c r="H68" s="37" t="s">
        <v>108</v>
      </c>
      <c r="I68" s="60">
        <f>ONSV_AUX_2016!P61</f>
        <v>4472</v>
      </c>
      <c r="J68" s="10">
        <f>I68</f>
        <v>4472</v>
      </c>
      <c r="K68" s="11"/>
      <c r="L68" s="11"/>
      <c r="M68" s="11"/>
      <c r="N68" s="28" t="s">
        <v>139</v>
      </c>
      <c r="O68" s="60">
        <f>IF(OR((O57*I55&gt;J63),((O66+O67+(O57*I55))&gt;J63)),(J63-O66-O67),(O57*I55))</f>
        <v>423166.46060378477</v>
      </c>
      <c r="P68" s="76"/>
      <c r="Q68" s="48"/>
      <c r="R68" s="78"/>
      <c r="S68" s="48"/>
      <c r="T68" s="65" t="s">
        <v>150</v>
      </c>
      <c r="U68" s="72">
        <f>R64</f>
        <v>45440.341116237149</v>
      </c>
      <c r="V68" s="48"/>
      <c r="W68" s="48"/>
      <c r="X68" s="48"/>
    </row>
    <row r="69" spans="1:24" ht="15.75">
      <c r="H69" s="37" t="s">
        <v>109</v>
      </c>
      <c r="I69" s="60">
        <f>ONSV_AUX_2016!P62</f>
        <v>438315</v>
      </c>
      <c r="J69" s="10">
        <f>I69</f>
        <v>438315</v>
      </c>
      <c r="K69" s="11"/>
      <c r="L69" s="11"/>
      <c r="M69" s="11"/>
      <c r="N69" s="28" t="s">
        <v>151</v>
      </c>
      <c r="O69" s="60">
        <f>IF((J63-O66-O68-O67)&lt;0,0,(J63-O66-O68-O67))</f>
        <v>0</v>
      </c>
      <c r="P69" s="48"/>
      <c r="Q69" s="48"/>
      <c r="R69" s="48"/>
      <c r="S69" s="48"/>
      <c r="T69" s="48"/>
      <c r="U69" s="62"/>
      <c r="V69" s="48"/>
      <c r="W69" s="48"/>
      <c r="X69" s="48"/>
    </row>
    <row r="70" spans="1:24" ht="15.75">
      <c r="H70" s="37" t="s">
        <v>110</v>
      </c>
      <c r="I70" s="60">
        <f>ONSV_AUX_2016!P63</f>
        <v>61163</v>
      </c>
      <c r="J70" s="10">
        <f>I70</f>
        <v>61163</v>
      </c>
      <c r="K70" s="11"/>
      <c r="L70" s="11"/>
      <c r="M70" s="11"/>
      <c r="O70" s="48"/>
      <c r="P70" s="76"/>
      <c r="Q70" s="48"/>
      <c r="R70" s="48"/>
      <c r="S70" s="48"/>
      <c r="T70" s="79" t="s">
        <v>156</v>
      </c>
      <c r="U70" s="80">
        <f>(SUM(U56:U68,X56:X67)/SUM(I63:I72))-1</f>
        <v>0</v>
      </c>
      <c r="V70" s="48"/>
      <c r="W70" s="79" t="s">
        <v>10</v>
      </c>
      <c r="X70" s="67">
        <f>SUM(U56:U68,X56:X67)</f>
        <v>1122372</v>
      </c>
    </row>
    <row r="71" spans="1:24" ht="15.75">
      <c r="H71" s="37" t="s">
        <v>111</v>
      </c>
      <c r="I71" s="60">
        <f>ONSV_AUX_2016!P64</f>
        <v>7043</v>
      </c>
      <c r="J71" s="10">
        <f>I71</f>
        <v>7043</v>
      </c>
      <c r="K71" s="11"/>
      <c r="L71" s="11"/>
      <c r="M71" s="11"/>
      <c r="O71" s="48"/>
      <c r="P71" s="76"/>
      <c r="Q71" s="48"/>
      <c r="R71" s="48"/>
      <c r="S71" s="48"/>
      <c r="T71" s="48"/>
      <c r="U71" s="48"/>
      <c r="V71" s="48"/>
      <c r="W71" s="48"/>
      <c r="X71" s="48"/>
    </row>
    <row r="72" spans="1:24" ht="15.75">
      <c r="H72" s="37" t="s">
        <v>112</v>
      </c>
      <c r="I72" s="60">
        <f>ONSV_AUX_2016!P65</f>
        <v>7913</v>
      </c>
      <c r="J72" s="61">
        <f>I72-(L61*I57)</f>
        <v>7912.8909563198276</v>
      </c>
      <c r="K72" s="12"/>
      <c r="L72" s="12"/>
      <c r="M72" s="12"/>
      <c r="N72" s="12"/>
      <c r="O72" s="12"/>
      <c r="P72" s="12"/>
      <c r="Q72" s="4"/>
      <c r="R72" s="4"/>
    </row>
    <row r="75" spans="1:24" s="34" customFormat="1" ht="15.75">
      <c r="A75" s="101" t="str">
        <f>"PARAÍBA/"&amp;ONSV_AUX_2015!$A$1&amp;""</f>
        <v>PARAÍBA/2015</v>
      </c>
      <c r="B75" s="102"/>
      <c r="C75" s="102"/>
      <c r="D75" s="102"/>
      <c r="E75" s="102"/>
      <c r="F75" s="102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 spans="1:24"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>
      <c r="H77" s="23" t="s">
        <v>118</v>
      </c>
      <c r="P77" s="9"/>
    </row>
    <row r="78" spans="1:24" ht="15.75">
      <c r="J78" s="9"/>
      <c r="M78" s="25"/>
      <c r="P78" s="9"/>
    </row>
    <row r="79" spans="1:24" ht="15.75">
      <c r="H79" s="36" t="s">
        <v>81</v>
      </c>
      <c r="I79" s="60">
        <f>ONSV_AUX_2015!P27</f>
        <v>29213</v>
      </c>
      <c r="J79" s="9"/>
      <c r="K79" s="104" t="s">
        <v>119</v>
      </c>
      <c r="L79" s="104"/>
      <c r="M79" s="9"/>
      <c r="N79" s="26" t="s">
        <v>120</v>
      </c>
      <c r="O79" s="26"/>
      <c r="Q79" s="26" t="s">
        <v>121</v>
      </c>
      <c r="R79" s="26"/>
      <c r="S79" s="26"/>
      <c r="T79" s="25" t="s">
        <v>122</v>
      </c>
      <c r="U79" s="25"/>
      <c r="V79" s="25"/>
      <c r="W79" s="25"/>
      <c r="X79" s="25"/>
    </row>
    <row r="80" spans="1:24" ht="15.75">
      <c r="H80" s="36" t="s">
        <v>84</v>
      </c>
      <c r="I80" s="60">
        <f>ONSV_AUX_2015!P28</f>
        <v>395308</v>
      </c>
      <c r="J80" s="9"/>
      <c r="K80" s="9"/>
      <c r="L80" s="9"/>
      <c r="M80" s="9"/>
      <c r="N80" s="9"/>
      <c r="O80" s="9"/>
      <c r="P80" s="20"/>
      <c r="Q80" s="11"/>
      <c r="R80" s="11"/>
      <c r="S80" s="11"/>
    </row>
    <row r="81" spans="8:24" ht="15.75">
      <c r="H81" s="36" t="s">
        <v>85</v>
      </c>
      <c r="I81" s="60">
        <f>ONSV_AUX_2015!P29</f>
        <v>76689</v>
      </c>
      <c r="J81" s="9"/>
      <c r="K81" s="2" t="s">
        <v>123</v>
      </c>
      <c r="L81" s="60">
        <f>I88+I91+I92+I97</f>
        <v>551442</v>
      </c>
      <c r="N81" s="28" t="s">
        <v>124</v>
      </c>
      <c r="O81" s="60">
        <f>J88+J97</f>
        <v>458949.83860133972</v>
      </c>
      <c r="P81" s="64"/>
      <c r="Q81" s="65" t="s">
        <v>125</v>
      </c>
      <c r="R81" s="60">
        <f>J91+J92</f>
        <v>92487.161398660231</v>
      </c>
      <c r="S81" s="66"/>
      <c r="T81" s="65" t="s">
        <v>126</v>
      </c>
      <c r="U81" s="67">
        <f>O85</f>
        <v>6056.8289109583975</v>
      </c>
      <c r="V81" s="48"/>
      <c r="W81" s="65" t="s">
        <v>127</v>
      </c>
      <c r="X81" s="68">
        <f>R87</f>
        <v>8851.0187051293142</v>
      </c>
    </row>
    <row r="82" spans="8:24" ht="15.75">
      <c r="H82" s="36" t="s">
        <v>101</v>
      </c>
      <c r="I82" s="60">
        <f>ONSV_AUX_2015!P30</f>
        <v>5</v>
      </c>
      <c r="J82" s="9"/>
      <c r="K82" s="27"/>
      <c r="L82" s="62"/>
      <c r="M82" s="20"/>
      <c r="N82" s="28" t="s">
        <v>128</v>
      </c>
      <c r="O82" s="69">
        <f>J88/O81</f>
        <v>0.98467820304431386</v>
      </c>
      <c r="P82" s="64"/>
      <c r="Q82" s="70" t="s">
        <v>129</v>
      </c>
      <c r="R82" s="63">
        <f>J91/R81</f>
        <v>0.7503027419773376</v>
      </c>
      <c r="S82" s="71"/>
      <c r="T82" s="65" t="s">
        <v>130</v>
      </c>
      <c r="U82" s="67">
        <f>I97-J97</f>
        <v>6.3760105324035976E-2</v>
      </c>
      <c r="V82" s="48"/>
      <c r="W82" s="65" t="s">
        <v>131</v>
      </c>
      <c r="X82" s="68">
        <f>I92-J92</f>
        <v>0.20939645511316485</v>
      </c>
    </row>
    <row r="83" spans="8:24" ht="15.75">
      <c r="H83" s="36" t="s">
        <v>16</v>
      </c>
      <c r="I83" s="60">
        <f>ONSV_AUX_2015!P31</f>
        <v>21759</v>
      </c>
      <c r="J83" s="9"/>
      <c r="K83" s="2" t="s">
        <v>132</v>
      </c>
      <c r="L83" s="63">
        <f>I88/L81</f>
        <v>0.81952771098320398</v>
      </c>
      <c r="M83" s="20"/>
      <c r="N83" s="28" t="s">
        <v>133</v>
      </c>
      <c r="O83" s="69">
        <f>J97/O81</f>
        <v>1.5321796955686192E-2</v>
      </c>
      <c r="P83" s="64"/>
      <c r="Q83" s="70" t="s">
        <v>134</v>
      </c>
      <c r="R83" s="63">
        <f>J92/R81</f>
        <v>0.2496972580226624</v>
      </c>
      <c r="S83" s="71"/>
      <c r="T83" s="65" t="s">
        <v>135</v>
      </c>
      <c r="U83" s="72">
        <f>O87</f>
        <v>975.10732893627846</v>
      </c>
      <c r="V83" s="73"/>
      <c r="W83" s="65" t="s">
        <v>136</v>
      </c>
      <c r="X83" s="72">
        <f>R90</f>
        <v>14242.771898415573</v>
      </c>
    </row>
    <row r="84" spans="8:24" ht="15.75">
      <c r="H84" s="36" t="s">
        <v>94</v>
      </c>
      <c r="I84" s="60">
        <f>ONSV_AUX_2015!P32</f>
        <v>539608</v>
      </c>
      <c r="J84" s="10"/>
      <c r="K84" s="2" t="s">
        <v>2</v>
      </c>
      <c r="L84" s="63">
        <f>I91/L81</f>
        <v>0.12584097692957735</v>
      </c>
      <c r="M84" s="20"/>
      <c r="N84" s="20"/>
      <c r="O84" s="74"/>
      <c r="P84" s="48"/>
      <c r="Q84" s="48"/>
      <c r="R84" s="48"/>
      <c r="S84" s="48"/>
      <c r="T84" s="48"/>
      <c r="U84" s="62"/>
      <c r="V84" s="75"/>
      <c r="W84" s="48"/>
      <c r="X84" s="62"/>
    </row>
    <row r="85" spans="8:24" ht="15.75">
      <c r="K85" s="2" t="s">
        <v>3</v>
      </c>
      <c r="L85" s="63">
        <f>I92/L81</f>
        <v>4.1879291022446606E-2</v>
      </c>
      <c r="M85" s="20"/>
      <c r="N85" s="28" t="s">
        <v>137</v>
      </c>
      <c r="O85" s="60">
        <f>IF(O83*I80&gt;J97,J97,O83*I80)</f>
        <v>6056.8289109583975</v>
      </c>
      <c r="P85" s="76"/>
      <c r="Q85" s="65" t="s">
        <v>138</v>
      </c>
      <c r="R85" s="60">
        <f>I81-I89-I90-I93-I96</f>
        <v>35447</v>
      </c>
      <c r="S85" s="77"/>
      <c r="T85" s="65" t="s">
        <v>139</v>
      </c>
      <c r="U85" s="67">
        <f>O93</f>
        <v>389251.17108904163</v>
      </c>
      <c r="V85" s="76"/>
      <c r="W85" s="65" t="s">
        <v>140</v>
      </c>
      <c r="X85" s="67">
        <f>I89</f>
        <v>27484</v>
      </c>
    </row>
    <row r="86" spans="8:24" ht="15.75">
      <c r="H86" s="24" t="s">
        <v>141</v>
      </c>
      <c r="K86" s="2" t="s">
        <v>0</v>
      </c>
      <c r="L86" s="63">
        <f>I97/L81</f>
        <v>1.2752021064771997E-2</v>
      </c>
      <c r="O86" s="48"/>
      <c r="P86" s="76"/>
      <c r="Q86" s="65" t="s">
        <v>142</v>
      </c>
      <c r="R86" s="60">
        <f>R82*R85</f>
        <v>26595.981294870686</v>
      </c>
      <c r="S86" s="48"/>
      <c r="T86" s="65" t="s">
        <v>143</v>
      </c>
      <c r="U86" s="67">
        <f>O91</f>
        <v>29213</v>
      </c>
      <c r="V86" s="66"/>
      <c r="W86" s="65" t="s">
        <v>144</v>
      </c>
      <c r="X86" s="67">
        <f>I90</f>
        <v>2579</v>
      </c>
    </row>
    <row r="87" spans="8:24" ht="15.75">
      <c r="K87" s="11"/>
      <c r="L87" s="11"/>
      <c r="M87" s="11"/>
      <c r="N87" s="28" t="s">
        <v>145</v>
      </c>
      <c r="O87" s="60">
        <f>J97-O85</f>
        <v>975.10732893627846</v>
      </c>
      <c r="P87" s="76"/>
      <c r="Q87" s="65" t="s">
        <v>127</v>
      </c>
      <c r="R87" s="60">
        <f>R83*R85</f>
        <v>8851.0187051293142</v>
      </c>
      <c r="S87" s="48"/>
      <c r="T87" s="65" t="s">
        <v>146</v>
      </c>
      <c r="U87" s="67">
        <f>O92</f>
        <v>21759</v>
      </c>
      <c r="V87" s="71"/>
      <c r="W87" s="48"/>
      <c r="X87" s="62"/>
    </row>
    <row r="88" spans="8:24" ht="15.75">
      <c r="H88" s="37" t="s">
        <v>103</v>
      </c>
      <c r="I88" s="60">
        <f>ONSV_AUX_2015!P56</f>
        <v>451922</v>
      </c>
      <c r="J88" s="61">
        <f>I88-(L83*I82)</f>
        <v>451917.90236144507</v>
      </c>
      <c r="K88" s="11"/>
      <c r="L88" s="11"/>
      <c r="M88" s="11"/>
      <c r="O88" s="76"/>
      <c r="P88" s="76"/>
      <c r="Q88" s="48"/>
      <c r="R88" s="78"/>
      <c r="S88" s="48"/>
      <c r="T88" s="65" t="s">
        <v>147</v>
      </c>
      <c r="U88" s="68">
        <f>I88-J88</f>
        <v>4.09763855492929</v>
      </c>
      <c r="V88" s="71"/>
      <c r="W88" s="65" t="s">
        <v>148</v>
      </c>
      <c r="X88" s="67">
        <f>I96</f>
        <v>6877</v>
      </c>
    </row>
    <row r="89" spans="8:24" ht="15.75">
      <c r="H89" s="37" t="s">
        <v>104</v>
      </c>
      <c r="I89" s="60">
        <f>ONSV_AUX_2015!P57</f>
        <v>27484</v>
      </c>
      <c r="J89" s="10">
        <f>I89</f>
        <v>27484</v>
      </c>
      <c r="K89" s="11"/>
      <c r="L89" s="11"/>
      <c r="M89" s="11"/>
      <c r="N89" s="26" t="s">
        <v>149</v>
      </c>
      <c r="O89" s="76"/>
      <c r="P89" s="76"/>
      <c r="Q89" s="65" t="s">
        <v>150</v>
      </c>
      <c r="R89" s="60">
        <f>J91-R86</f>
        <v>42797.389500244666</v>
      </c>
      <c r="S89" s="48"/>
      <c r="T89" s="65" t="s">
        <v>151</v>
      </c>
      <c r="U89" s="72">
        <f>O94</f>
        <v>11694.731272403442</v>
      </c>
      <c r="V89" s="48"/>
      <c r="W89" s="65" t="s">
        <v>152</v>
      </c>
      <c r="X89" s="67">
        <f>I93</f>
        <v>4302</v>
      </c>
    </row>
    <row r="90" spans="8:24" ht="15.75">
      <c r="H90" s="37" t="s">
        <v>105</v>
      </c>
      <c r="I90" s="60">
        <f>ONSV_AUX_2015!P58</f>
        <v>2579</v>
      </c>
      <c r="J90" s="10">
        <f>I90</f>
        <v>2579</v>
      </c>
      <c r="K90" s="11"/>
      <c r="L90" s="11"/>
      <c r="M90" s="11"/>
      <c r="O90" s="73"/>
      <c r="P90" s="76"/>
      <c r="Q90" s="65" t="s">
        <v>136</v>
      </c>
      <c r="R90" s="60">
        <f>J92-R87</f>
        <v>14242.771898415573</v>
      </c>
      <c r="S90" s="48"/>
      <c r="T90" s="48"/>
      <c r="U90" s="62"/>
      <c r="V90" s="77"/>
      <c r="W90" s="48"/>
      <c r="X90" s="62"/>
    </row>
    <row r="91" spans="8:24" ht="15.75">
      <c r="H91" s="37" t="s">
        <v>106</v>
      </c>
      <c r="I91" s="60">
        <f>ONSV_AUX_2015!P59</f>
        <v>69394</v>
      </c>
      <c r="J91" s="61">
        <f>I91-(L84*I82)</f>
        <v>69393.370795115348</v>
      </c>
      <c r="K91" s="11"/>
      <c r="L91" s="11"/>
      <c r="M91" s="11"/>
      <c r="N91" s="28" t="s">
        <v>143</v>
      </c>
      <c r="O91" s="60">
        <f>I79</f>
        <v>29213</v>
      </c>
      <c r="P91" s="76"/>
      <c r="Q91" s="48"/>
      <c r="R91" s="48"/>
      <c r="S91" s="77"/>
      <c r="T91" s="65" t="s">
        <v>142</v>
      </c>
      <c r="U91" s="68">
        <f>R86</f>
        <v>26595.981294870686</v>
      </c>
      <c r="V91" s="48"/>
      <c r="W91" s="65" t="s">
        <v>153</v>
      </c>
      <c r="X91" s="67">
        <f>I94</f>
        <v>411683</v>
      </c>
    </row>
    <row r="92" spans="8:24" ht="15.75">
      <c r="H92" s="37" t="s">
        <v>107</v>
      </c>
      <c r="I92" s="60">
        <f>ONSV_AUX_2015!P60</f>
        <v>23094</v>
      </c>
      <c r="J92" s="61">
        <f>I92-(L85*I82)</f>
        <v>23093.790603544887</v>
      </c>
      <c r="K92" s="11"/>
      <c r="L92" s="11"/>
      <c r="M92" s="11"/>
      <c r="N92" s="28" t="s">
        <v>146</v>
      </c>
      <c r="O92" s="60">
        <f>I83</f>
        <v>21759</v>
      </c>
      <c r="P92" s="76"/>
      <c r="Q92" s="48"/>
      <c r="R92" s="48"/>
      <c r="S92" s="48"/>
      <c r="T92" s="65" t="s">
        <v>154</v>
      </c>
      <c r="U92" s="68">
        <f>I91-J91</f>
        <v>0.6292048846516991</v>
      </c>
      <c r="V92" s="48"/>
      <c r="W92" s="65" t="s">
        <v>155</v>
      </c>
      <c r="X92" s="67">
        <f>I95</f>
        <v>57572</v>
      </c>
    </row>
    <row r="93" spans="8:24" ht="15.75">
      <c r="H93" s="37" t="s">
        <v>108</v>
      </c>
      <c r="I93" s="60">
        <f>ONSV_AUX_2015!P61</f>
        <v>4302</v>
      </c>
      <c r="J93" s="10">
        <f>I93</f>
        <v>4302</v>
      </c>
      <c r="K93" s="11"/>
      <c r="L93" s="11"/>
      <c r="M93" s="11"/>
      <c r="N93" s="28" t="s">
        <v>139</v>
      </c>
      <c r="O93" s="60">
        <f>IF(OR((O82*I80&gt;J88),((O91+O92+(O82*I80))&gt;J88)),(J88-O91-O92),(O82*I80))</f>
        <v>389251.17108904163</v>
      </c>
      <c r="P93" s="76"/>
      <c r="Q93" s="48"/>
      <c r="R93" s="78"/>
      <c r="S93" s="48"/>
      <c r="T93" s="65" t="s">
        <v>150</v>
      </c>
      <c r="U93" s="72">
        <f>R89</f>
        <v>42797.389500244666</v>
      </c>
      <c r="V93" s="48"/>
      <c r="W93" s="48"/>
      <c r="X93" s="48"/>
    </row>
    <row r="94" spans="8:24" ht="15.75">
      <c r="H94" s="37" t="s">
        <v>109</v>
      </c>
      <c r="I94" s="60">
        <f>ONSV_AUX_2015!P62</f>
        <v>411683</v>
      </c>
      <c r="J94" s="10">
        <f>I94</f>
        <v>411683</v>
      </c>
      <c r="K94" s="11"/>
      <c r="L94" s="11"/>
      <c r="M94" s="11"/>
      <c r="N94" s="28" t="s">
        <v>151</v>
      </c>
      <c r="O94" s="60">
        <f>IF((J88-O91-O93-O92)&lt;0,0,(J88-O91-O93-O92))</f>
        <v>11694.731272403442</v>
      </c>
      <c r="P94" s="48"/>
      <c r="Q94" s="48"/>
      <c r="R94" s="48"/>
      <c r="S94" s="48"/>
      <c r="T94" s="48"/>
      <c r="U94" s="62"/>
      <c r="V94" s="48"/>
      <c r="W94" s="48"/>
      <c r="X94" s="48"/>
    </row>
    <row r="95" spans="8:24" ht="15.75">
      <c r="H95" s="37" t="s">
        <v>110</v>
      </c>
      <c r="I95" s="60">
        <f>ONSV_AUX_2015!P63</f>
        <v>57572</v>
      </c>
      <c r="J95" s="10">
        <f>I95</f>
        <v>57572</v>
      </c>
      <c r="K95" s="11"/>
      <c r="L95" s="11"/>
      <c r="M95" s="11"/>
      <c r="O95" s="48"/>
      <c r="P95" s="76"/>
      <c r="Q95" s="48"/>
      <c r="R95" s="48"/>
      <c r="S95" s="48"/>
      <c r="T95" s="79" t="s">
        <v>156</v>
      </c>
      <c r="U95" s="80">
        <f>(SUM(U81:U93,X81:X92)/SUM(I88:I97))-1</f>
        <v>0</v>
      </c>
      <c r="V95" s="48"/>
      <c r="W95" s="79" t="s">
        <v>10</v>
      </c>
      <c r="X95" s="67">
        <f>SUM(U81:U93,X81:X92)</f>
        <v>1061939</v>
      </c>
    </row>
    <row r="96" spans="8:24" ht="15.75">
      <c r="H96" s="37" t="s">
        <v>111</v>
      </c>
      <c r="I96" s="60">
        <f>ONSV_AUX_2015!P64</f>
        <v>6877</v>
      </c>
      <c r="J96" s="10">
        <f>I96</f>
        <v>6877</v>
      </c>
      <c r="K96" s="11"/>
      <c r="L96" s="11"/>
      <c r="M96" s="11"/>
      <c r="O96" s="48"/>
      <c r="P96" s="76"/>
      <c r="Q96" s="48"/>
      <c r="R96" s="48"/>
      <c r="S96" s="48"/>
      <c r="T96" s="48"/>
      <c r="U96" s="48"/>
      <c r="V96" s="48"/>
      <c r="W96" s="48"/>
      <c r="X96" s="48"/>
    </row>
    <row r="97" spans="1:24" ht="15.75">
      <c r="H97" s="37" t="s">
        <v>112</v>
      </c>
      <c r="I97" s="60">
        <f>ONSV_AUX_2015!P65</f>
        <v>7032</v>
      </c>
      <c r="J97" s="61">
        <f>I97-(L86*I82)</f>
        <v>7031.936239894676</v>
      </c>
      <c r="K97" s="12"/>
      <c r="L97" s="12"/>
      <c r="M97" s="12"/>
      <c r="N97" s="12"/>
      <c r="O97" s="12"/>
      <c r="P97" s="12"/>
      <c r="Q97" s="4"/>
      <c r="R97" s="4"/>
    </row>
    <row r="98" spans="1:24" ht="15.75">
      <c r="I98" s="40"/>
      <c r="J98" s="21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4" ht="15.75">
      <c r="I99" s="40"/>
      <c r="J99" s="21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4" s="34" customFormat="1" ht="15.75">
      <c r="A100" s="101" t="str">
        <f>"PARAÍBA/"&amp;ONSV_AUX_2014!$A$1&amp;""</f>
        <v>PARAÍBA/2014</v>
      </c>
      <c r="B100" s="102"/>
      <c r="C100" s="102"/>
      <c r="D100" s="102"/>
      <c r="E100" s="102"/>
      <c r="F100" s="102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</row>
    <row r="101" spans="1:24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>
      <c r="H102" s="23" t="s">
        <v>118</v>
      </c>
      <c r="N102" s="26"/>
      <c r="O102" s="26"/>
      <c r="P102" s="9"/>
      <c r="Q102" s="26"/>
      <c r="R102" s="26"/>
      <c r="S102" s="26"/>
      <c r="T102" s="25"/>
      <c r="U102" s="25"/>
      <c r="V102" s="25"/>
      <c r="W102" s="25"/>
      <c r="X102" s="25"/>
    </row>
    <row r="103" spans="1:24" ht="15.75">
      <c r="J103" s="9"/>
      <c r="M103" s="25"/>
      <c r="N103" s="9"/>
      <c r="O103" s="9"/>
      <c r="P103" s="9"/>
      <c r="Q103" s="11"/>
      <c r="R103" s="11"/>
      <c r="S103" s="11"/>
    </row>
    <row r="104" spans="1:24" ht="15.75">
      <c r="H104" s="36" t="s">
        <v>81</v>
      </c>
      <c r="I104" s="60">
        <f>ONSV_AUX_2014!P27</f>
        <v>29191</v>
      </c>
      <c r="J104" s="9"/>
      <c r="K104" s="104" t="s">
        <v>119</v>
      </c>
      <c r="L104" s="104"/>
      <c r="M104" s="9"/>
      <c r="N104" s="26" t="s">
        <v>120</v>
      </c>
      <c r="O104" s="26"/>
      <c r="Q104" s="26" t="s">
        <v>121</v>
      </c>
      <c r="R104" s="26"/>
      <c r="S104" s="26"/>
      <c r="T104" s="25" t="s">
        <v>122</v>
      </c>
      <c r="U104" s="25"/>
      <c r="V104" s="25"/>
      <c r="W104" s="25"/>
      <c r="X104" s="25"/>
    </row>
    <row r="105" spans="1:24" ht="15.75">
      <c r="H105" s="36" t="s">
        <v>84</v>
      </c>
      <c r="I105" s="60">
        <f>ONSV_AUX_2014!P28</f>
        <v>338583</v>
      </c>
      <c r="J105" s="9"/>
      <c r="K105" s="9"/>
      <c r="L105" s="9"/>
      <c r="M105" s="9"/>
      <c r="N105" s="9"/>
      <c r="O105" s="9"/>
      <c r="P105" s="20"/>
      <c r="Q105" s="11"/>
      <c r="R105" s="11"/>
      <c r="S105" s="11"/>
    </row>
    <row r="106" spans="1:24" ht="15.75">
      <c r="H106" s="36" t="s">
        <v>85</v>
      </c>
      <c r="I106" s="60">
        <f>ONSV_AUX_2014!P29</f>
        <v>72607</v>
      </c>
      <c r="J106" s="9"/>
      <c r="K106" s="2" t="s">
        <v>123</v>
      </c>
      <c r="L106" s="60">
        <f>I113+I116+I117+I122</f>
        <v>512778</v>
      </c>
      <c r="N106" s="28" t="s">
        <v>124</v>
      </c>
      <c r="O106" s="60">
        <f>J113+J122</f>
        <v>427844.49688754196</v>
      </c>
      <c r="P106" s="64"/>
      <c r="Q106" s="65" t="s">
        <v>125</v>
      </c>
      <c r="R106" s="60">
        <f>J116+J117</f>
        <v>84930.503112458027</v>
      </c>
      <c r="S106" s="66"/>
      <c r="T106" s="65" t="s">
        <v>126</v>
      </c>
      <c r="U106" s="67">
        <f>O110</f>
        <v>4835.2381341928312</v>
      </c>
      <c r="V106" s="48"/>
      <c r="W106" s="65" t="s">
        <v>127</v>
      </c>
      <c r="X106" s="68">
        <f>R112</f>
        <v>8314.7503502843465</v>
      </c>
    </row>
    <row r="107" spans="1:24" ht="15.75">
      <c r="H107" s="36" t="s">
        <v>101</v>
      </c>
      <c r="I107" s="60">
        <f>ONSV_AUX_2014!P30</f>
        <v>3</v>
      </c>
      <c r="J107" s="9"/>
      <c r="K107" s="27"/>
      <c r="L107" s="62"/>
      <c r="M107" s="20"/>
      <c r="N107" s="28" t="s">
        <v>128</v>
      </c>
      <c r="O107" s="69">
        <f>J113/O106</f>
        <v>0.98571919401094321</v>
      </c>
      <c r="P107" s="64"/>
      <c r="Q107" s="70" t="s">
        <v>129</v>
      </c>
      <c r="R107" s="63">
        <f>J116/R106</f>
        <v>0.74960850572817928</v>
      </c>
      <c r="S107" s="71"/>
      <c r="T107" s="65" t="s">
        <v>130</v>
      </c>
      <c r="U107" s="67">
        <f>I122-J122</f>
        <v>3.5746463381656213E-2</v>
      </c>
      <c r="V107" s="48"/>
      <c r="W107" s="65" t="s">
        <v>131</v>
      </c>
      <c r="X107" s="68">
        <f>I117-J117</f>
        <v>0.12441641412078752</v>
      </c>
    </row>
    <row r="108" spans="1:24" ht="15.75">
      <c r="H108" s="36" t="s">
        <v>16</v>
      </c>
      <c r="I108" s="60">
        <f>ONSV_AUX_2014!P31</f>
        <v>21328</v>
      </c>
      <c r="J108" s="9"/>
      <c r="K108" s="2" t="s">
        <v>132</v>
      </c>
      <c r="L108" s="63">
        <f>I113/L106</f>
        <v>0.82245533154698525</v>
      </c>
      <c r="M108" s="20"/>
      <c r="N108" s="28" t="s">
        <v>133</v>
      </c>
      <c r="O108" s="69">
        <f>J122/O106</f>
        <v>1.4280805989056837E-2</v>
      </c>
      <c r="P108" s="64"/>
      <c r="Q108" s="70" t="s">
        <v>134</v>
      </c>
      <c r="R108" s="63">
        <f>J117/R106</f>
        <v>0.25039149427182061</v>
      </c>
      <c r="S108" s="71"/>
      <c r="T108" s="65" t="s">
        <v>135</v>
      </c>
      <c r="U108" s="72">
        <f>O112</f>
        <v>1274.7261193437871</v>
      </c>
      <c r="V108" s="73"/>
      <c r="W108" s="65" t="s">
        <v>136</v>
      </c>
      <c r="X108" s="72">
        <f>R115</f>
        <v>12951.125233301533</v>
      </c>
    </row>
    <row r="109" spans="1:24" ht="15.75">
      <c r="H109" s="36" t="s">
        <v>94</v>
      </c>
      <c r="I109" s="60">
        <f>ONSV_AUX_2014!P32</f>
        <v>526505</v>
      </c>
      <c r="J109" s="10"/>
      <c r="K109" s="2" t="s">
        <v>2</v>
      </c>
      <c r="L109" s="63">
        <f>I116/L106</f>
        <v>0.1241570426188331</v>
      </c>
      <c r="M109" s="20"/>
      <c r="N109" s="20"/>
      <c r="O109" s="74"/>
      <c r="P109" s="48"/>
      <c r="Q109" s="48"/>
      <c r="R109" s="48"/>
      <c r="S109" s="48"/>
      <c r="T109" s="48"/>
      <c r="U109" s="62"/>
      <c r="V109" s="75"/>
      <c r="W109" s="48"/>
      <c r="X109" s="62"/>
    </row>
    <row r="110" spans="1:24" ht="15.75">
      <c r="K110" s="2" t="s">
        <v>3</v>
      </c>
      <c r="L110" s="63">
        <f>I117/L106</f>
        <v>4.1472138040243536E-2</v>
      </c>
      <c r="M110" s="20"/>
      <c r="N110" s="28" t="s">
        <v>137</v>
      </c>
      <c r="O110" s="60">
        <f>IF(O108*I105&gt;J122,J122,O108*I105)</f>
        <v>4835.2381341928312</v>
      </c>
      <c r="P110" s="76"/>
      <c r="Q110" s="65" t="s">
        <v>138</v>
      </c>
      <c r="R110" s="60">
        <f>I106-I114-I115-I118-I121</f>
        <v>33207</v>
      </c>
      <c r="S110" s="77"/>
      <c r="T110" s="65" t="s">
        <v>139</v>
      </c>
      <c r="U110" s="67">
        <f>O118</f>
        <v>333747.76186580717</v>
      </c>
      <c r="V110" s="76"/>
      <c r="W110" s="65" t="s">
        <v>140</v>
      </c>
      <c r="X110" s="67">
        <f>I114</f>
        <v>26226</v>
      </c>
    </row>
    <row r="111" spans="1:24" ht="15.75">
      <c r="H111" s="24" t="s">
        <v>141</v>
      </c>
      <c r="K111" s="2" t="s">
        <v>0</v>
      </c>
      <c r="L111" s="63">
        <f>I122/L106</f>
        <v>1.1915487793938117E-2</v>
      </c>
      <c r="O111" s="48"/>
      <c r="P111" s="76"/>
      <c r="Q111" s="65" t="s">
        <v>142</v>
      </c>
      <c r="R111" s="60">
        <f>R107*R110</f>
        <v>24892.24964971565</v>
      </c>
      <c r="S111" s="48"/>
      <c r="T111" s="65" t="s">
        <v>143</v>
      </c>
      <c r="U111" s="67">
        <f>O116</f>
        <v>29191</v>
      </c>
      <c r="V111" s="66"/>
      <c r="W111" s="65" t="s">
        <v>144</v>
      </c>
      <c r="X111" s="67">
        <f>I115</f>
        <v>2404</v>
      </c>
    </row>
    <row r="112" spans="1:24" ht="15.75">
      <c r="K112" s="11"/>
      <c r="L112" s="11"/>
      <c r="M112" s="11"/>
      <c r="N112" s="28" t="s">
        <v>145</v>
      </c>
      <c r="O112" s="60">
        <f>J122-O110</f>
        <v>1274.7261193437871</v>
      </c>
      <c r="P112" s="76"/>
      <c r="Q112" s="65" t="s">
        <v>127</v>
      </c>
      <c r="R112" s="60">
        <f>R108*R110</f>
        <v>8314.7503502843465</v>
      </c>
      <c r="S112" s="48"/>
      <c r="T112" s="65" t="s">
        <v>146</v>
      </c>
      <c r="U112" s="67">
        <f>O117</f>
        <v>21328</v>
      </c>
      <c r="V112" s="71"/>
      <c r="W112" s="48"/>
      <c r="X112" s="62"/>
    </row>
    <row r="113" spans="8:24" ht="15.75">
      <c r="H113" s="37" t="s">
        <v>103</v>
      </c>
      <c r="I113" s="60">
        <f>ONSV_AUX_2014!P56</f>
        <v>421737</v>
      </c>
      <c r="J113" s="61">
        <f>I113-(L108*I107)</f>
        <v>421734.53263400536</v>
      </c>
      <c r="K113" s="11"/>
      <c r="L113" s="11"/>
      <c r="M113" s="11"/>
      <c r="O113" s="76"/>
      <c r="P113" s="76"/>
      <c r="Q113" s="48"/>
      <c r="R113" s="78"/>
      <c r="S113" s="48"/>
      <c r="T113" s="65" t="s">
        <v>147</v>
      </c>
      <c r="U113" s="68">
        <f>I113-J113</f>
        <v>2.467365994642023</v>
      </c>
      <c r="V113" s="71"/>
      <c r="W113" s="65" t="s">
        <v>148</v>
      </c>
      <c r="X113" s="67">
        <f>I121</f>
        <v>6668</v>
      </c>
    </row>
    <row r="114" spans="8:24" ht="15.75">
      <c r="H114" s="37" t="s">
        <v>104</v>
      </c>
      <c r="I114" s="60">
        <f>ONSV_AUX_2014!P57</f>
        <v>26226</v>
      </c>
      <c r="J114" s="10">
        <f>I114</f>
        <v>26226</v>
      </c>
      <c r="K114" s="11"/>
      <c r="L114" s="11"/>
      <c r="M114" s="11"/>
      <c r="N114" s="26" t="s">
        <v>149</v>
      </c>
      <c r="O114" s="76"/>
      <c r="P114" s="76"/>
      <c r="Q114" s="65" t="s">
        <v>150</v>
      </c>
      <c r="R114" s="60">
        <f>J116-R111</f>
        <v>38772.377879156498</v>
      </c>
      <c r="S114" s="48"/>
      <c r="T114" s="65" t="s">
        <v>151</v>
      </c>
      <c r="U114" s="72">
        <f>O119</f>
        <v>37467.770768198185</v>
      </c>
      <c r="V114" s="48"/>
      <c r="W114" s="65" t="s">
        <v>152</v>
      </c>
      <c r="X114" s="67">
        <f>I118</f>
        <v>4102</v>
      </c>
    </row>
    <row r="115" spans="8:24" ht="15.75">
      <c r="H115" s="37" t="s">
        <v>105</v>
      </c>
      <c r="I115" s="60">
        <f>ONSV_AUX_2014!P58</f>
        <v>2404</v>
      </c>
      <c r="J115" s="10">
        <f>I115</f>
        <v>2404</v>
      </c>
      <c r="K115" s="11"/>
      <c r="L115" s="11"/>
      <c r="M115" s="11"/>
      <c r="O115" s="73"/>
      <c r="P115" s="76"/>
      <c r="Q115" s="65" t="s">
        <v>136</v>
      </c>
      <c r="R115" s="60">
        <f>J117-R112</f>
        <v>12951.125233301533</v>
      </c>
      <c r="S115" s="48"/>
      <c r="T115" s="48"/>
      <c r="U115" s="62"/>
      <c r="V115" s="77"/>
      <c r="W115" s="48"/>
      <c r="X115" s="62"/>
    </row>
    <row r="116" spans="8:24" ht="15.75">
      <c r="H116" s="37" t="s">
        <v>106</v>
      </c>
      <c r="I116" s="60">
        <f>ONSV_AUX_2014!P59</f>
        <v>63665</v>
      </c>
      <c r="J116" s="61">
        <f>I116-(L109*I107)</f>
        <v>63664.627528872144</v>
      </c>
      <c r="K116" s="11"/>
      <c r="L116" s="11"/>
      <c r="M116" s="11"/>
      <c r="N116" s="28" t="s">
        <v>143</v>
      </c>
      <c r="O116" s="60">
        <f>I104</f>
        <v>29191</v>
      </c>
      <c r="P116" s="76"/>
      <c r="Q116" s="48"/>
      <c r="R116" s="48"/>
      <c r="S116" s="77"/>
      <c r="T116" s="65" t="s">
        <v>142</v>
      </c>
      <c r="U116" s="68">
        <f>R111</f>
        <v>24892.24964971565</v>
      </c>
      <c r="V116" s="48"/>
      <c r="W116" s="65" t="s">
        <v>153</v>
      </c>
      <c r="X116" s="67">
        <f>I119</f>
        <v>381890</v>
      </c>
    </row>
    <row r="117" spans="8:24" ht="15.75">
      <c r="H117" s="37" t="s">
        <v>107</v>
      </c>
      <c r="I117" s="60">
        <f>ONSV_AUX_2014!P60</f>
        <v>21266</v>
      </c>
      <c r="J117" s="61">
        <f>I117-(L110*I107)</f>
        <v>21265.875583585879</v>
      </c>
      <c r="K117" s="11"/>
      <c r="L117" s="11"/>
      <c r="M117" s="11"/>
      <c r="N117" s="28" t="s">
        <v>146</v>
      </c>
      <c r="O117" s="60">
        <f>I108</f>
        <v>21328</v>
      </c>
      <c r="P117" s="76"/>
      <c r="Q117" s="48"/>
      <c r="R117" s="48"/>
      <c r="S117" s="48"/>
      <c r="T117" s="65" t="s">
        <v>154</v>
      </c>
      <c r="U117" s="68">
        <f>I116-J116</f>
        <v>0.37247112785553327</v>
      </c>
      <c r="V117" s="48"/>
      <c r="W117" s="65" t="s">
        <v>155</v>
      </c>
      <c r="X117" s="67">
        <f>I120</f>
        <v>53263</v>
      </c>
    </row>
    <row r="118" spans="8:24" ht="15.75">
      <c r="H118" s="37" t="s">
        <v>108</v>
      </c>
      <c r="I118" s="60">
        <f>ONSV_AUX_2014!P61</f>
        <v>4102</v>
      </c>
      <c r="J118" s="10">
        <f>I118</f>
        <v>4102</v>
      </c>
      <c r="K118" s="11"/>
      <c r="L118" s="11"/>
      <c r="M118" s="11"/>
      <c r="N118" s="28" t="s">
        <v>139</v>
      </c>
      <c r="O118" s="60">
        <f>IF(OR((O107*I105&gt;J113),((O116+O117+(O107*I105))&gt;J113)),(J113-O116-O117),(O107*I105))</f>
        <v>333747.76186580717</v>
      </c>
      <c r="P118" s="76"/>
      <c r="Q118" s="48"/>
      <c r="R118" s="78"/>
      <c r="S118" s="48"/>
      <c r="T118" s="65" t="s">
        <v>150</v>
      </c>
      <c r="U118" s="72">
        <f>R114</f>
        <v>38772.377879156498</v>
      </c>
      <c r="V118" s="48"/>
      <c r="W118" s="48"/>
      <c r="X118" s="48"/>
    </row>
    <row r="119" spans="8:24" ht="15.75">
      <c r="H119" s="37" t="s">
        <v>109</v>
      </c>
      <c r="I119" s="60">
        <f>ONSV_AUX_2014!P62</f>
        <v>381890</v>
      </c>
      <c r="J119" s="10">
        <f>I119</f>
        <v>381890</v>
      </c>
      <c r="K119" s="11"/>
      <c r="L119" s="11"/>
      <c r="M119" s="11"/>
      <c r="N119" s="28" t="s">
        <v>151</v>
      </c>
      <c r="O119" s="60">
        <f>IF((J113-O116-O118-O117)&lt;0,0,(J113-O116-O118-O117))</f>
        <v>37467.770768198185</v>
      </c>
      <c r="P119" s="48"/>
      <c r="Q119" s="48"/>
      <c r="R119" s="48"/>
      <c r="S119" s="48"/>
      <c r="T119" s="48"/>
      <c r="U119" s="62"/>
      <c r="V119" s="48"/>
      <c r="W119" s="48"/>
      <c r="X119" s="48"/>
    </row>
    <row r="120" spans="8:24" ht="15.75">
      <c r="H120" s="37" t="s">
        <v>110</v>
      </c>
      <c r="I120" s="60">
        <f>ONSV_AUX_2014!P63</f>
        <v>53263</v>
      </c>
      <c r="J120" s="10">
        <f>I120</f>
        <v>53263</v>
      </c>
      <c r="K120" s="11"/>
      <c r="L120" s="11"/>
      <c r="M120" s="11"/>
      <c r="O120" s="48"/>
      <c r="P120" s="76"/>
      <c r="Q120" s="48"/>
      <c r="R120" s="48"/>
      <c r="S120" s="48"/>
      <c r="T120" s="79" t="s">
        <v>156</v>
      </c>
      <c r="U120" s="80">
        <f>(SUM(U106:U118,X106:X117)/SUM(I113:I122))-1</f>
        <v>0</v>
      </c>
      <c r="V120" s="48"/>
      <c r="W120" s="79" t="s">
        <v>10</v>
      </c>
      <c r="X120" s="67">
        <f>SUM(U106:U118,X106:X117)</f>
        <v>987331</v>
      </c>
    </row>
    <row r="121" spans="8:24" ht="15.75">
      <c r="H121" s="37" t="s">
        <v>111</v>
      </c>
      <c r="I121" s="60">
        <f>ONSV_AUX_2014!P64</f>
        <v>6668</v>
      </c>
      <c r="J121" s="10">
        <f>I121</f>
        <v>6668</v>
      </c>
      <c r="K121" s="11"/>
      <c r="L121" s="11"/>
      <c r="M121" s="11"/>
      <c r="O121" s="48"/>
      <c r="P121" s="76"/>
      <c r="Q121" s="48"/>
      <c r="R121" s="48"/>
      <c r="S121" s="48"/>
      <c r="T121" s="48"/>
      <c r="U121" s="48"/>
      <c r="V121" s="48"/>
      <c r="W121" s="48"/>
      <c r="X121" s="48"/>
    </row>
    <row r="122" spans="8:24" ht="15.75">
      <c r="H122" s="37" t="s">
        <v>112</v>
      </c>
      <c r="I122" s="60">
        <f>ONSV_AUX_2014!P65</f>
        <v>6110</v>
      </c>
      <c r="J122" s="61">
        <f>I122-(L111*I107)</f>
        <v>6109.9642535366183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A1:F1"/>
    <mergeCell ref="Q4:R4"/>
    <mergeCell ref="T4:X4"/>
    <mergeCell ref="K5:L5"/>
    <mergeCell ref="A25:F25"/>
    <mergeCell ref="T27:X27"/>
    <mergeCell ref="T52:X52"/>
    <mergeCell ref="K79:L79"/>
    <mergeCell ref="A100:F100"/>
    <mergeCell ref="K104:L104"/>
    <mergeCell ref="K29:L29"/>
    <mergeCell ref="A50:F50"/>
    <mergeCell ref="A75:F75"/>
    <mergeCell ref="K54:L5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9" tint="0.39997558519241921"/>
  </sheetPr>
  <dimension ref="A1:X122"/>
  <sheetViews>
    <sheetView showGridLines="0" zoomScale="90" zoomScaleNormal="90" workbookViewId="0">
      <selection activeCell="L14" sqref="L14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9" max="9" width="9.85546875" bestFit="1" customWidth="1"/>
    <col min="10" max="10" width="10.85546875" customWidth="1"/>
    <col min="11" max="11" width="18" customWidth="1"/>
    <col min="12" max="12" width="9.85546875" bestFit="1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  <col min="27" max="28" width="10" bestFit="1" customWidth="1"/>
    <col min="30" max="30" width="10" bestFit="1" customWidth="1"/>
  </cols>
  <sheetData>
    <row r="1" spans="1:24" s="31" customFormat="1" ht="15.75">
      <c r="A1" s="101" t="str">
        <f>"PARANÁ/"&amp;ONSV_AUX_2018!A1&amp;""</f>
        <v>PARANÁ/2018</v>
      </c>
      <c r="B1" s="102"/>
      <c r="C1" s="102"/>
      <c r="D1" s="102"/>
      <c r="E1" s="102"/>
      <c r="F1" s="102"/>
    </row>
    <row r="2" spans="1:24" s="4" customFormat="1" ht="15.75">
      <c r="A2" s="32"/>
      <c r="B2" s="32"/>
      <c r="C2" s="32"/>
      <c r="D2" s="32"/>
      <c r="E2" s="32"/>
      <c r="F2" s="32"/>
    </row>
    <row r="3" spans="1:24" ht="15.75">
      <c r="A3" s="12"/>
      <c r="H3" s="23" t="s">
        <v>118</v>
      </c>
    </row>
    <row r="4" spans="1:24" ht="15.75">
      <c r="B4" s="5"/>
      <c r="J4" s="9"/>
      <c r="M4" s="25"/>
      <c r="N4" s="25"/>
      <c r="O4" s="25"/>
      <c r="P4" s="25"/>
      <c r="Q4" s="103"/>
      <c r="R4" s="103"/>
      <c r="S4" s="22"/>
      <c r="T4" s="104"/>
      <c r="U4" s="104"/>
      <c r="V4" s="104"/>
      <c r="W4" s="104"/>
      <c r="X4" s="104"/>
    </row>
    <row r="5" spans="1:24" ht="15.75">
      <c r="H5" s="36" t="s">
        <v>81</v>
      </c>
      <c r="I5" s="60">
        <f>ONSV_AUX_2018!Q27</f>
        <v>418932</v>
      </c>
      <c r="J5" s="9"/>
      <c r="K5" s="104" t="s">
        <v>119</v>
      </c>
      <c r="L5" s="104"/>
      <c r="M5" s="9"/>
      <c r="N5" s="26" t="s">
        <v>120</v>
      </c>
      <c r="O5" s="26"/>
      <c r="Q5" s="26" t="s">
        <v>121</v>
      </c>
      <c r="R5" s="26"/>
      <c r="S5" s="26"/>
      <c r="T5" s="25" t="s">
        <v>122</v>
      </c>
      <c r="U5" s="25"/>
      <c r="V5" s="25"/>
      <c r="W5" s="25"/>
      <c r="X5" s="25"/>
    </row>
    <row r="6" spans="1:24" ht="15.75">
      <c r="H6" s="36" t="s">
        <v>84</v>
      </c>
      <c r="I6" s="60">
        <f>ONSV_AUX_2018!Q28</f>
        <v>2526455</v>
      </c>
      <c r="J6" s="9"/>
      <c r="K6" s="9"/>
      <c r="L6" s="9"/>
      <c r="M6" s="9"/>
      <c r="N6" s="9"/>
      <c r="O6" s="9"/>
      <c r="P6" s="20"/>
      <c r="Q6" s="11"/>
      <c r="R6" s="11"/>
      <c r="S6" s="11"/>
    </row>
    <row r="7" spans="1:24" ht="15.75">
      <c r="H7" s="36" t="s">
        <v>85</v>
      </c>
      <c r="I7" s="60">
        <f>ONSV_AUX_2018!Q29</f>
        <v>693570</v>
      </c>
      <c r="J7" s="9"/>
      <c r="K7" s="2" t="s">
        <v>123</v>
      </c>
      <c r="L7" s="60">
        <f>I14+I17+I18+I23</f>
        <v>5311146</v>
      </c>
      <c r="N7" s="28" t="s">
        <v>124</v>
      </c>
      <c r="O7" s="60">
        <f>J14+J23</f>
        <v>4425498.4436104754</v>
      </c>
      <c r="P7" s="64"/>
      <c r="Q7" s="65" t="s">
        <v>125</v>
      </c>
      <c r="R7" s="60">
        <f>J17+J18</f>
        <v>884714.55638952507</v>
      </c>
      <c r="S7" s="66"/>
      <c r="T7" s="65" t="s">
        <v>126</v>
      </c>
      <c r="U7" s="67">
        <f>O11</f>
        <v>33364.135927131516</v>
      </c>
      <c r="V7" s="48"/>
      <c r="W7" s="65" t="s">
        <v>127</v>
      </c>
      <c r="X7" s="68">
        <f>R13</f>
        <v>71812.507005548832</v>
      </c>
    </row>
    <row r="8" spans="1:24" ht="15.75">
      <c r="H8" s="36" t="s">
        <v>101</v>
      </c>
      <c r="I8" s="60">
        <f>ONSV_AUX_2018!Q30</f>
        <v>933</v>
      </c>
      <c r="J8" s="9"/>
      <c r="K8" s="27"/>
      <c r="L8" s="62"/>
      <c r="M8" s="20"/>
      <c r="N8" s="28" t="s">
        <v>128</v>
      </c>
      <c r="O8" s="69">
        <f>J14/O7</f>
        <v>0.98679409056281175</v>
      </c>
      <c r="P8" s="64"/>
      <c r="Q8" s="70" t="s">
        <v>129</v>
      </c>
      <c r="R8" s="63">
        <f>J17/R7</f>
        <v>0.73158317040921261</v>
      </c>
      <c r="S8" s="71"/>
      <c r="T8" s="65" t="s">
        <v>130</v>
      </c>
      <c r="U8" s="67">
        <f>I23-J23</f>
        <v>10.268339262373047</v>
      </c>
      <c r="V8" s="48"/>
      <c r="W8" s="65" t="s">
        <v>131</v>
      </c>
      <c r="X8" s="68">
        <f>I18-J18</f>
        <v>41.723681103845593</v>
      </c>
    </row>
    <row r="9" spans="1:24" ht="15.75">
      <c r="H9" s="36" t="s">
        <v>16</v>
      </c>
      <c r="I9" s="60">
        <f>ONSV_AUX_2018!Q31</f>
        <v>38756</v>
      </c>
      <c r="J9" s="9"/>
      <c r="K9" s="2" t="s">
        <v>132</v>
      </c>
      <c r="L9" s="63">
        <f>I14/L7</f>
        <v>0.82238804958477885</v>
      </c>
      <c r="M9" s="20"/>
      <c r="N9" s="28" t="s">
        <v>133</v>
      </c>
      <c r="O9" s="69">
        <f>J23/O7</f>
        <v>1.320590943718828E-2</v>
      </c>
      <c r="P9" s="64"/>
      <c r="Q9" s="70" t="s">
        <v>134</v>
      </c>
      <c r="R9" s="63">
        <f>J18/R7</f>
        <v>0.26841682959078733</v>
      </c>
      <c r="S9" s="71"/>
      <c r="T9" s="65" t="s">
        <v>135</v>
      </c>
      <c r="U9" s="72">
        <f>O13</f>
        <v>25078.595733606111</v>
      </c>
      <c r="V9" s="73"/>
      <c r="W9" s="65" t="s">
        <v>136</v>
      </c>
      <c r="X9" s="72">
        <f>R16</f>
        <v>165659.76931334732</v>
      </c>
    </row>
    <row r="10" spans="1:24" ht="15.75">
      <c r="H10" s="36" t="s">
        <v>94</v>
      </c>
      <c r="I10" s="60">
        <f>ONSV_AUX_2018!Q32</f>
        <v>3452431</v>
      </c>
      <c r="J10" s="10"/>
      <c r="K10" s="2" t="s">
        <v>2</v>
      </c>
      <c r="L10" s="63">
        <f>I17/L7</f>
        <v>0.12188631229493598</v>
      </c>
      <c r="M10" s="20"/>
      <c r="N10" s="20"/>
      <c r="O10" s="74"/>
      <c r="P10" s="48"/>
      <c r="Q10" s="48"/>
      <c r="R10" s="48"/>
      <c r="S10" s="48"/>
      <c r="T10" s="48"/>
      <c r="U10" s="62"/>
      <c r="V10" s="75"/>
      <c r="W10" s="48"/>
      <c r="X10" s="62"/>
    </row>
    <row r="11" spans="1:24" ht="15.75">
      <c r="K11" s="2" t="s">
        <v>3</v>
      </c>
      <c r="L11" s="63">
        <f>I18/L7</f>
        <v>4.4719915438212396E-2</v>
      </c>
      <c r="M11" s="20"/>
      <c r="N11" s="28" t="s">
        <v>137</v>
      </c>
      <c r="O11" s="60">
        <f>IF(O9*I6&gt;J23,J23,O9*I6)</f>
        <v>33364.135927131516</v>
      </c>
      <c r="P11" s="76"/>
      <c r="Q11" s="65" t="s">
        <v>138</v>
      </c>
      <c r="R11" s="60">
        <f>I7-I15-I16-I19-I22</f>
        <v>267541</v>
      </c>
      <c r="S11" s="77"/>
      <c r="T11" s="65" t="s">
        <v>139</v>
      </c>
      <c r="U11" s="67">
        <f>O19</f>
        <v>2493090.8640728686</v>
      </c>
      <c r="V11" s="76"/>
      <c r="W11" s="65" t="s">
        <v>140</v>
      </c>
      <c r="X11" s="67">
        <f>I15</f>
        <v>270713</v>
      </c>
    </row>
    <row r="12" spans="1:24" ht="15.75">
      <c r="H12" s="24" t="s">
        <v>141</v>
      </c>
      <c r="K12" s="2" t="s">
        <v>0</v>
      </c>
      <c r="L12" s="63">
        <f>I23/L7</f>
        <v>1.1005722682072758E-2</v>
      </c>
      <c r="O12" s="48"/>
      <c r="P12" s="76"/>
      <c r="Q12" s="65" t="s">
        <v>142</v>
      </c>
      <c r="R12" s="60">
        <f>R8*R11</f>
        <v>195728.49299445114</v>
      </c>
      <c r="S12" s="48"/>
      <c r="T12" s="65" t="s">
        <v>143</v>
      </c>
      <c r="U12" s="67">
        <f>O17</f>
        <v>418932</v>
      </c>
      <c r="V12" s="66"/>
      <c r="W12" s="65" t="s">
        <v>144</v>
      </c>
      <c r="X12" s="67">
        <f>I16</f>
        <v>89777</v>
      </c>
    </row>
    <row r="13" spans="1:24" ht="15.75">
      <c r="K13" s="11"/>
      <c r="L13" s="11"/>
      <c r="M13" s="11"/>
      <c r="N13" s="28" t="s">
        <v>145</v>
      </c>
      <c r="O13" s="60">
        <f>J23-O11</f>
        <v>25078.595733606111</v>
      </c>
      <c r="P13" s="76"/>
      <c r="Q13" s="65" t="s">
        <v>127</v>
      </c>
      <c r="R13" s="60">
        <f>R9*R11</f>
        <v>71812.507005548832</v>
      </c>
      <c r="S13" s="48"/>
      <c r="T13" s="65" t="s">
        <v>146</v>
      </c>
      <c r="U13" s="67">
        <f>O18</f>
        <v>38756</v>
      </c>
      <c r="V13" s="71"/>
      <c r="W13" s="48"/>
      <c r="X13" s="62"/>
    </row>
    <row r="14" spans="1:24" ht="15.75">
      <c r="H14" s="37" t="s">
        <v>103</v>
      </c>
      <c r="I14" s="60">
        <f>ONSV_AUX_2018!Q56</f>
        <v>4367823</v>
      </c>
      <c r="J14" s="61">
        <f>I14-(L9*I8)</f>
        <v>4367055.7119497377</v>
      </c>
      <c r="K14" s="11"/>
      <c r="L14" s="11"/>
      <c r="M14" s="11"/>
      <c r="O14" s="76"/>
      <c r="P14" s="76"/>
      <c r="Q14" s="48"/>
      <c r="R14" s="78"/>
      <c r="S14" s="48"/>
      <c r="T14" s="65" t="s">
        <v>147</v>
      </c>
      <c r="U14" s="68">
        <f>I14-J14</f>
        <v>767.28805026225746</v>
      </c>
      <c r="V14" s="71"/>
      <c r="W14" s="65" t="s">
        <v>148</v>
      </c>
      <c r="X14" s="67">
        <f>I22</f>
        <v>43053</v>
      </c>
    </row>
    <row r="15" spans="1:24" ht="15.75">
      <c r="H15" s="37" t="s">
        <v>104</v>
      </c>
      <c r="I15" s="60">
        <f>ONSV_AUX_2018!Q57</f>
        <v>270713</v>
      </c>
      <c r="J15" s="10">
        <f>I15</f>
        <v>270713</v>
      </c>
      <c r="K15" s="11"/>
      <c r="L15" s="11"/>
      <c r="M15" s="11"/>
      <c r="N15" s="26" t="s">
        <v>149</v>
      </c>
      <c r="O15" s="76"/>
      <c r="P15" s="76"/>
      <c r="Q15" s="65" t="s">
        <v>150</v>
      </c>
      <c r="R15" s="60">
        <f>J17-R12</f>
        <v>451513.78707617772</v>
      </c>
      <c r="S15" s="48"/>
      <c r="T15" s="65" t="s">
        <v>151</v>
      </c>
      <c r="U15" s="72">
        <f>O20</f>
        <v>1416276.8478768691</v>
      </c>
      <c r="V15" s="48"/>
      <c r="W15" s="65" t="s">
        <v>152</v>
      </c>
      <c r="X15" s="67">
        <f>I19</f>
        <v>22486</v>
      </c>
    </row>
    <row r="16" spans="1:24" ht="15.75">
      <c r="H16" s="37" t="s">
        <v>105</v>
      </c>
      <c r="I16" s="60">
        <f>ONSV_AUX_2018!Q58</f>
        <v>89777</v>
      </c>
      <c r="J16" s="10">
        <f>I16</f>
        <v>89777</v>
      </c>
      <c r="K16" s="11"/>
      <c r="L16" s="11"/>
      <c r="M16" s="11"/>
      <c r="O16" s="73"/>
      <c r="P16" s="76"/>
      <c r="Q16" s="65" t="s">
        <v>136</v>
      </c>
      <c r="R16" s="60">
        <f>J18-R13</f>
        <v>165659.76931334732</v>
      </c>
      <c r="S16" s="48"/>
      <c r="T16" s="48"/>
      <c r="U16" s="62"/>
      <c r="V16" s="77"/>
      <c r="W16" s="48"/>
      <c r="X16" s="62"/>
    </row>
    <row r="17" spans="1:24" ht="15.75">
      <c r="H17" s="37" t="s">
        <v>106</v>
      </c>
      <c r="I17" s="60">
        <f>ONSV_AUX_2018!Q59</f>
        <v>647356</v>
      </c>
      <c r="J17" s="61">
        <f>I17-(L10*I8)</f>
        <v>647242.28007062885</v>
      </c>
      <c r="K17" s="11"/>
      <c r="L17" s="11"/>
      <c r="M17" s="11"/>
      <c r="N17" s="28" t="s">
        <v>143</v>
      </c>
      <c r="O17" s="60">
        <f>I5</f>
        <v>418932</v>
      </c>
      <c r="P17" s="76"/>
      <c r="Q17" s="48"/>
      <c r="R17" s="48"/>
      <c r="S17" s="77"/>
      <c r="T17" s="65" t="s">
        <v>142</v>
      </c>
      <c r="U17" s="68">
        <f>R12</f>
        <v>195728.49299445114</v>
      </c>
      <c r="V17" s="48"/>
      <c r="W17" s="65" t="s">
        <v>153</v>
      </c>
      <c r="X17" s="67">
        <f>I20</f>
        <v>1147286</v>
      </c>
    </row>
    <row r="18" spans="1:24" ht="15.75">
      <c r="H18" s="37" t="s">
        <v>107</v>
      </c>
      <c r="I18" s="60">
        <f>ONSV_AUX_2018!Q60</f>
        <v>237514</v>
      </c>
      <c r="J18" s="61">
        <f>I18-(L11*I8)</f>
        <v>237472.27631889615</v>
      </c>
      <c r="K18" s="11"/>
      <c r="L18" s="11"/>
      <c r="M18" s="11"/>
      <c r="N18" s="28" t="s">
        <v>146</v>
      </c>
      <c r="O18" s="60">
        <f>I9</f>
        <v>38756</v>
      </c>
      <c r="P18" s="76"/>
      <c r="Q18" s="48"/>
      <c r="R18" s="48"/>
      <c r="S18" s="48"/>
      <c r="T18" s="65" t="s">
        <v>154</v>
      </c>
      <c r="U18" s="68">
        <f>I17-J17</f>
        <v>113.71992937114555</v>
      </c>
      <c r="V18" s="48"/>
      <c r="W18" s="65" t="s">
        <v>155</v>
      </c>
      <c r="X18" s="67">
        <f>I21</f>
        <v>292153</v>
      </c>
    </row>
    <row r="19" spans="1:24" ht="15.75">
      <c r="H19" s="37" t="s">
        <v>108</v>
      </c>
      <c r="I19" s="60">
        <f>ONSV_AUX_2018!Q61</f>
        <v>22486</v>
      </c>
      <c r="J19" s="10">
        <f>I19</f>
        <v>22486</v>
      </c>
      <c r="K19" s="11"/>
      <c r="L19" s="11"/>
      <c r="M19" s="11"/>
      <c r="N19" s="28" t="s">
        <v>139</v>
      </c>
      <c r="O19" s="60">
        <f>IF(OR((O8*I6&gt;J14),((O17+O18+(O8*I6))&gt;J14)),(J14-O17-O18),(O8*I6))</f>
        <v>2493090.8640728686</v>
      </c>
      <c r="P19" s="76"/>
      <c r="Q19" s="48"/>
      <c r="R19" s="78"/>
      <c r="S19" s="48"/>
      <c r="T19" s="65" t="s">
        <v>150</v>
      </c>
      <c r="U19" s="72">
        <f>R15</f>
        <v>451513.78707617772</v>
      </c>
      <c r="V19" s="48"/>
      <c r="W19" s="48"/>
      <c r="X19" s="48"/>
    </row>
    <row r="20" spans="1:24" ht="15.75">
      <c r="H20" s="37" t="s">
        <v>109</v>
      </c>
      <c r="I20" s="60">
        <f>ONSV_AUX_2018!Q62</f>
        <v>1147286</v>
      </c>
      <c r="J20" s="10">
        <f t="shared" ref="J20:J22" si="0">I20</f>
        <v>1147286</v>
      </c>
      <c r="K20" s="11"/>
      <c r="L20" s="11"/>
      <c r="M20" s="11"/>
      <c r="N20" s="28" t="s">
        <v>151</v>
      </c>
      <c r="O20" s="60">
        <f>IF((J14-O17-O19-O18)&lt;0,0,(J14-O17-O19-O18))</f>
        <v>1416276.8478768691</v>
      </c>
      <c r="P20" s="48"/>
      <c r="Q20" s="48"/>
      <c r="R20" s="48"/>
      <c r="S20" s="48"/>
      <c r="T20" s="48"/>
      <c r="U20" s="62"/>
      <c r="V20" s="48"/>
      <c r="W20" s="48"/>
      <c r="X20" s="48"/>
    </row>
    <row r="21" spans="1:24" ht="15.75">
      <c r="H21" s="37" t="s">
        <v>110</v>
      </c>
      <c r="I21" s="60">
        <f>ONSV_AUX_2018!Q63</f>
        <v>292153</v>
      </c>
      <c r="J21" s="10">
        <f t="shared" si="0"/>
        <v>292153</v>
      </c>
      <c r="K21" s="11"/>
      <c r="L21" s="11"/>
      <c r="M21" s="11"/>
      <c r="O21" s="48"/>
      <c r="P21" s="76"/>
      <c r="Q21" s="48"/>
      <c r="R21" s="48"/>
      <c r="S21" s="48"/>
      <c r="T21" s="79" t="s">
        <v>156</v>
      </c>
      <c r="U21" s="80">
        <f>(SUM(U7:U19,X7:X18)/SUM(I14:I23))-1</f>
        <v>0</v>
      </c>
      <c r="V21" s="48"/>
      <c r="W21" s="79" t="s">
        <v>10</v>
      </c>
      <c r="X21" s="67">
        <f>SUM(U7:U19,X7:X18)</f>
        <v>7176614</v>
      </c>
    </row>
    <row r="22" spans="1:24" ht="15.75">
      <c r="H22" s="37" t="s">
        <v>111</v>
      </c>
      <c r="I22" s="60">
        <f>ONSV_AUX_2018!Q64</f>
        <v>43053</v>
      </c>
      <c r="J22" s="10">
        <f t="shared" si="0"/>
        <v>43053</v>
      </c>
      <c r="K22" s="11"/>
      <c r="L22" s="11"/>
      <c r="M22" s="11"/>
      <c r="O22" s="48"/>
      <c r="P22" s="76"/>
      <c r="Q22" s="48"/>
      <c r="R22" s="48"/>
      <c r="S22" s="48"/>
      <c r="T22" s="48"/>
      <c r="U22" s="48"/>
      <c r="V22" s="48"/>
      <c r="W22" s="48"/>
      <c r="X22" s="48"/>
    </row>
    <row r="23" spans="1:24" ht="15.75">
      <c r="H23" s="37" t="s">
        <v>112</v>
      </c>
      <c r="I23" s="60">
        <f>ONSV_AUX_2018!Q65</f>
        <v>58453</v>
      </c>
      <c r="J23" s="61">
        <f>I23-(L12*I8)</f>
        <v>58442.731660737627</v>
      </c>
      <c r="K23" s="12"/>
      <c r="L23" s="12"/>
      <c r="M23" s="12"/>
      <c r="N23" s="12"/>
      <c r="O23" s="12"/>
      <c r="P23" s="12"/>
      <c r="Q23" s="4"/>
      <c r="R23" s="4"/>
    </row>
    <row r="25" spans="1:24" s="34" customFormat="1" ht="15.75">
      <c r="A25" s="101" t="str">
        <f>"PARANÁ/"&amp;ONSV_AUX_2017!A1&amp;""</f>
        <v>PARANÁ/2017</v>
      </c>
      <c r="B25" s="102"/>
      <c r="C25" s="102"/>
      <c r="D25" s="102"/>
      <c r="E25" s="102"/>
      <c r="F25" s="102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 spans="1:24" ht="15.75">
      <c r="A26" s="3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>
      <c r="A27" s="12"/>
      <c r="H27" s="23" t="s">
        <v>118</v>
      </c>
      <c r="N27" s="26"/>
      <c r="O27" s="26"/>
      <c r="P27" s="9"/>
      <c r="Q27" s="26"/>
      <c r="R27" s="26"/>
      <c r="S27" s="26"/>
      <c r="T27" s="104"/>
      <c r="U27" s="104"/>
      <c r="V27" s="104"/>
      <c r="W27" s="104"/>
      <c r="X27" s="104"/>
    </row>
    <row r="28" spans="1:24" ht="15.75">
      <c r="B28" s="5"/>
      <c r="J28" s="9"/>
      <c r="M28" s="25"/>
    </row>
    <row r="29" spans="1:24" ht="15.75">
      <c r="H29" s="36" t="s">
        <v>81</v>
      </c>
      <c r="I29" s="60">
        <f>ONSV_AUX_2017!Q27</f>
        <v>419099</v>
      </c>
      <c r="J29" s="9"/>
      <c r="K29" s="104" t="s">
        <v>119</v>
      </c>
      <c r="L29" s="104"/>
      <c r="M29" s="9"/>
      <c r="N29" s="26" t="s">
        <v>120</v>
      </c>
      <c r="O29" s="26"/>
      <c r="Q29" s="26" t="s">
        <v>121</v>
      </c>
      <c r="R29" s="26"/>
      <c r="S29" s="26"/>
      <c r="T29" s="25" t="s">
        <v>122</v>
      </c>
      <c r="U29" s="25"/>
      <c r="V29" s="25"/>
      <c r="W29" s="25"/>
      <c r="X29" s="25"/>
    </row>
    <row r="30" spans="1:24" ht="15.75">
      <c r="H30" s="36" t="s">
        <v>84</v>
      </c>
      <c r="I30" s="60">
        <f>ONSV_AUX_2017!Q28</f>
        <v>2381855</v>
      </c>
      <c r="J30" s="9"/>
      <c r="K30" s="9"/>
      <c r="L30" s="9"/>
      <c r="M30" s="9"/>
      <c r="N30" s="9"/>
      <c r="O30" s="9"/>
      <c r="P30" s="20"/>
      <c r="Q30" s="11"/>
      <c r="R30" s="11"/>
      <c r="S30" s="11"/>
    </row>
    <row r="31" spans="1:24" ht="15.75">
      <c r="H31" s="36" t="s">
        <v>85</v>
      </c>
      <c r="I31" s="60">
        <f>ONSV_AUX_2017!Q29</f>
        <v>668765</v>
      </c>
      <c r="J31" s="9"/>
      <c r="K31" s="2" t="s">
        <v>123</v>
      </c>
      <c r="L31" s="60">
        <f>I38+I41+I42+I47</f>
        <v>5156270</v>
      </c>
      <c r="N31" s="28" t="s">
        <v>124</v>
      </c>
      <c r="O31" s="60">
        <f>J38+J47</f>
        <v>4309320.6124849934</v>
      </c>
      <c r="P31" s="64"/>
      <c r="Q31" s="65" t="s">
        <v>125</v>
      </c>
      <c r="R31" s="60">
        <f>J41+J42</f>
        <v>846330.387515006</v>
      </c>
      <c r="S31" s="66"/>
      <c r="T31" s="65" t="s">
        <v>126</v>
      </c>
      <c r="U31" s="67">
        <f>O35</f>
        <v>28767.368591348448</v>
      </c>
      <c r="V31" s="48"/>
      <c r="W31" s="65" t="s">
        <v>127</v>
      </c>
      <c r="X31" s="68">
        <f>R37</f>
        <v>66782.792850459329</v>
      </c>
    </row>
    <row r="32" spans="1:24" ht="15.75">
      <c r="H32" s="36" t="s">
        <v>101</v>
      </c>
      <c r="I32" s="60">
        <f>ONSV_AUX_2017!Q30</f>
        <v>619</v>
      </c>
      <c r="J32" s="9"/>
      <c r="K32" s="27"/>
      <c r="L32" s="62"/>
      <c r="M32" s="20"/>
      <c r="N32" s="28" t="s">
        <v>128</v>
      </c>
      <c r="O32" s="69">
        <f>J38/O31</f>
        <v>0.98792228385382475</v>
      </c>
      <c r="P32" s="64"/>
      <c r="Q32" s="70" t="s">
        <v>129</v>
      </c>
      <c r="R32" s="63">
        <f>J41/R31</f>
        <v>0.73427398775093577</v>
      </c>
      <c r="S32" s="71"/>
      <c r="T32" s="65" t="s">
        <v>130</v>
      </c>
      <c r="U32" s="67">
        <f>I47-J47</f>
        <v>6.2488595438189805</v>
      </c>
      <c r="V32" s="48"/>
      <c r="W32" s="65" t="s">
        <v>131</v>
      </c>
      <c r="X32" s="68">
        <f>I42-J42</f>
        <v>27.001080432179151</v>
      </c>
    </row>
    <row r="33" spans="8:24" ht="15.75">
      <c r="H33" s="36" t="s">
        <v>16</v>
      </c>
      <c r="I33" s="60">
        <f>ONSV_AUX_2017!Q31</f>
        <v>37241</v>
      </c>
      <c r="J33" s="9"/>
      <c r="K33" s="2" t="s">
        <v>132</v>
      </c>
      <c r="L33" s="63">
        <f>I38/L31</f>
        <v>0.82574903951887701</v>
      </c>
      <c r="M33" s="20"/>
      <c r="N33" s="28" t="s">
        <v>133</v>
      </c>
      <c r="O33" s="69">
        <f>J47/O31</f>
        <v>1.2077716146175333E-2</v>
      </c>
      <c r="P33" s="64"/>
      <c r="Q33" s="70" t="s">
        <v>134</v>
      </c>
      <c r="R33" s="63">
        <f>J42/R31</f>
        <v>0.26572601224906428</v>
      </c>
      <c r="S33" s="71"/>
      <c r="T33" s="65" t="s">
        <v>135</v>
      </c>
      <c r="U33" s="72">
        <f>O37</f>
        <v>23279.382549107733</v>
      </c>
      <c r="V33" s="73"/>
      <c r="W33" s="65" t="s">
        <v>136</v>
      </c>
      <c r="X33" s="72">
        <f>R40</f>
        <v>158109.20606910851</v>
      </c>
    </row>
    <row r="34" spans="8:24" ht="15.75">
      <c r="H34" s="36" t="s">
        <v>94</v>
      </c>
      <c r="I34" s="60">
        <f>ONSV_AUX_2017!Q32</f>
        <v>3421160</v>
      </c>
      <c r="J34" s="10"/>
      <c r="K34" s="2" t="s">
        <v>2</v>
      </c>
      <c r="L34" s="63">
        <f>I41/L31</f>
        <v>0.12053538701425642</v>
      </c>
      <c r="M34" s="20"/>
      <c r="N34" s="20"/>
      <c r="O34" s="74"/>
      <c r="P34" s="48"/>
      <c r="Q34" s="48"/>
      <c r="R34" s="48"/>
      <c r="S34" s="48"/>
      <c r="T34" s="48"/>
      <c r="U34" s="62"/>
      <c r="V34" s="75"/>
      <c r="W34" s="48"/>
      <c r="X34" s="62"/>
    </row>
    <row r="35" spans="8:24" ht="15.75">
      <c r="K35" s="2" t="s">
        <v>3</v>
      </c>
      <c r="L35" s="63">
        <f>I42/L31</f>
        <v>4.3620485350844701E-2</v>
      </c>
      <c r="M35" s="20"/>
      <c r="N35" s="28" t="s">
        <v>137</v>
      </c>
      <c r="O35" s="60">
        <f>IF(O33*I30&gt;J47,J47,O33*I30)</f>
        <v>28767.368591348448</v>
      </c>
      <c r="P35" s="76"/>
      <c r="Q35" s="65" t="s">
        <v>138</v>
      </c>
      <c r="R35" s="60">
        <f>I31-I39-I40-I43-I46</f>
        <v>251322</v>
      </c>
      <c r="S35" s="77"/>
      <c r="T35" s="65" t="s">
        <v>139</v>
      </c>
      <c r="U35" s="67">
        <f>O43</f>
        <v>2353087.6314086518</v>
      </c>
      <c r="V35" s="76"/>
      <c r="W35" s="65" t="s">
        <v>140</v>
      </c>
      <c r="X35" s="67">
        <f>I39</f>
        <v>266688</v>
      </c>
    </row>
    <row r="36" spans="8:24" ht="15.75">
      <c r="H36" s="24" t="s">
        <v>141</v>
      </c>
      <c r="K36" s="2" t="s">
        <v>0</v>
      </c>
      <c r="L36" s="63">
        <f>I47/L31</f>
        <v>1.0095088116021852E-2</v>
      </c>
      <c r="O36" s="48"/>
      <c r="P36" s="76"/>
      <c r="Q36" s="65" t="s">
        <v>142</v>
      </c>
      <c r="R36" s="60">
        <f>R32*R35</f>
        <v>184539.20714954069</v>
      </c>
      <c r="S36" s="48"/>
      <c r="T36" s="65" t="s">
        <v>143</v>
      </c>
      <c r="U36" s="67">
        <f>O41</f>
        <v>419099</v>
      </c>
      <c r="V36" s="66"/>
      <c r="W36" s="65" t="s">
        <v>144</v>
      </c>
      <c r="X36" s="67">
        <f>I40</f>
        <v>87165</v>
      </c>
    </row>
    <row r="37" spans="8:24" ht="15.75">
      <c r="K37" s="11"/>
      <c r="L37" s="11"/>
      <c r="M37" s="11"/>
      <c r="N37" s="28" t="s">
        <v>145</v>
      </c>
      <c r="O37" s="60">
        <f>J47-O35</f>
        <v>23279.382549107733</v>
      </c>
      <c r="P37" s="76"/>
      <c r="Q37" s="65" t="s">
        <v>127</v>
      </c>
      <c r="R37" s="60">
        <f>R33*R35</f>
        <v>66782.792850459329</v>
      </c>
      <c r="S37" s="48"/>
      <c r="T37" s="65" t="s">
        <v>146</v>
      </c>
      <c r="U37" s="67">
        <f>O42</f>
        <v>37241</v>
      </c>
      <c r="V37" s="71"/>
      <c r="W37" s="48"/>
      <c r="X37" s="62"/>
    </row>
    <row r="38" spans="8:24" ht="15.75">
      <c r="H38" s="37" t="s">
        <v>103</v>
      </c>
      <c r="I38" s="60">
        <f>ONSV_AUX_2017!Q56</f>
        <v>4257785</v>
      </c>
      <c r="J38" s="61">
        <f>I38-(L33*I32)</f>
        <v>4257273.8613445377</v>
      </c>
      <c r="K38" s="11"/>
      <c r="L38" s="11"/>
      <c r="M38" s="11"/>
      <c r="O38" s="76"/>
      <c r="P38" s="76"/>
      <c r="Q38" s="48"/>
      <c r="R38" s="78"/>
      <c r="S38" s="48"/>
      <c r="T38" s="65" t="s">
        <v>147</v>
      </c>
      <c r="U38" s="68">
        <f>I38-J38</f>
        <v>511.13865546230227</v>
      </c>
      <c r="V38" s="71"/>
      <c r="W38" s="65" t="s">
        <v>148</v>
      </c>
      <c r="X38" s="67">
        <f>I46</f>
        <v>41702</v>
      </c>
    </row>
    <row r="39" spans="8:24" ht="15.75">
      <c r="H39" s="37" t="s">
        <v>104</v>
      </c>
      <c r="I39" s="60">
        <f>ONSV_AUX_2017!Q57</f>
        <v>266688</v>
      </c>
      <c r="J39" s="10">
        <f>I39</f>
        <v>266688</v>
      </c>
      <c r="K39" s="11"/>
      <c r="L39" s="11"/>
      <c r="M39" s="11"/>
      <c r="N39" s="26" t="s">
        <v>149</v>
      </c>
      <c r="O39" s="76"/>
      <c r="P39" s="76"/>
      <c r="Q39" s="65" t="s">
        <v>150</v>
      </c>
      <c r="R39" s="60">
        <f>J41-R36</f>
        <v>436899.18144589756</v>
      </c>
      <c r="S39" s="48"/>
      <c r="T39" s="65" t="s">
        <v>151</v>
      </c>
      <c r="U39" s="72">
        <f>O44</f>
        <v>1447846.2299358859</v>
      </c>
      <c r="V39" s="48"/>
      <c r="W39" s="65" t="s">
        <v>152</v>
      </c>
      <c r="X39" s="67">
        <f>I43</f>
        <v>21888</v>
      </c>
    </row>
    <row r="40" spans="8:24" ht="15.75">
      <c r="H40" s="37" t="s">
        <v>105</v>
      </c>
      <c r="I40" s="60">
        <f>ONSV_AUX_2017!Q58</f>
        <v>87165</v>
      </c>
      <c r="J40" s="10">
        <f>I40</f>
        <v>87165</v>
      </c>
      <c r="K40" s="11"/>
      <c r="L40" s="11"/>
      <c r="M40" s="11"/>
      <c r="O40" s="73"/>
      <c r="P40" s="76"/>
      <c r="Q40" s="65" t="s">
        <v>136</v>
      </c>
      <c r="R40" s="60">
        <f>J42-R37</f>
        <v>158109.20606910851</v>
      </c>
      <c r="S40" s="48"/>
      <c r="T40" s="48"/>
      <c r="U40" s="62"/>
      <c r="V40" s="77"/>
      <c r="W40" s="48"/>
      <c r="X40" s="62"/>
    </row>
    <row r="41" spans="8:24" ht="15.75">
      <c r="H41" s="37" t="s">
        <v>106</v>
      </c>
      <c r="I41" s="60">
        <f>ONSV_AUX_2017!Q59</f>
        <v>621513</v>
      </c>
      <c r="J41" s="61">
        <f>I41-(L34*I32)</f>
        <v>621438.38859543821</v>
      </c>
      <c r="K41" s="11"/>
      <c r="L41" s="11"/>
      <c r="M41" s="11"/>
      <c r="N41" s="28" t="s">
        <v>143</v>
      </c>
      <c r="O41" s="60">
        <f>I29</f>
        <v>419099</v>
      </c>
      <c r="P41" s="76"/>
      <c r="Q41" s="48"/>
      <c r="R41" s="48"/>
      <c r="S41" s="77"/>
      <c r="T41" s="65" t="s">
        <v>142</v>
      </c>
      <c r="U41" s="68">
        <f>R36</f>
        <v>184539.20714954069</v>
      </c>
      <c r="V41" s="48"/>
      <c r="W41" s="65" t="s">
        <v>153</v>
      </c>
      <c r="X41" s="67">
        <f>I44</f>
        <v>1116382</v>
      </c>
    </row>
    <row r="42" spans="8:24" ht="15.75">
      <c r="H42" s="37" t="s">
        <v>107</v>
      </c>
      <c r="I42" s="60">
        <f>ONSV_AUX_2017!Q60</f>
        <v>224919</v>
      </c>
      <c r="J42" s="61">
        <f>I42-(L35*I32)</f>
        <v>224891.99891956782</v>
      </c>
      <c r="K42" s="11"/>
      <c r="L42" s="11"/>
      <c r="M42" s="11"/>
      <c r="N42" s="28" t="s">
        <v>146</v>
      </c>
      <c r="O42" s="60">
        <f>I33</f>
        <v>37241</v>
      </c>
      <c r="P42" s="76"/>
      <c r="Q42" s="48"/>
      <c r="R42" s="48"/>
      <c r="S42" s="48"/>
      <c r="T42" s="65" t="s">
        <v>154</v>
      </c>
      <c r="U42" s="68">
        <f>I41-J41</f>
        <v>74.611404561786912</v>
      </c>
      <c r="V42" s="48"/>
      <c r="W42" s="65" t="s">
        <v>155</v>
      </c>
      <c r="X42" s="67">
        <f>I45</f>
        <v>282658</v>
      </c>
    </row>
    <row r="43" spans="8:24" ht="15.75">
      <c r="H43" s="37" t="s">
        <v>108</v>
      </c>
      <c r="I43" s="60">
        <f>ONSV_AUX_2017!Q61</f>
        <v>21888</v>
      </c>
      <c r="J43" s="10">
        <f>I43</f>
        <v>21888</v>
      </c>
      <c r="K43" s="11"/>
      <c r="L43" s="11"/>
      <c r="M43" s="11"/>
      <c r="N43" s="28" t="s">
        <v>139</v>
      </c>
      <c r="O43" s="60">
        <f>IF(OR((O32*I30&gt;J38),((O41+O42+(O32*I30))&gt;J38)),(J38-O41-O42),(O32*I30))</f>
        <v>2353087.6314086518</v>
      </c>
      <c r="P43" s="76"/>
      <c r="Q43" s="48"/>
      <c r="R43" s="78"/>
      <c r="S43" s="48"/>
      <c r="T43" s="65" t="s">
        <v>150</v>
      </c>
      <c r="U43" s="72">
        <f>R39</f>
        <v>436899.18144589756</v>
      </c>
      <c r="V43" s="48"/>
      <c r="W43" s="48"/>
      <c r="X43" s="48"/>
    </row>
    <row r="44" spans="8:24" ht="15.75">
      <c r="H44" s="37" t="s">
        <v>109</v>
      </c>
      <c r="I44" s="60">
        <f>ONSV_AUX_2017!Q62</f>
        <v>1116382</v>
      </c>
      <c r="J44" s="10">
        <f>I44</f>
        <v>1116382</v>
      </c>
      <c r="K44" s="11"/>
      <c r="L44" s="11"/>
      <c r="M44" s="11"/>
      <c r="N44" s="28" t="s">
        <v>151</v>
      </c>
      <c r="O44" s="60">
        <f>IF((J38-O41-O43-O42)&lt;0,0,(J38-O41-O43-O42))</f>
        <v>1447846.2299358859</v>
      </c>
      <c r="P44" s="48"/>
      <c r="Q44" s="48"/>
      <c r="R44" s="48"/>
      <c r="S44" s="48"/>
      <c r="T44" s="48"/>
      <c r="U44" s="62"/>
      <c r="V44" s="48"/>
      <c r="W44" s="48"/>
      <c r="X44" s="48"/>
    </row>
    <row r="45" spans="8:24" ht="15.75">
      <c r="H45" s="37" t="s">
        <v>110</v>
      </c>
      <c r="I45" s="60">
        <f>ONSV_AUX_2017!Q63</f>
        <v>282658</v>
      </c>
      <c r="J45" s="10">
        <f>I45</f>
        <v>282658</v>
      </c>
      <c r="K45" s="11"/>
      <c r="L45" s="11"/>
      <c r="M45" s="11"/>
      <c r="O45" s="48"/>
      <c r="P45" s="76"/>
      <c r="Q45" s="48"/>
      <c r="R45" s="48"/>
      <c r="S45" s="48"/>
      <c r="T45" s="79" t="s">
        <v>156</v>
      </c>
      <c r="U45" s="80">
        <f>(SUM(U31:U43,X31:X42)/SUM(I38:I47))-1</f>
        <v>0</v>
      </c>
      <c r="V45" s="48"/>
      <c r="W45" s="79" t="s">
        <v>10</v>
      </c>
      <c r="X45" s="67">
        <f>SUM(U31:U43,X31:X42)</f>
        <v>6972752.9999999991</v>
      </c>
    </row>
    <row r="46" spans="8:24" ht="15.75">
      <c r="H46" s="37" t="s">
        <v>111</v>
      </c>
      <c r="I46" s="60">
        <f>ONSV_AUX_2017!Q64</f>
        <v>41702</v>
      </c>
      <c r="J46" s="10">
        <f>I46</f>
        <v>41702</v>
      </c>
      <c r="K46" s="11"/>
      <c r="L46" s="11"/>
      <c r="M46" s="11"/>
      <c r="O46" s="48"/>
      <c r="P46" s="76"/>
      <c r="Q46" s="48"/>
      <c r="R46" s="48"/>
      <c r="S46" s="48"/>
      <c r="T46" s="48"/>
      <c r="U46" s="48"/>
      <c r="V46" s="48"/>
      <c r="W46" s="48"/>
      <c r="X46" s="48"/>
    </row>
    <row r="47" spans="8:24" ht="15.75">
      <c r="H47" s="37" t="s">
        <v>112</v>
      </c>
      <c r="I47" s="60">
        <f>ONSV_AUX_2017!Q65</f>
        <v>52053</v>
      </c>
      <c r="J47" s="61">
        <f>I47-(L36*I32)</f>
        <v>52046.751140456181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39"/>
      <c r="I48" s="40"/>
      <c r="J48" s="40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4" customFormat="1" ht="15.75">
      <c r="A50" s="101" t="str">
        <f>"PARANÁ/"&amp;ONSV_AUX_2016!A1&amp;""</f>
        <v>PARANÁ/2016</v>
      </c>
      <c r="B50" s="102"/>
      <c r="C50" s="102"/>
      <c r="D50" s="102"/>
      <c r="E50" s="102"/>
      <c r="F50" s="102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</row>
    <row r="52" spans="1:24" ht="15.75">
      <c r="H52" s="23" t="s">
        <v>118</v>
      </c>
      <c r="N52" s="26"/>
      <c r="O52" s="26"/>
      <c r="P52" s="9"/>
      <c r="Q52" s="26"/>
      <c r="R52" s="26"/>
      <c r="S52" s="26"/>
      <c r="T52" s="104"/>
      <c r="U52" s="104"/>
      <c r="V52" s="104"/>
      <c r="W52" s="104"/>
      <c r="X52" s="104"/>
    </row>
    <row r="53" spans="1:24" ht="15.75">
      <c r="J53" s="9"/>
      <c r="M53" s="25"/>
      <c r="N53" s="9"/>
      <c r="O53" s="9"/>
      <c r="P53" s="9"/>
      <c r="Q53" s="11"/>
      <c r="R53" s="11"/>
      <c r="S53" s="11"/>
    </row>
    <row r="54" spans="1:24" ht="15.75">
      <c r="H54" s="36" t="s">
        <v>81</v>
      </c>
      <c r="I54" s="60">
        <f>ONSV_AUX_2016!Q27</f>
        <v>419274</v>
      </c>
      <c r="J54" s="9"/>
      <c r="K54" s="104" t="s">
        <v>119</v>
      </c>
      <c r="L54" s="104"/>
      <c r="M54" s="9"/>
      <c r="N54" s="26" t="s">
        <v>120</v>
      </c>
      <c r="O54" s="26"/>
      <c r="Q54" s="26" t="s">
        <v>121</v>
      </c>
      <c r="R54" s="26"/>
      <c r="S54" s="26"/>
      <c r="T54" s="25" t="s">
        <v>122</v>
      </c>
      <c r="U54" s="25"/>
      <c r="V54" s="25"/>
      <c r="W54" s="25"/>
      <c r="X54" s="25"/>
    </row>
    <row r="55" spans="1:24" ht="15.75">
      <c r="H55" s="36" t="s">
        <v>84</v>
      </c>
      <c r="I55" s="60">
        <f>ONSV_AUX_2016!Q28</f>
        <v>2257420</v>
      </c>
      <c r="J55" s="9"/>
      <c r="K55" s="9"/>
      <c r="L55" s="9"/>
      <c r="M55" s="9"/>
      <c r="N55" s="9"/>
      <c r="O55" s="9"/>
      <c r="P55" s="20"/>
      <c r="Q55" s="11"/>
      <c r="R55" s="11"/>
      <c r="S55" s="11"/>
    </row>
    <row r="56" spans="1:24" ht="15.75">
      <c r="H56" s="36" t="s">
        <v>85</v>
      </c>
      <c r="I56" s="60">
        <f>ONSV_AUX_2016!Q29</f>
        <v>649436</v>
      </c>
      <c r="J56" s="9"/>
      <c r="K56" s="2" t="s">
        <v>123</v>
      </c>
      <c r="L56" s="60">
        <f>I63+I66+I67+I72</f>
        <v>5021886</v>
      </c>
      <c r="N56" s="28" t="s">
        <v>124</v>
      </c>
      <c r="O56" s="60">
        <f>J63+J72</f>
        <v>4207341.0623751711</v>
      </c>
      <c r="P56" s="64"/>
      <c r="Q56" s="65" t="s">
        <v>125</v>
      </c>
      <c r="R56" s="60">
        <f>J66+J67</f>
        <v>814081.93762482866</v>
      </c>
      <c r="S56" s="66"/>
      <c r="T56" s="65" t="s">
        <v>126</v>
      </c>
      <c r="U56" s="67">
        <f>O60</f>
        <v>24997.386352590675</v>
      </c>
      <c r="V56" s="48"/>
      <c r="W56" s="65" t="s">
        <v>127</v>
      </c>
      <c r="X56" s="68">
        <f>R62</f>
        <v>63205.473089342719</v>
      </c>
    </row>
    <row r="57" spans="1:24" ht="15.75">
      <c r="H57" s="36" t="s">
        <v>101</v>
      </c>
      <c r="I57" s="60">
        <f>ONSV_AUX_2016!Q30</f>
        <v>463</v>
      </c>
      <c r="J57" s="9"/>
      <c r="K57" s="27"/>
      <c r="L57" s="62"/>
      <c r="M57" s="20"/>
      <c r="N57" s="28" t="s">
        <v>128</v>
      </c>
      <c r="O57" s="69">
        <f>J63/O56</f>
        <v>0.98892656822718394</v>
      </c>
      <c r="P57" s="64"/>
      <c r="Q57" s="70" t="s">
        <v>129</v>
      </c>
      <c r="R57" s="63">
        <f>J66/R56</f>
        <v>0.73502530838646596</v>
      </c>
      <c r="S57" s="71"/>
      <c r="T57" s="65" t="s">
        <v>130</v>
      </c>
      <c r="U57" s="67">
        <f>I72-J72</f>
        <v>4.2958008206478553</v>
      </c>
      <c r="V57" s="48"/>
      <c r="W57" s="65" t="s">
        <v>131</v>
      </c>
      <c r="X57" s="68">
        <f>I67-J67</f>
        <v>19.88962971282308</v>
      </c>
    </row>
    <row r="58" spans="1:24" ht="15.75">
      <c r="H58" s="36" t="s">
        <v>16</v>
      </c>
      <c r="I58" s="60">
        <f>ONSV_AUX_2016!Q31</f>
        <v>36293</v>
      </c>
      <c r="J58" s="9"/>
      <c r="K58" s="2" t="s">
        <v>132</v>
      </c>
      <c r="L58" s="63">
        <f>I63/L56</f>
        <v>0.82860005185302887</v>
      </c>
      <c r="M58" s="20"/>
      <c r="N58" s="28" t="s">
        <v>133</v>
      </c>
      <c r="O58" s="69">
        <f>J72/O56</f>
        <v>1.1073431772816169E-2</v>
      </c>
      <c r="P58" s="64"/>
      <c r="Q58" s="70" t="s">
        <v>134</v>
      </c>
      <c r="R58" s="63">
        <f>J67/R56</f>
        <v>0.26497469161353399</v>
      </c>
      <c r="S58" s="71"/>
      <c r="T58" s="65" t="s">
        <v>135</v>
      </c>
      <c r="U58" s="72">
        <f>O62</f>
        <v>21592.317846588678</v>
      </c>
      <c r="V58" s="73"/>
      <c r="W58" s="65" t="s">
        <v>136</v>
      </c>
      <c r="X58" s="72">
        <f>R65</f>
        <v>152505.63728094444</v>
      </c>
    </row>
    <row r="59" spans="1:24" ht="15.75">
      <c r="H59" s="36" t="s">
        <v>94</v>
      </c>
      <c r="I59" s="60">
        <f>ONSV_AUX_2016!Q32</f>
        <v>3395164</v>
      </c>
      <c r="J59" s="10"/>
      <c r="K59" s="2" t="s">
        <v>2</v>
      </c>
      <c r="L59" s="63">
        <f>I66/L56</f>
        <v>0.1191635971027618</v>
      </c>
      <c r="M59" s="20"/>
      <c r="N59" s="20"/>
      <c r="O59" s="74"/>
      <c r="P59" s="48"/>
      <c r="Q59" s="48"/>
      <c r="R59" s="48"/>
      <c r="S59" s="48"/>
      <c r="T59" s="48"/>
      <c r="U59" s="62"/>
      <c r="V59" s="75"/>
      <c r="W59" s="48"/>
      <c r="X59" s="62"/>
    </row>
    <row r="60" spans="1:24" ht="15.75">
      <c r="K60" s="2" t="s">
        <v>3</v>
      </c>
      <c r="L60" s="63">
        <f>I67/L56</f>
        <v>4.2958163526611318E-2</v>
      </c>
      <c r="M60" s="20"/>
      <c r="N60" s="28" t="s">
        <v>137</v>
      </c>
      <c r="O60" s="60">
        <f>IF(O58*I55&gt;J72,J72,O58*I55)</f>
        <v>24997.386352590675</v>
      </c>
      <c r="P60" s="76"/>
      <c r="Q60" s="65" t="s">
        <v>138</v>
      </c>
      <c r="R60" s="60">
        <f>I56-I64-I65-I68-I71</f>
        <v>238534</v>
      </c>
      <c r="S60" s="77"/>
      <c r="T60" s="65" t="s">
        <v>139</v>
      </c>
      <c r="U60" s="67">
        <f>O68</f>
        <v>2232422.6136474097</v>
      </c>
      <c r="V60" s="76"/>
      <c r="W60" s="65" t="s">
        <v>140</v>
      </c>
      <c r="X60" s="67">
        <f>I64</f>
        <v>262945</v>
      </c>
    </row>
    <row r="61" spans="1:24" ht="15.75">
      <c r="H61" s="24" t="s">
        <v>141</v>
      </c>
      <c r="K61" s="2" t="s">
        <v>0</v>
      </c>
      <c r="L61" s="63">
        <f>I72/L56</f>
        <v>9.2781875175979699E-3</v>
      </c>
      <c r="O61" s="48"/>
      <c r="P61" s="76"/>
      <c r="Q61" s="65" t="s">
        <v>142</v>
      </c>
      <c r="R61" s="60">
        <f>R57*R60</f>
        <v>175328.52691065727</v>
      </c>
      <c r="S61" s="48"/>
      <c r="T61" s="65" t="s">
        <v>143</v>
      </c>
      <c r="U61" s="67">
        <f>O66</f>
        <v>419274</v>
      </c>
      <c r="V61" s="66"/>
      <c r="W61" s="65" t="s">
        <v>144</v>
      </c>
      <c r="X61" s="67">
        <f>I65</f>
        <v>85404</v>
      </c>
    </row>
    <row r="62" spans="1:24" ht="15.75">
      <c r="K62" s="11"/>
      <c r="L62" s="11"/>
      <c r="M62" s="11"/>
      <c r="N62" s="28" t="s">
        <v>145</v>
      </c>
      <c r="O62" s="60">
        <f>J72-O60</f>
        <v>21592.317846588678</v>
      </c>
      <c r="P62" s="76"/>
      <c r="Q62" s="65" t="s">
        <v>127</v>
      </c>
      <c r="R62" s="60">
        <f>R58*R60</f>
        <v>63205.473089342719</v>
      </c>
      <c r="S62" s="48"/>
      <c r="T62" s="65" t="s">
        <v>146</v>
      </c>
      <c r="U62" s="67">
        <f>O67</f>
        <v>36293</v>
      </c>
      <c r="V62" s="71"/>
      <c r="W62" s="48"/>
      <c r="X62" s="62"/>
    </row>
    <row r="63" spans="1:24" ht="15.75">
      <c r="H63" s="37" t="s">
        <v>103</v>
      </c>
      <c r="I63" s="60">
        <f>ONSV_AUX_2016!Q56</f>
        <v>4161135</v>
      </c>
      <c r="J63" s="61">
        <f>I63-(L58*I57)</f>
        <v>4160751.358175992</v>
      </c>
      <c r="K63" s="11"/>
      <c r="L63" s="11"/>
      <c r="M63" s="11"/>
      <c r="O63" s="76"/>
      <c r="P63" s="76"/>
      <c r="Q63" s="48"/>
      <c r="R63" s="78"/>
      <c r="S63" s="48"/>
      <c r="T63" s="65" t="s">
        <v>147</v>
      </c>
      <c r="U63" s="68">
        <f>I63-J63</f>
        <v>383.64182400796562</v>
      </c>
      <c r="V63" s="71"/>
      <c r="W63" s="65" t="s">
        <v>148</v>
      </c>
      <c r="X63" s="67">
        <f>I71</f>
        <v>40800</v>
      </c>
    </row>
    <row r="64" spans="1:24" ht="15.75">
      <c r="H64" s="37" t="s">
        <v>104</v>
      </c>
      <c r="I64" s="60">
        <f>ONSV_AUX_2016!Q57</f>
        <v>262945</v>
      </c>
      <c r="J64" s="10">
        <f>I64</f>
        <v>262945</v>
      </c>
      <c r="K64" s="11"/>
      <c r="L64" s="11"/>
      <c r="M64" s="11"/>
      <c r="N64" s="26" t="s">
        <v>149</v>
      </c>
      <c r="O64" s="76"/>
      <c r="P64" s="76"/>
      <c r="Q64" s="65" t="s">
        <v>150</v>
      </c>
      <c r="R64" s="60">
        <f>J66-R61</f>
        <v>423042.30034388416</v>
      </c>
      <c r="S64" s="48"/>
      <c r="T64" s="65" t="s">
        <v>151</v>
      </c>
      <c r="U64" s="72">
        <f>O69</f>
        <v>1472761.7445285823</v>
      </c>
      <c r="V64" s="48"/>
      <c r="W64" s="65" t="s">
        <v>152</v>
      </c>
      <c r="X64" s="67">
        <f>I68</f>
        <v>21753</v>
      </c>
    </row>
    <row r="65" spans="1:24" ht="15.75">
      <c r="H65" s="37" t="s">
        <v>105</v>
      </c>
      <c r="I65" s="60">
        <f>ONSV_AUX_2016!Q58</f>
        <v>85404</v>
      </c>
      <c r="J65" s="10">
        <f>I65</f>
        <v>85404</v>
      </c>
      <c r="K65" s="11"/>
      <c r="L65" s="11"/>
      <c r="M65" s="11"/>
      <c r="O65" s="73"/>
      <c r="P65" s="76"/>
      <c r="Q65" s="65" t="s">
        <v>136</v>
      </c>
      <c r="R65" s="60">
        <f>J67-R62</f>
        <v>152505.63728094444</v>
      </c>
      <c r="S65" s="48"/>
      <c r="T65" s="48"/>
      <c r="U65" s="62"/>
      <c r="V65" s="77"/>
      <c r="W65" s="48"/>
      <c r="X65" s="62"/>
    </row>
    <row r="66" spans="1:24" ht="15.75">
      <c r="H66" s="37" t="s">
        <v>106</v>
      </c>
      <c r="I66" s="60">
        <f>ONSV_AUX_2016!Q59</f>
        <v>598426</v>
      </c>
      <c r="J66" s="61">
        <f>I66-(L59*I57)</f>
        <v>598370.82725454145</v>
      </c>
      <c r="K66" s="11"/>
      <c r="L66" s="11"/>
      <c r="M66" s="11"/>
      <c r="N66" s="28" t="s">
        <v>143</v>
      </c>
      <c r="O66" s="60">
        <f>I54</f>
        <v>419274</v>
      </c>
      <c r="P66" s="76"/>
      <c r="Q66" s="48"/>
      <c r="R66" s="48"/>
      <c r="S66" s="77"/>
      <c r="T66" s="65" t="s">
        <v>142</v>
      </c>
      <c r="U66" s="68">
        <f>R61</f>
        <v>175328.52691065727</v>
      </c>
      <c r="V66" s="48"/>
      <c r="W66" s="65" t="s">
        <v>153</v>
      </c>
      <c r="X66" s="67">
        <f>I69</f>
        <v>1090805</v>
      </c>
    </row>
    <row r="67" spans="1:24" ht="15.75">
      <c r="H67" s="37" t="s">
        <v>107</v>
      </c>
      <c r="I67" s="60">
        <f>ONSV_AUX_2016!Q60</f>
        <v>215731</v>
      </c>
      <c r="J67" s="61">
        <f>I67-(L60*I57)</f>
        <v>215711.11037028718</v>
      </c>
      <c r="K67" s="11"/>
      <c r="L67" s="11"/>
      <c r="M67" s="11"/>
      <c r="N67" s="28" t="s">
        <v>146</v>
      </c>
      <c r="O67" s="60">
        <f>I58</f>
        <v>36293</v>
      </c>
      <c r="P67" s="76"/>
      <c r="Q67" s="48"/>
      <c r="R67" s="48"/>
      <c r="S67" s="48"/>
      <c r="T67" s="65" t="s">
        <v>154</v>
      </c>
      <c r="U67" s="68">
        <f>I66-J66</f>
        <v>55.172745458548889</v>
      </c>
      <c r="V67" s="48"/>
      <c r="W67" s="65" t="s">
        <v>155</v>
      </c>
      <c r="X67" s="67">
        <f>I70</f>
        <v>275116</v>
      </c>
    </row>
    <row r="68" spans="1:24" ht="15.75">
      <c r="H68" s="37" t="s">
        <v>108</v>
      </c>
      <c r="I68" s="60">
        <f>ONSV_AUX_2016!Q61</f>
        <v>21753</v>
      </c>
      <c r="J68" s="10">
        <f>I68</f>
        <v>21753</v>
      </c>
      <c r="K68" s="11"/>
      <c r="L68" s="11"/>
      <c r="M68" s="11"/>
      <c r="N68" s="28" t="s">
        <v>139</v>
      </c>
      <c r="O68" s="60">
        <f>IF(OR((O57*I55&gt;J63),((O66+O67+(O57*I55))&gt;J63)),(J63-O66-O67),(O57*I55))</f>
        <v>2232422.6136474097</v>
      </c>
      <c r="P68" s="76"/>
      <c r="Q68" s="48"/>
      <c r="R68" s="78"/>
      <c r="S68" s="48"/>
      <c r="T68" s="65" t="s">
        <v>150</v>
      </c>
      <c r="U68" s="72">
        <f>R64</f>
        <v>423042.30034388416</v>
      </c>
      <c r="V68" s="48"/>
      <c r="W68" s="48"/>
      <c r="X68" s="48"/>
    </row>
    <row r="69" spans="1:24" ht="15.75">
      <c r="H69" s="37" t="s">
        <v>109</v>
      </c>
      <c r="I69" s="60">
        <f>ONSV_AUX_2016!Q62</f>
        <v>1090805</v>
      </c>
      <c r="J69" s="10">
        <f>I69</f>
        <v>1090805</v>
      </c>
      <c r="K69" s="11"/>
      <c r="L69" s="11"/>
      <c r="M69" s="11"/>
      <c r="N69" s="28" t="s">
        <v>151</v>
      </c>
      <c r="O69" s="60">
        <f>IF((J63-O66-O68-O67)&lt;0,0,(J63-O66-O68-O67))</f>
        <v>1472761.7445285823</v>
      </c>
      <c r="P69" s="48"/>
      <c r="Q69" s="48"/>
      <c r="R69" s="48"/>
      <c r="S69" s="48"/>
      <c r="T69" s="48"/>
      <c r="U69" s="62"/>
      <c r="V69" s="48"/>
      <c r="W69" s="48"/>
      <c r="X69" s="48"/>
    </row>
    <row r="70" spans="1:24" ht="15.75">
      <c r="H70" s="37" t="s">
        <v>110</v>
      </c>
      <c r="I70" s="60">
        <f>ONSV_AUX_2016!Q63</f>
        <v>275116</v>
      </c>
      <c r="J70" s="10">
        <f>I70</f>
        <v>275116</v>
      </c>
      <c r="K70" s="11"/>
      <c r="L70" s="11"/>
      <c r="M70" s="11"/>
      <c r="O70" s="48"/>
      <c r="P70" s="76"/>
      <c r="Q70" s="48"/>
      <c r="R70" s="48"/>
      <c r="S70" s="48"/>
      <c r="T70" s="79" t="s">
        <v>156</v>
      </c>
      <c r="U70" s="80">
        <f>(SUM(U56:U68,X56:X67)/SUM(I63:I72))-1</f>
        <v>0</v>
      </c>
      <c r="V70" s="48"/>
      <c r="W70" s="79" t="s">
        <v>10</v>
      </c>
      <c r="X70" s="67">
        <f>SUM(U56:U68,X56:X67)</f>
        <v>6798709.0000000009</v>
      </c>
    </row>
    <row r="71" spans="1:24" ht="15.75">
      <c r="H71" s="37" t="s">
        <v>111</v>
      </c>
      <c r="I71" s="60">
        <f>ONSV_AUX_2016!Q64</f>
        <v>40800</v>
      </c>
      <c r="J71" s="10">
        <f>I71</f>
        <v>40800</v>
      </c>
      <c r="K71" s="11"/>
      <c r="L71" s="11"/>
      <c r="M71" s="11"/>
      <c r="O71" s="48"/>
      <c r="P71" s="76"/>
      <c r="Q71" s="48"/>
      <c r="R71" s="48"/>
      <c r="S71" s="48"/>
      <c r="T71" s="48"/>
      <c r="U71" s="48"/>
      <c r="V71" s="48"/>
      <c r="W71" s="48"/>
      <c r="X71" s="48"/>
    </row>
    <row r="72" spans="1:24" ht="15.75">
      <c r="H72" s="37" t="s">
        <v>112</v>
      </c>
      <c r="I72" s="60">
        <f>ONSV_AUX_2016!Q65</f>
        <v>46594</v>
      </c>
      <c r="J72" s="61">
        <f>I72-(L61*I57)</f>
        <v>46589.704199179352</v>
      </c>
      <c r="K72" s="12"/>
      <c r="L72" s="12"/>
      <c r="M72" s="12"/>
      <c r="N72" s="12"/>
      <c r="O72" s="12"/>
      <c r="P72" s="12"/>
      <c r="Q72" s="4"/>
      <c r="R72" s="4"/>
    </row>
    <row r="75" spans="1:24" s="34" customFormat="1" ht="15.75">
      <c r="A75" s="101" t="str">
        <f>"PARANÁ/"&amp;ONSV_AUX_2015!A1&amp;""</f>
        <v>PARANÁ/2015</v>
      </c>
      <c r="B75" s="102"/>
      <c r="C75" s="102"/>
      <c r="D75" s="102"/>
      <c r="E75" s="102"/>
      <c r="F75" s="102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 spans="1:24"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>
      <c r="H77" s="23" t="s">
        <v>118</v>
      </c>
      <c r="P77" s="9"/>
    </row>
    <row r="78" spans="1:24" ht="15.75">
      <c r="J78" s="9"/>
      <c r="M78" s="25"/>
      <c r="P78" s="9"/>
    </row>
    <row r="79" spans="1:24" ht="15.75">
      <c r="H79" s="36" t="s">
        <v>81</v>
      </c>
      <c r="I79" s="60">
        <f>ONSV_AUX_2015!Q27</f>
        <v>419228</v>
      </c>
      <c r="J79" s="9"/>
      <c r="K79" s="104" t="s">
        <v>119</v>
      </c>
      <c r="L79" s="104"/>
      <c r="M79" s="9"/>
      <c r="N79" s="26" t="s">
        <v>120</v>
      </c>
      <c r="O79" s="26"/>
      <c r="Q79" s="26" t="s">
        <v>121</v>
      </c>
      <c r="R79" s="26"/>
      <c r="S79" s="26"/>
      <c r="T79" s="25" t="s">
        <v>122</v>
      </c>
      <c r="U79" s="25"/>
      <c r="V79" s="25"/>
      <c r="W79" s="25"/>
      <c r="X79" s="25"/>
    </row>
    <row r="80" spans="1:24" ht="15.75">
      <c r="H80" s="36" t="s">
        <v>84</v>
      </c>
      <c r="I80" s="60">
        <f>ONSV_AUX_2015!Q28</f>
        <v>2110917</v>
      </c>
      <c r="J80" s="9"/>
      <c r="K80" s="9"/>
      <c r="L80" s="9"/>
      <c r="M80" s="9"/>
      <c r="N80" s="9"/>
      <c r="O80" s="9"/>
      <c r="P80" s="20"/>
      <c r="Q80" s="11"/>
      <c r="R80" s="11"/>
      <c r="S80" s="11"/>
    </row>
    <row r="81" spans="8:24" ht="15.75">
      <c r="H81" s="36" t="s">
        <v>85</v>
      </c>
      <c r="I81" s="60">
        <f>ONSV_AUX_2015!Q29</f>
        <v>628468</v>
      </c>
      <c r="J81" s="9"/>
      <c r="K81" s="2" t="s">
        <v>123</v>
      </c>
      <c r="L81" s="60">
        <f>I88+I91+I92+I97</f>
        <v>4862576</v>
      </c>
      <c r="N81" s="28" t="s">
        <v>124</v>
      </c>
      <c r="O81" s="60">
        <f>J88+J97</f>
        <v>4083465.1833478799</v>
      </c>
      <c r="P81" s="64"/>
      <c r="Q81" s="65" t="s">
        <v>125</v>
      </c>
      <c r="R81" s="60">
        <f>J91+J92</f>
        <v>778703.81665212009</v>
      </c>
      <c r="S81" s="66"/>
      <c r="T81" s="65" t="s">
        <v>126</v>
      </c>
      <c r="U81" s="67">
        <f>O85</f>
        <v>21535.058844357725</v>
      </c>
      <c r="V81" s="48"/>
      <c r="W81" s="65" t="s">
        <v>127</v>
      </c>
      <c r="X81" s="68">
        <f>R87</f>
        <v>60138.839465875004</v>
      </c>
    </row>
    <row r="82" spans="8:24" ht="15.75">
      <c r="H82" s="36" t="s">
        <v>101</v>
      </c>
      <c r="I82" s="60">
        <f>ONSV_AUX_2015!Q30</f>
        <v>407</v>
      </c>
      <c r="J82" s="9"/>
      <c r="K82" s="27"/>
      <c r="L82" s="62"/>
      <c r="M82" s="20"/>
      <c r="N82" s="28" t="s">
        <v>128</v>
      </c>
      <c r="O82" s="69">
        <f>J88/O81</f>
        <v>0.98979824462811294</v>
      </c>
      <c r="P82" s="64"/>
      <c r="Q82" s="70" t="s">
        <v>129</v>
      </c>
      <c r="R82" s="63">
        <f>J91/R81</f>
        <v>0.73513069986093438</v>
      </c>
      <c r="S82" s="71"/>
      <c r="T82" s="65" t="s">
        <v>130</v>
      </c>
      <c r="U82" s="67">
        <f>I97-J97</f>
        <v>3.4871298669677344</v>
      </c>
      <c r="V82" s="48"/>
      <c r="W82" s="65" t="s">
        <v>131</v>
      </c>
      <c r="X82" s="68">
        <f>I92-J92</f>
        <v>17.26506773364963</v>
      </c>
    </row>
    <row r="83" spans="8:24" ht="15.75">
      <c r="H83" s="36" t="s">
        <v>16</v>
      </c>
      <c r="I83" s="60">
        <f>ONSV_AUX_2015!Q31</f>
        <v>35526</v>
      </c>
      <c r="J83" s="9"/>
      <c r="K83" s="2" t="s">
        <v>132</v>
      </c>
      <c r="L83" s="63">
        <f>I88/L81</f>
        <v>0.83127646745264239</v>
      </c>
      <c r="M83" s="20"/>
      <c r="N83" s="28" t="s">
        <v>133</v>
      </c>
      <c r="O83" s="69">
        <f>J97/O81</f>
        <v>1.0201755371887064E-2</v>
      </c>
      <c r="P83" s="64"/>
      <c r="Q83" s="70" t="s">
        <v>134</v>
      </c>
      <c r="R83" s="63">
        <f>J92/R81</f>
        <v>0.26486930013906568</v>
      </c>
      <c r="S83" s="71"/>
      <c r="T83" s="65" t="s">
        <v>135</v>
      </c>
      <c r="U83" s="72">
        <f>O87</f>
        <v>20123.454025775307</v>
      </c>
      <c r="V83" s="73"/>
      <c r="W83" s="65" t="s">
        <v>136</v>
      </c>
      <c r="X83" s="72">
        <f>R90</f>
        <v>146115.89546639135</v>
      </c>
    </row>
    <row r="84" spans="8:24" ht="15.75">
      <c r="H84" s="36" t="s">
        <v>94</v>
      </c>
      <c r="I84" s="60">
        <f>ONSV_AUX_2015!Q32</f>
        <v>3367830</v>
      </c>
      <c r="J84" s="10"/>
      <c r="K84" s="2" t="s">
        <v>2</v>
      </c>
      <c r="L84" s="63">
        <f>I91/L81</f>
        <v>0.11773533205445015</v>
      </c>
      <c r="M84" s="20"/>
      <c r="N84" s="20"/>
      <c r="O84" s="74"/>
      <c r="P84" s="48"/>
      <c r="Q84" s="48"/>
      <c r="R84" s="48"/>
      <c r="S84" s="48"/>
      <c r="T84" s="48"/>
      <c r="U84" s="62"/>
      <c r="V84" s="75"/>
      <c r="W84" s="48"/>
      <c r="X84" s="62"/>
    </row>
    <row r="85" spans="8:24" ht="15.75">
      <c r="K85" s="2" t="s">
        <v>3</v>
      </c>
      <c r="L85" s="63">
        <f>I92/L81</f>
        <v>4.2420313841881344E-2</v>
      </c>
      <c r="M85" s="20"/>
      <c r="N85" s="28" t="s">
        <v>137</v>
      </c>
      <c r="O85" s="60">
        <f>IF(O83*I80&gt;J97,J97,O83*I80)</f>
        <v>21535.058844357725</v>
      </c>
      <c r="P85" s="76"/>
      <c r="Q85" s="65" t="s">
        <v>138</v>
      </c>
      <c r="R85" s="60">
        <f>I81-I89-I90-I93-I96</f>
        <v>227051</v>
      </c>
      <c r="S85" s="77"/>
      <c r="T85" s="65" t="s">
        <v>139</v>
      </c>
      <c r="U85" s="67">
        <f>O93</f>
        <v>2089381.9411556423</v>
      </c>
      <c r="V85" s="76"/>
      <c r="W85" s="65" t="s">
        <v>140</v>
      </c>
      <c r="X85" s="67">
        <f>I89</f>
        <v>257931</v>
      </c>
    </row>
    <row r="86" spans="8:24" ht="15.75">
      <c r="H86" s="24" t="s">
        <v>141</v>
      </c>
      <c r="K86" s="2" t="s">
        <v>0</v>
      </c>
      <c r="L86" s="63">
        <f>I97/L81</f>
        <v>8.5678866510261222E-3</v>
      </c>
      <c r="O86" s="48"/>
      <c r="P86" s="76"/>
      <c r="Q86" s="65" t="s">
        <v>142</v>
      </c>
      <c r="R86" s="60">
        <f>R82*R85</f>
        <v>166912.16053412503</v>
      </c>
      <c r="S86" s="48"/>
      <c r="T86" s="65" t="s">
        <v>143</v>
      </c>
      <c r="U86" s="67">
        <f>O91</f>
        <v>419228</v>
      </c>
      <c r="V86" s="66"/>
      <c r="W86" s="65" t="s">
        <v>144</v>
      </c>
      <c r="X86" s="67">
        <f>I90</f>
        <v>83382</v>
      </c>
    </row>
    <row r="87" spans="8:24" ht="15.75">
      <c r="K87" s="11"/>
      <c r="L87" s="11"/>
      <c r="M87" s="11"/>
      <c r="N87" s="28" t="s">
        <v>145</v>
      </c>
      <c r="O87" s="60">
        <f>J97-O85</f>
        <v>20123.454025775307</v>
      </c>
      <c r="P87" s="76"/>
      <c r="Q87" s="65" t="s">
        <v>127</v>
      </c>
      <c r="R87" s="60">
        <f>R83*R85</f>
        <v>60138.839465875004</v>
      </c>
      <c r="S87" s="48"/>
      <c r="T87" s="65" t="s">
        <v>146</v>
      </c>
      <c r="U87" s="67">
        <f>O92</f>
        <v>35526</v>
      </c>
      <c r="V87" s="71"/>
      <c r="W87" s="48"/>
      <c r="X87" s="62"/>
    </row>
    <row r="88" spans="8:24" ht="15.75">
      <c r="H88" s="37" t="s">
        <v>103</v>
      </c>
      <c r="I88" s="60">
        <f>ONSV_AUX_2015!Q56</f>
        <v>4042145</v>
      </c>
      <c r="J88" s="61">
        <f>I88-(L83*I82)</f>
        <v>4041806.670477747</v>
      </c>
      <c r="K88" s="11"/>
      <c r="L88" s="11"/>
      <c r="M88" s="11"/>
      <c r="O88" s="76"/>
      <c r="P88" s="76"/>
      <c r="Q88" s="48"/>
      <c r="R88" s="78"/>
      <c r="S88" s="48"/>
      <c r="T88" s="65" t="s">
        <v>147</v>
      </c>
      <c r="U88" s="68">
        <f>I88-J88</f>
        <v>338.32952225301415</v>
      </c>
      <c r="V88" s="71"/>
      <c r="W88" s="65" t="s">
        <v>148</v>
      </c>
      <c r="X88" s="67">
        <f>I96</f>
        <v>39449</v>
      </c>
    </row>
    <row r="89" spans="8:24" ht="15.75">
      <c r="H89" s="37" t="s">
        <v>104</v>
      </c>
      <c r="I89" s="60">
        <f>ONSV_AUX_2015!Q57</f>
        <v>257931</v>
      </c>
      <c r="J89" s="10">
        <f>I89</f>
        <v>257931</v>
      </c>
      <c r="K89" s="11"/>
      <c r="L89" s="11"/>
      <c r="M89" s="11"/>
      <c r="N89" s="26" t="s">
        <v>149</v>
      </c>
      <c r="O89" s="76"/>
      <c r="P89" s="76"/>
      <c r="Q89" s="65" t="s">
        <v>150</v>
      </c>
      <c r="R89" s="60">
        <f>J91-R86</f>
        <v>405536.92118572874</v>
      </c>
      <c r="S89" s="48"/>
      <c r="T89" s="65" t="s">
        <v>151</v>
      </c>
      <c r="U89" s="72">
        <f>O94</f>
        <v>1497670.7293221047</v>
      </c>
      <c r="V89" s="48"/>
      <c r="W89" s="65" t="s">
        <v>152</v>
      </c>
      <c r="X89" s="67">
        <f>I93</f>
        <v>20655</v>
      </c>
    </row>
    <row r="90" spans="8:24" ht="15.75">
      <c r="H90" s="37" t="s">
        <v>105</v>
      </c>
      <c r="I90" s="60">
        <f>ONSV_AUX_2015!Q58</f>
        <v>83382</v>
      </c>
      <c r="J90" s="10">
        <f>I90</f>
        <v>83382</v>
      </c>
      <c r="K90" s="11"/>
      <c r="L90" s="11"/>
      <c r="M90" s="11"/>
      <c r="O90" s="73"/>
      <c r="P90" s="76"/>
      <c r="Q90" s="65" t="s">
        <v>136</v>
      </c>
      <c r="R90" s="60">
        <f>J92-R87</f>
        <v>146115.89546639135</v>
      </c>
      <c r="S90" s="48"/>
      <c r="T90" s="48"/>
      <c r="U90" s="62"/>
      <c r="V90" s="77"/>
      <c r="W90" s="48"/>
      <c r="X90" s="62"/>
    </row>
    <row r="91" spans="8:24" ht="15.75">
      <c r="H91" s="37" t="s">
        <v>106</v>
      </c>
      <c r="I91" s="60">
        <f>ONSV_AUX_2015!Q59</f>
        <v>572497</v>
      </c>
      <c r="J91" s="61">
        <f>I91-(L84*I82)</f>
        <v>572449.0817198538</v>
      </c>
      <c r="K91" s="11"/>
      <c r="L91" s="11"/>
      <c r="M91" s="11"/>
      <c r="N91" s="28" t="s">
        <v>143</v>
      </c>
      <c r="O91" s="60">
        <f>I79</f>
        <v>419228</v>
      </c>
      <c r="P91" s="76"/>
      <c r="Q91" s="48"/>
      <c r="R91" s="48"/>
      <c r="S91" s="77"/>
      <c r="T91" s="65" t="s">
        <v>142</v>
      </c>
      <c r="U91" s="68">
        <f>R86</f>
        <v>166912.16053412503</v>
      </c>
      <c r="V91" s="48"/>
      <c r="W91" s="65" t="s">
        <v>153</v>
      </c>
      <c r="X91" s="67">
        <f>I94</f>
        <v>1061768</v>
      </c>
    </row>
    <row r="92" spans="8:24" ht="15.75">
      <c r="H92" s="37" t="s">
        <v>107</v>
      </c>
      <c r="I92" s="60">
        <f>ONSV_AUX_2015!Q60</f>
        <v>206272</v>
      </c>
      <c r="J92" s="61">
        <f>I92-(L85*I82)</f>
        <v>206254.73493226635</v>
      </c>
      <c r="K92" s="11"/>
      <c r="L92" s="11"/>
      <c r="M92" s="11"/>
      <c r="N92" s="28" t="s">
        <v>146</v>
      </c>
      <c r="O92" s="60">
        <f>I83</f>
        <v>35526</v>
      </c>
      <c r="P92" s="76"/>
      <c r="Q92" s="48"/>
      <c r="R92" s="48"/>
      <c r="S92" s="48"/>
      <c r="T92" s="65" t="s">
        <v>154</v>
      </c>
      <c r="U92" s="68">
        <f>I91-J91</f>
        <v>47.918280146201141</v>
      </c>
      <c r="V92" s="48"/>
      <c r="W92" s="65" t="s">
        <v>155</v>
      </c>
      <c r="X92" s="67">
        <f>I95</f>
        <v>266550</v>
      </c>
    </row>
    <row r="93" spans="8:24" ht="15.75">
      <c r="H93" s="37" t="s">
        <v>108</v>
      </c>
      <c r="I93" s="60">
        <f>ONSV_AUX_2015!Q61</f>
        <v>20655</v>
      </c>
      <c r="J93" s="10">
        <f>I93</f>
        <v>20655</v>
      </c>
      <c r="K93" s="11"/>
      <c r="L93" s="11"/>
      <c r="M93" s="11"/>
      <c r="N93" s="28" t="s">
        <v>139</v>
      </c>
      <c r="O93" s="60">
        <f>IF(OR((O82*I80&gt;J88),((O91+O92+(O82*I80))&gt;J88)),(J88-O91-O92),(O82*I80))</f>
        <v>2089381.9411556423</v>
      </c>
      <c r="P93" s="76"/>
      <c r="Q93" s="48"/>
      <c r="R93" s="78"/>
      <c r="S93" s="48"/>
      <c r="T93" s="65" t="s">
        <v>150</v>
      </c>
      <c r="U93" s="72">
        <f>R89</f>
        <v>405536.92118572874</v>
      </c>
      <c r="V93" s="48"/>
      <c r="W93" s="48"/>
      <c r="X93" s="48"/>
    </row>
    <row r="94" spans="8:24" ht="15.75">
      <c r="H94" s="37" t="s">
        <v>109</v>
      </c>
      <c r="I94" s="60">
        <f>ONSV_AUX_2015!Q62</f>
        <v>1061768</v>
      </c>
      <c r="J94" s="10">
        <f>I94</f>
        <v>1061768</v>
      </c>
      <c r="K94" s="11"/>
      <c r="L94" s="11"/>
      <c r="M94" s="11"/>
      <c r="N94" s="28" t="s">
        <v>151</v>
      </c>
      <c r="O94" s="60">
        <f>IF((J88-O91-O93-O92)&lt;0,0,(J88-O91-O93-O92))</f>
        <v>1497670.7293221047</v>
      </c>
      <c r="P94" s="48"/>
      <c r="Q94" s="48"/>
      <c r="R94" s="48"/>
      <c r="S94" s="48"/>
      <c r="T94" s="48"/>
      <c r="U94" s="62"/>
      <c r="V94" s="48"/>
      <c r="W94" s="48"/>
      <c r="X94" s="48"/>
    </row>
    <row r="95" spans="8:24" ht="15.75">
      <c r="H95" s="37" t="s">
        <v>110</v>
      </c>
      <c r="I95" s="60">
        <f>ONSV_AUX_2015!Q63</f>
        <v>266550</v>
      </c>
      <c r="J95" s="10">
        <f>I95</f>
        <v>266550</v>
      </c>
      <c r="K95" s="11"/>
      <c r="L95" s="11"/>
      <c r="M95" s="11"/>
      <c r="O95" s="48"/>
      <c r="P95" s="76"/>
      <c r="Q95" s="48"/>
      <c r="R95" s="48"/>
      <c r="S95" s="48"/>
      <c r="T95" s="79" t="s">
        <v>156</v>
      </c>
      <c r="U95" s="80">
        <f>(SUM(U81:U93,X81:X92)/SUM(I88:I97))-1</f>
        <v>0</v>
      </c>
      <c r="V95" s="48"/>
      <c r="W95" s="79" t="s">
        <v>10</v>
      </c>
      <c r="X95" s="67">
        <f>SUM(U81:U93,X81:X92)</f>
        <v>6592311</v>
      </c>
    </row>
    <row r="96" spans="8:24" ht="15.75">
      <c r="H96" s="37" t="s">
        <v>111</v>
      </c>
      <c r="I96" s="60">
        <f>ONSV_AUX_2015!Q64</f>
        <v>39449</v>
      </c>
      <c r="J96" s="10">
        <f>I96</f>
        <v>39449</v>
      </c>
      <c r="K96" s="11"/>
      <c r="L96" s="11"/>
      <c r="M96" s="11"/>
      <c r="O96" s="48"/>
      <c r="P96" s="76"/>
      <c r="Q96" s="48"/>
      <c r="R96" s="48"/>
      <c r="S96" s="48"/>
      <c r="T96" s="48"/>
      <c r="U96" s="48"/>
      <c r="V96" s="48"/>
      <c r="W96" s="48"/>
      <c r="X96" s="48"/>
    </row>
    <row r="97" spans="1:24" ht="15.75">
      <c r="H97" s="37" t="s">
        <v>112</v>
      </c>
      <c r="I97" s="60">
        <f>ONSV_AUX_2015!Q65</f>
        <v>41662</v>
      </c>
      <c r="J97" s="61">
        <f>I97-(L86*I82)</f>
        <v>41658.512870133032</v>
      </c>
      <c r="K97" s="12"/>
      <c r="L97" s="12"/>
      <c r="M97" s="12"/>
      <c r="N97" s="12"/>
      <c r="O97" s="12"/>
      <c r="P97" s="12"/>
      <c r="Q97" s="4"/>
      <c r="R97" s="4"/>
    </row>
    <row r="98" spans="1:24" ht="15.75">
      <c r="I98" s="40"/>
      <c r="J98" s="21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4" ht="15.75">
      <c r="I99" s="40"/>
      <c r="J99" s="21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4" s="34" customFormat="1" ht="15.75">
      <c r="A100" s="101" t="str">
        <f>"PARANÁ/"&amp;ONSV_AUX_2014!A1&amp;""</f>
        <v>PARANÁ/2014</v>
      </c>
      <c r="B100" s="102"/>
      <c r="C100" s="102"/>
      <c r="D100" s="102"/>
      <c r="E100" s="102"/>
      <c r="F100" s="102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</row>
    <row r="101" spans="1:24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>
      <c r="H102" s="23" t="s">
        <v>118</v>
      </c>
      <c r="N102" s="26"/>
      <c r="O102" s="26"/>
      <c r="P102" s="9"/>
      <c r="Q102" s="26"/>
      <c r="R102" s="26"/>
      <c r="S102" s="26"/>
      <c r="T102" s="25"/>
      <c r="U102" s="25"/>
      <c r="V102" s="25"/>
      <c r="W102" s="25"/>
      <c r="X102" s="25"/>
    </row>
    <row r="103" spans="1:24" ht="15.75">
      <c r="J103" s="9"/>
      <c r="M103" s="25"/>
      <c r="N103" s="9"/>
      <c r="O103" s="9"/>
      <c r="P103" s="9"/>
      <c r="Q103" s="11"/>
      <c r="R103" s="11"/>
      <c r="S103" s="11"/>
    </row>
    <row r="104" spans="1:24" ht="15.75">
      <c r="H104" s="36" t="s">
        <v>81</v>
      </c>
      <c r="I104" s="60">
        <f>ONSV_AUX_2014!Q27</f>
        <v>419076</v>
      </c>
      <c r="J104" s="9"/>
      <c r="K104" s="104" t="s">
        <v>119</v>
      </c>
      <c r="L104" s="104"/>
      <c r="M104" s="9"/>
      <c r="N104" s="26" t="s">
        <v>120</v>
      </c>
      <c r="O104" s="26"/>
      <c r="Q104" s="26" t="s">
        <v>121</v>
      </c>
      <c r="R104" s="26"/>
      <c r="S104" s="26"/>
      <c r="T104" s="25" t="s">
        <v>122</v>
      </c>
      <c r="U104" s="25"/>
      <c r="V104" s="25"/>
      <c r="W104" s="25"/>
      <c r="X104" s="25"/>
    </row>
    <row r="105" spans="1:24" ht="15.75">
      <c r="H105" s="36" t="s">
        <v>84</v>
      </c>
      <c r="I105" s="60">
        <f>ONSV_AUX_2014!Q28</f>
        <v>1879312</v>
      </c>
      <c r="J105" s="9"/>
      <c r="K105" s="9"/>
      <c r="L105" s="9"/>
      <c r="M105" s="9"/>
      <c r="N105" s="9"/>
      <c r="O105" s="9"/>
      <c r="P105" s="20"/>
      <c r="Q105" s="11"/>
      <c r="R105" s="11"/>
      <c r="S105" s="11"/>
    </row>
    <row r="106" spans="1:24" ht="15.75">
      <c r="H106" s="36" t="s">
        <v>85</v>
      </c>
      <c r="I106" s="60">
        <f>ONSV_AUX_2014!Q29</f>
        <v>599011</v>
      </c>
      <c r="J106" s="9"/>
      <c r="K106" s="2" t="s">
        <v>123</v>
      </c>
      <c r="L106" s="60">
        <f>I113+I116+I117+I122</f>
        <v>4615602</v>
      </c>
      <c r="N106" s="28" t="s">
        <v>124</v>
      </c>
      <c r="O106" s="60">
        <f>J113+J122</f>
        <v>3892058.6145315389</v>
      </c>
      <c r="P106" s="64"/>
      <c r="Q106" s="65" t="s">
        <v>125</v>
      </c>
      <c r="R106" s="60">
        <f>J116+J117</f>
        <v>723220.3854684612</v>
      </c>
      <c r="S106" s="66"/>
      <c r="T106" s="65" t="s">
        <v>126</v>
      </c>
      <c r="U106" s="67">
        <f>O110</f>
        <v>17466.169141319173</v>
      </c>
      <c r="V106" s="48"/>
      <c r="W106" s="65" t="s">
        <v>127</v>
      </c>
      <c r="X106" s="68">
        <f>R112</f>
        <v>55791.021084766282</v>
      </c>
    </row>
    <row r="107" spans="1:24" ht="15.75">
      <c r="H107" s="36" t="s">
        <v>101</v>
      </c>
      <c r="I107" s="60">
        <f>ONSV_AUX_2014!Q30</f>
        <v>323</v>
      </c>
      <c r="J107" s="9"/>
      <c r="K107" s="27"/>
      <c r="L107" s="62"/>
      <c r="M107" s="20"/>
      <c r="N107" s="28" t="s">
        <v>128</v>
      </c>
      <c r="O107" s="69">
        <f>J113/O106</f>
        <v>0.99070608332127974</v>
      </c>
      <c r="P107" s="64"/>
      <c r="Q107" s="70" t="s">
        <v>129</v>
      </c>
      <c r="R107" s="63">
        <f>J116/R106</f>
        <v>0.73484489216351823</v>
      </c>
      <c r="S107" s="71"/>
      <c r="T107" s="65" t="s">
        <v>130</v>
      </c>
      <c r="U107" s="67">
        <f>I122-J122</f>
        <v>2.5315278483685688</v>
      </c>
      <c r="V107" s="48"/>
      <c r="W107" s="65" t="s">
        <v>131</v>
      </c>
      <c r="X107" s="68">
        <f>I117-J117</f>
        <v>13.420701568276854</v>
      </c>
    </row>
    <row r="108" spans="1:24" ht="15.75">
      <c r="H108" s="36" t="s">
        <v>16</v>
      </c>
      <c r="I108" s="60">
        <f>ONSV_AUX_2014!Q31</f>
        <v>34894</v>
      </c>
      <c r="J108" s="9"/>
      <c r="K108" s="2" t="s">
        <v>132</v>
      </c>
      <c r="L108" s="63">
        <f>I113/L106</f>
        <v>0.83546111644808196</v>
      </c>
      <c r="M108" s="20"/>
      <c r="N108" s="28" t="s">
        <v>133</v>
      </c>
      <c r="O108" s="69">
        <f>J122/O106</f>
        <v>9.2939166787202841E-3</v>
      </c>
      <c r="P108" s="64"/>
      <c r="Q108" s="70" t="s">
        <v>134</v>
      </c>
      <c r="R108" s="63">
        <f>J117/R106</f>
        <v>0.26515510783648172</v>
      </c>
      <c r="S108" s="71"/>
      <c r="T108" s="65" t="s">
        <v>135</v>
      </c>
      <c r="U108" s="72">
        <f>O112</f>
        <v>18706.299330832459</v>
      </c>
      <c r="V108" s="73"/>
      <c r="W108" s="65" t="s">
        <v>136</v>
      </c>
      <c r="X108" s="72">
        <f>R115</f>
        <v>135974.55821366544</v>
      </c>
    </row>
    <row r="109" spans="1:24" ht="15.75">
      <c r="H109" s="36" t="s">
        <v>94</v>
      </c>
      <c r="I109" s="60">
        <f>ONSV_AUX_2014!Q32</f>
        <v>3326121</v>
      </c>
      <c r="J109" s="10"/>
      <c r="K109" s="2" t="s">
        <v>2</v>
      </c>
      <c r="L109" s="63">
        <f>I116/L106</f>
        <v>0.11515117637959252</v>
      </c>
      <c r="M109" s="20"/>
      <c r="N109" s="20"/>
      <c r="O109" s="74"/>
      <c r="P109" s="48"/>
      <c r="Q109" s="48"/>
      <c r="R109" s="48"/>
      <c r="S109" s="48"/>
      <c r="T109" s="48"/>
      <c r="U109" s="62"/>
      <c r="V109" s="75"/>
      <c r="W109" s="48"/>
      <c r="X109" s="62"/>
    </row>
    <row r="110" spans="1:24" ht="15.75">
      <c r="K110" s="2" t="s">
        <v>3</v>
      </c>
      <c r="L110" s="63">
        <f>I117/L106</f>
        <v>4.1550159654146955E-2</v>
      </c>
      <c r="M110" s="20"/>
      <c r="N110" s="28" t="s">
        <v>137</v>
      </c>
      <c r="O110" s="60">
        <f>IF(O108*I105&gt;J122,J122,O108*I105)</f>
        <v>17466.169141319173</v>
      </c>
      <c r="P110" s="76"/>
      <c r="Q110" s="65" t="s">
        <v>138</v>
      </c>
      <c r="R110" s="60">
        <f>I106-I114-I115-I118-I121</f>
        <v>210409</v>
      </c>
      <c r="S110" s="77"/>
      <c r="T110" s="65" t="s">
        <v>139</v>
      </c>
      <c r="U110" s="67">
        <f>O118</f>
        <v>1861845.8308586809</v>
      </c>
      <c r="V110" s="76"/>
      <c r="W110" s="65" t="s">
        <v>140</v>
      </c>
      <c r="X110" s="67">
        <f>I114</f>
        <v>250417</v>
      </c>
    </row>
    <row r="111" spans="1:24" ht="15.75">
      <c r="H111" s="24" t="s">
        <v>141</v>
      </c>
      <c r="K111" s="2" t="s">
        <v>0</v>
      </c>
      <c r="L111" s="63">
        <f>I122/L106</f>
        <v>7.8375475181785611E-3</v>
      </c>
      <c r="O111" s="48"/>
      <c r="P111" s="76"/>
      <c r="Q111" s="65" t="s">
        <v>142</v>
      </c>
      <c r="R111" s="60">
        <f>R107*R110</f>
        <v>154617.97891523372</v>
      </c>
      <c r="S111" s="48"/>
      <c r="T111" s="65" t="s">
        <v>143</v>
      </c>
      <c r="U111" s="67">
        <f>O116</f>
        <v>419076</v>
      </c>
      <c r="V111" s="66"/>
      <c r="W111" s="65" t="s">
        <v>144</v>
      </c>
      <c r="X111" s="67">
        <f>I115</f>
        <v>81024</v>
      </c>
    </row>
    <row r="112" spans="1:24" ht="15.75">
      <c r="K112" s="11"/>
      <c r="L112" s="11"/>
      <c r="M112" s="11"/>
      <c r="N112" s="28" t="s">
        <v>145</v>
      </c>
      <c r="O112" s="60">
        <f>J122-O110</f>
        <v>18706.299330832459</v>
      </c>
      <c r="P112" s="76"/>
      <c r="Q112" s="65" t="s">
        <v>127</v>
      </c>
      <c r="R112" s="60">
        <f>R108*R110</f>
        <v>55791.021084766282</v>
      </c>
      <c r="S112" s="48"/>
      <c r="T112" s="65" t="s">
        <v>146</v>
      </c>
      <c r="U112" s="67">
        <f>O117</f>
        <v>34894</v>
      </c>
      <c r="V112" s="71"/>
      <c r="W112" s="48"/>
      <c r="X112" s="62"/>
    </row>
    <row r="113" spans="8:24" ht="15.75">
      <c r="H113" s="37" t="s">
        <v>103</v>
      </c>
      <c r="I113" s="60">
        <f>ONSV_AUX_2014!Q56</f>
        <v>3856156</v>
      </c>
      <c r="J113" s="61">
        <f>I113-(L108*I107)</f>
        <v>3855886.1460593874</v>
      </c>
      <c r="K113" s="11"/>
      <c r="L113" s="11"/>
      <c r="M113" s="11"/>
      <c r="O113" s="76"/>
      <c r="P113" s="76"/>
      <c r="Q113" s="48"/>
      <c r="R113" s="78"/>
      <c r="S113" s="48"/>
      <c r="T113" s="65" t="s">
        <v>147</v>
      </c>
      <c r="U113" s="68">
        <f>I113-J113</f>
        <v>269.85394061263651</v>
      </c>
      <c r="V113" s="71"/>
      <c r="W113" s="65" t="s">
        <v>148</v>
      </c>
      <c r="X113" s="67">
        <f>I121</f>
        <v>37698</v>
      </c>
    </row>
    <row r="114" spans="8:24" ht="15.75">
      <c r="H114" s="37" t="s">
        <v>104</v>
      </c>
      <c r="I114" s="60">
        <f>ONSV_AUX_2014!Q57</f>
        <v>250417</v>
      </c>
      <c r="J114" s="10">
        <f>I114</f>
        <v>250417</v>
      </c>
      <c r="K114" s="11"/>
      <c r="L114" s="11"/>
      <c r="M114" s="11"/>
      <c r="N114" s="26" t="s">
        <v>149</v>
      </c>
      <c r="O114" s="76"/>
      <c r="P114" s="76"/>
      <c r="Q114" s="65" t="s">
        <v>150</v>
      </c>
      <c r="R114" s="60">
        <f>J116-R111</f>
        <v>376836.8272547957</v>
      </c>
      <c r="S114" s="48"/>
      <c r="T114" s="65" t="s">
        <v>151</v>
      </c>
      <c r="U114" s="72">
        <f>O119</f>
        <v>1540070.3152007065</v>
      </c>
      <c r="V114" s="48"/>
      <c r="W114" s="65" t="s">
        <v>152</v>
      </c>
      <c r="X114" s="67">
        <f>I118</f>
        <v>19463</v>
      </c>
    </row>
    <row r="115" spans="8:24" ht="15.75">
      <c r="H115" s="37" t="s">
        <v>105</v>
      </c>
      <c r="I115" s="60">
        <f>ONSV_AUX_2014!Q58</f>
        <v>81024</v>
      </c>
      <c r="J115" s="10">
        <f>I115</f>
        <v>81024</v>
      </c>
      <c r="K115" s="11"/>
      <c r="L115" s="11"/>
      <c r="M115" s="11"/>
      <c r="O115" s="73"/>
      <c r="P115" s="76"/>
      <c r="Q115" s="65" t="s">
        <v>136</v>
      </c>
      <c r="R115" s="60">
        <f>J117-R112</f>
        <v>135974.55821366544</v>
      </c>
      <c r="S115" s="48"/>
      <c r="T115" s="48"/>
      <c r="U115" s="62"/>
      <c r="V115" s="77"/>
      <c r="W115" s="48"/>
      <c r="X115" s="62"/>
    </row>
    <row r="116" spans="8:24" ht="15.75">
      <c r="H116" s="37" t="s">
        <v>106</v>
      </c>
      <c r="I116" s="60">
        <f>ONSV_AUX_2014!Q59</f>
        <v>531492</v>
      </c>
      <c r="J116" s="61">
        <f>I116-(L109*I107)</f>
        <v>531454.80617002945</v>
      </c>
      <c r="K116" s="11"/>
      <c r="L116" s="11"/>
      <c r="M116" s="11"/>
      <c r="N116" s="28" t="s">
        <v>143</v>
      </c>
      <c r="O116" s="60">
        <f>I104</f>
        <v>419076</v>
      </c>
      <c r="P116" s="76"/>
      <c r="Q116" s="48"/>
      <c r="R116" s="48"/>
      <c r="S116" s="77"/>
      <c r="T116" s="65" t="s">
        <v>142</v>
      </c>
      <c r="U116" s="68">
        <f>R111</f>
        <v>154617.97891523372</v>
      </c>
      <c r="V116" s="48"/>
      <c r="W116" s="65" t="s">
        <v>153</v>
      </c>
      <c r="X116" s="67">
        <f>I119</f>
        <v>1028370</v>
      </c>
    </row>
    <row r="117" spans="8:24" ht="15.75">
      <c r="H117" s="37" t="s">
        <v>107</v>
      </c>
      <c r="I117" s="60">
        <f>ONSV_AUX_2014!Q60</f>
        <v>191779</v>
      </c>
      <c r="J117" s="61">
        <f>I117-(L110*I107)</f>
        <v>191765.57929843172</v>
      </c>
      <c r="K117" s="11"/>
      <c r="L117" s="11"/>
      <c r="M117" s="11"/>
      <c r="N117" s="28" t="s">
        <v>146</v>
      </c>
      <c r="O117" s="60">
        <f>I108</f>
        <v>34894</v>
      </c>
      <c r="P117" s="76"/>
      <c r="Q117" s="48"/>
      <c r="R117" s="48"/>
      <c r="S117" s="48"/>
      <c r="T117" s="65" t="s">
        <v>154</v>
      </c>
      <c r="U117" s="68">
        <f>I116-J116</f>
        <v>37.193829970550723</v>
      </c>
      <c r="V117" s="48"/>
      <c r="W117" s="65" t="s">
        <v>155</v>
      </c>
      <c r="X117" s="67">
        <f>I120</f>
        <v>254620</v>
      </c>
    </row>
    <row r="118" spans="8:24" ht="15.75">
      <c r="H118" s="37" t="s">
        <v>108</v>
      </c>
      <c r="I118" s="60">
        <f>ONSV_AUX_2014!Q61</f>
        <v>19463</v>
      </c>
      <c r="J118" s="10">
        <f>I118</f>
        <v>19463</v>
      </c>
      <c r="K118" s="11"/>
      <c r="L118" s="11"/>
      <c r="M118" s="11"/>
      <c r="N118" s="28" t="s">
        <v>139</v>
      </c>
      <c r="O118" s="60">
        <f>IF(OR((O107*I105&gt;J113),((O116+O117+(O107*I105))&gt;J113)),(J113-O116-O117),(O107*I105))</f>
        <v>1861845.8308586809</v>
      </c>
      <c r="P118" s="76"/>
      <c r="Q118" s="48"/>
      <c r="R118" s="78"/>
      <c r="S118" s="48"/>
      <c r="T118" s="65" t="s">
        <v>150</v>
      </c>
      <c r="U118" s="72">
        <f>R114</f>
        <v>376836.8272547957</v>
      </c>
      <c r="V118" s="48"/>
      <c r="W118" s="48"/>
      <c r="X118" s="48"/>
    </row>
    <row r="119" spans="8:24" ht="15.75">
      <c r="H119" s="37" t="s">
        <v>109</v>
      </c>
      <c r="I119" s="60">
        <f>ONSV_AUX_2014!Q62</f>
        <v>1028370</v>
      </c>
      <c r="J119" s="10">
        <f>I119</f>
        <v>1028370</v>
      </c>
      <c r="K119" s="11"/>
      <c r="L119" s="11"/>
      <c r="M119" s="11"/>
      <c r="N119" s="28" t="s">
        <v>151</v>
      </c>
      <c r="O119" s="60">
        <f>IF((J113-O116-O118-O117)&lt;0,0,(J113-O116-O118-O117))</f>
        <v>1540070.3152007065</v>
      </c>
      <c r="P119" s="48"/>
      <c r="Q119" s="48"/>
      <c r="R119" s="48"/>
      <c r="S119" s="48"/>
      <c r="T119" s="48"/>
      <c r="U119" s="62"/>
      <c r="V119" s="48"/>
      <c r="W119" s="48"/>
      <c r="X119" s="48"/>
    </row>
    <row r="120" spans="8:24" ht="15.75">
      <c r="H120" s="37" t="s">
        <v>110</v>
      </c>
      <c r="I120" s="60">
        <f>ONSV_AUX_2014!Q63</f>
        <v>254620</v>
      </c>
      <c r="J120" s="10">
        <f>I120</f>
        <v>254620</v>
      </c>
      <c r="K120" s="11"/>
      <c r="L120" s="11"/>
      <c r="M120" s="11"/>
      <c r="O120" s="48"/>
      <c r="P120" s="76"/>
      <c r="Q120" s="48"/>
      <c r="R120" s="48"/>
      <c r="S120" s="48"/>
      <c r="T120" s="79" t="s">
        <v>156</v>
      </c>
      <c r="U120" s="80">
        <f>(SUM(U106:U118,X106:X117)/SUM(I113:I122))-1</f>
        <v>0</v>
      </c>
      <c r="V120" s="48"/>
      <c r="W120" s="79" t="s">
        <v>10</v>
      </c>
      <c r="X120" s="67">
        <f>SUM(U106:U118,X106:X117)</f>
        <v>6287193.9999999991</v>
      </c>
    </row>
    <row r="121" spans="8:24" ht="15.75">
      <c r="H121" s="37" t="s">
        <v>111</v>
      </c>
      <c r="I121" s="60">
        <f>ONSV_AUX_2014!Q64</f>
        <v>37698</v>
      </c>
      <c r="J121" s="10">
        <f>I121</f>
        <v>37698</v>
      </c>
      <c r="K121" s="11"/>
      <c r="L121" s="11"/>
      <c r="M121" s="11"/>
      <c r="O121" s="48"/>
      <c r="P121" s="76"/>
      <c r="Q121" s="48"/>
      <c r="R121" s="48"/>
      <c r="S121" s="48"/>
      <c r="T121" s="48"/>
      <c r="U121" s="48"/>
      <c r="V121" s="48"/>
      <c r="W121" s="48"/>
      <c r="X121" s="48"/>
    </row>
    <row r="122" spans="8:24" ht="15.75">
      <c r="H122" s="37" t="s">
        <v>112</v>
      </c>
      <c r="I122" s="60">
        <f>ONSV_AUX_2014!Q65</f>
        <v>36175</v>
      </c>
      <c r="J122" s="61">
        <f>I122-(L111*I107)</f>
        <v>36172.468472151631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A1:F1"/>
    <mergeCell ref="Q4:R4"/>
    <mergeCell ref="T4:X4"/>
    <mergeCell ref="K5:L5"/>
    <mergeCell ref="A25:F25"/>
    <mergeCell ref="T27:X27"/>
    <mergeCell ref="T52:X52"/>
    <mergeCell ref="K79:L79"/>
    <mergeCell ref="A100:F100"/>
    <mergeCell ref="K104:L104"/>
    <mergeCell ref="K29:L29"/>
    <mergeCell ref="A50:F50"/>
    <mergeCell ref="A75:F75"/>
    <mergeCell ref="K54:L5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39997558519241921"/>
  </sheetPr>
  <dimension ref="A1:X122"/>
  <sheetViews>
    <sheetView showGridLines="0" zoomScale="90" zoomScaleNormal="90" workbookViewId="0">
      <selection activeCell="J34" sqref="J34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  <col min="27" max="28" width="10" bestFit="1" customWidth="1"/>
    <col min="30" max="30" width="10" bestFit="1" customWidth="1"/>
  </cols>
  <sheetData>
    <row r="1" spans="1:24" s="31" customFormat="1" ht="15.75">
      <c r="A1" s="101" t="str">
        <f>"PERNAMBUCO/"&amp;ONSV_AUX_2018!A1&amp;""</f>
        <v>PERNAMBUCO/2018</v>
      </c>
      <c r="B1" s="102"/>
      <c r="C1" s="102"/>
      <c r="D1" s="102"/>
      <c r="E1" s="102"/>
      <c r="F1" s="102"/>
    </row>
    <row r="2" spans="1:24" s="4" customFormat="1" ht="15.75">
      <c r="A2" s="32"/>
      <c r="B2" s="32"/>
      <c r="C2" s="32"/>
      <c r="D2" s="32"/>
      <c r="E2" s="32"/>
      <c r="F2" s="32"/>
    </row>
    <row r="3" spans="1:24" ht="15.75">
      <c r="A3" s="12"/>
      <c r="H3" s="23" t="s">
        <v>118</v>
      </c>
    </row>
    <row r="4" spans="1:24" ht="15.75">
      <c r="B4" s="5"/>
      <c r="J4" s="9"/>
      <c r="M4" s="25"/>
      <c r="N4" s="25"/>
      <c r="O4" s="25"/>
      <c r="P4" s="25"/>
      <c r="Q4" s="103"/>
      <c r="R4" s="103"/>
      <c r="S4" s="22"/>
      <c r="T4" s="104"/>
      <c r="U4" s="104"/>
      <c r="V4" s="104"/>
      <c r="W4" s="104"/>
      <c r="X4" s="104"/>
    </row>
    <row r="5" spans="1:24" ht="15.75">
      <c r="H5" s="36" t="s">
        <v>81</v>
      </c>
      <c r="I5" s="60">
        <f>ONSV_AUX_2018!R27</f>
        <v>93968</v>
      </c>
      <c r="J5" s="9"/>
      <c r="K5" s="104" t="s">
        <v>119</v>
      </c>
      <c r="L5" s="104"/>
      <c r="M5" s="9"/>
      <c r="N5" s="26" t="s">
        <v>120</v>
      </c>
      <c r="O5" s="26"/>
      <c r="Q5" s="26" t="s">
        <v>121</v>
      </c>
      <c r="R5" s="26"/>
      <c r="S5" s="26"/>
      <c r="T5" s="25" t="s">
        <v>122</v>
      </c>
      <c r="U5" s="25"/>
      <c r="V5" s="25"/>
      <c r="W5" s="25"/>
      <c r="X5" s="25"/>
    </row>
    <row r="6" spans="1:24" ht="15.75">
      <c r="H6" s="36" t="s">
        <v>84</v>
      </c>
      <c r="I6" s="60">
        <f>ONSV_AUX_2018!R28</f>
        <v>1199574</v>
      </c>
      <c r="J6" s="9"/>
      <c r="K6" s="9"/>
      <c r="L6" s="9"/>
      <c r="M6" s="9"/>
      <c r="N6" s="9"/>
      <c r="O6" s="9"/>
      <c r="P6" s="20"/>
      <c r="Q6" s="11"/>
      <c r="R6" s="11"/>
      <c r="S6" s="11"/>
    </row>
    <row r="7" spans="1:24" ht="15.75">
      <c r="H7" s="36" t="s">
        <v>85</v>
      </c>
      <c r="I7" s="60">
        <f>ONSV_AUX_2018!R29</f>
        <v>228412</v>
      </c>
      <c r="J7" s="9"/>
      <c r="K7" s="2" t="s">
        <v>123</v>
      </c>
      <c r="L7" s="60">
        <f>I14+I17+I18+I23</f>
        <v>1589171</v>
      </c>
      <c r="N7" s="28" t="s">
        <v>124</v>
      </c>
      <c r="O7" s="60">
        <f>J14+J23</f>
        <v>1318110.9278831542</v>
      </c>
      <c r="P7" s="64"/>
      <c r="Q7" s="65" t="s">
        <v>125</v>
      </c>
      <c r="R7" s="60">
        <f>J17+J18</f>
        <v>270814.07211684581</v>
      </c>
      <c r="S7" s="66"/>
      <c r="T7" s="65" t="s">
        <v>126</v>
      </c>
      <c r="U7" s="67">
        <f>O11</f>
        <v>18250.460411965272</v>
      </c>
      <c r="V7" s="48"/>
      <c r="W7" s="65" t="s">
        <v>127</v>
      </c>
      <c r="X7" s="68">
        <f>R13</f>
        <v>28625.060844138588</v>
      </c>
    </row>
    <row r="8" spans="1:24" ht="15.75">
      <c r="H8" s="36" t="s">
        <v>101</v>
      </c>
      <c r="I8" s="60">
        <f>ONSV_AUX_2018!R30</f>
        <v>246</v>
      </c>
      <c r="J8" s="9"/>
      <c r="K8" s="27"/>
      <c r="L8" s="62"/>
      <c r="M8" s="20"/>
      <c r="N8" s="28" t="s">
        <v>128</v>
      </c>
      <c r="O8" s="69">
        <f>J14/O7</f>
        <v>0.98478588197813122</v>
      </c>
      <c r="P8" s="64"/>
      <c r="Q8" s="70" t="s">
        <v>129</v>
      </c>
      <c r="R8" s="63">
        <f>J17/R7</f>
        <v>0.66517263785923153</v>
      </c>
      <c r="S8" s="71"/>
      <c r="T8" s="65" t="s">
        <v>130</v>
      </c>
      <c r="U8" s="67">
        <f>I23-J23</f>
        <v>3.1047772706660908</v>
      </c>
      <c r="V8" s="48"/>
      <c r="W8" s="65" t="s">
        <v>131</v>
      </c>
      <c r="X8" s="68">
        <f>I18-J18</f>
        <v>14.038602516651736</v>
      </c>
    </row>
    <row r="9" spans="1:24" ht="15.75">
      <c r="H9" s="36" t="s">
        <v>16</v>
      </c>
      <c r="I9" s="60">
        <f>ONSV_AUX_2018!R31</f>
        <v>51647</v>
      </c>
      <c r="J9" s="9"/>
      <c r="K9" s="2" t="s">
        <v>132</v>
      </c>
      <c r="L9" s="63">
        <f>I14/L7</f>
        <v>0.81694040477708185</v>
      </c>
      <c r="M9" s="20"/>
      <c r="N9" s="28" t="s">
        <v>133</v>
      </c>
      <c r="O9" s="69">
        <f>J23/O7</f>
        <v>1.5214118021868823E-2</v>
      </c>
      <c r="P9" s="64"/>
      <c r="Q9" s="70" t="s">
        <v>134</v>
      </c>
      <c r="R9" s="63">
        <f>J18/R7</f>
        <v>0.33482736214076858</v>
      </c>
      <c r="S9" s="71"/>
      <c r="T9" s="65" t="s">
        <v>135</v>
      </c>
      <c r="U9" s="72">
        <f>O13</f>
        <v>1803.4348107640617</v>
      </c>
      <c r="V9" s="73"/>
      <c r="W9" s="65" t="s">
        <v>136</v>
      </c>
      <c r="X9" s="72">
        <f>R16</f>
        <v>62050.900553344763</v>
      </c>
    </row>
    <row r="10" spans="1:24" ht="15.75">
      <c r="H10" s="36" t="s">
        <v>94</v>
      </c>
      <c r="I10" s="60">
        <f>ONSV_AUX_2018!R32</f>
        <v>1319161</v>
      </c>
      <c r="J10" s="10"/>
      <c r="K10" s="2" t="s">
        <v>2</v>
      </c>
      <c r="L10" s="63">
        <f>I17/L7</f>
        <v>0.1133710595020926</v>
      </c>
      <c r="M10" s="20"/>
      <c r="N10" s="20"/>
      <c r="O10" s="74"/>
      <c r="P10" s="48"/>
      <c r="Q10" s="48"/>
      <c r="R10" s="48"/>
      <c r="S10" s="48"/>
      <c r="T10" s="48"/>
      <c r="U10" s="62"/>
      <c r="V10" s="75"/>
      <c r="W10" s="48"/>
      <c r="X10" s="62"/>
    </row>
    <row r="11" spans="1:24" ht="15.75">
      <c r="K11" s="2" t="s">
        <v>3</v>
      </c>
      <c r="L11" s="63">
        <f>I18/L7</f>
        <v>5.7067489905114052E-2</v>
      </c>
      <c r="M11" s="20"/>
      <c r="N11" s="28" t="s">
        <v>137</v>
      </c>
      <c r="O11" s="60">
        <f>IF(O9*I6&gt;J23,J23,O9*I6)</f>
        <v>18250.460411965272</v>
      </c>
      <c r="P11" s="76"/>
      <c r="Q11" s="65" t="s">
        <v>138</v>
      </c>
      <c r="R11" s="60">
        <f>I7-I15-I16-I19-I22</f>
        <v>85492</v>
      </c>
      <c r="S11" s="77"/>
      <c r="T11" s="65" t="s">
        <v>139</v>
      </c>
      <c r="U11" s="67">
        <f>O19</f>
        <v>1152442.0326604249</v>
      </c>
      <c r="V11" s="76"/>
      <c r="W11" s="65" t="s">
        <v>140</v>
      </c>
      <c r="X11" s="67">
        <f>I15</f>
        <v>92535</v>
      </c>
    </row>
    <row r="12" spans="1:24" ht="15.75">
      <c r="H12" s="24" t="s">
        <v>141</v>
      </c>
      <c r="K12" s="2" t="s">
        <v>0</v>
      </c>
      <c r="L12" s="63">
        <f>I23/L7</f>
        <v>1.2621045815711463E-2</v>
      </c>
      <c r="O12" s="48"/>
      <c r="P12" s="76"/>
      <c r="Q12" s="65" t="s">
        <v>142</v>
      </c>
      <c r="R12" s="60">
        <f>R8*R11</f>
        <v>56866.939155861422</v>
      </c>
      <c r="S12" s="48"/>
      <c r="T12" s="65" t="s">
        <v>143</v>
      </c>
      <c r="U12" s="67">
        <f>O17</f>
        <v>93968</v>
      </c>
      <c r="V12" s="66"/>
      <c r="W12" s="65" t="s">
        <v>144</v>
      </c>
      <c r="X12" s="67">
        <f>I16</f>
        <v>11916</v>
      </c>
    </row>
    <row r="13" spans="1:24" ht="15.75">
      <c r="K13" s="11"/>
      <c r="L13" s="11"/>
      <c r="M13" s="11"/>
      <c r="N13" s="28" t="s">
        <v>145</v>
      </c>
      <c r="O13" s="60">
        <f>J23-O11</f>
        <v>1803.4348107640617</v>
      </c>
      <c r="P13" s="76"/>
      <c r="Q13" s="65" t="s">
        <v>127</v>
      </c>
      <c r="R13" s="60">
        <f>R9*R11</f>
        <v>28625.060844138588</v>
      </c>
      <c r="S13" s="48"/>
      <c r="T13" s="65" t="s">
        <v>146</v>
      </c>
      <c r="U13" s="67">
        <f>O18</f>
        <v>51647</v>
      </c>
      <c r="V13" s="71"/>
      <c r="W13" s="48"/>
      <c r="X13" s="62"/>
    </row>
    <row r="14" spans="1:24" ht="15.75">
      <c r="H14" s="37" t="s">
        <v>103</v>
      </c>
      <c r="I14" s="60">
        <f>ONSV_AUX_2018!R56</f>
        <v>1298258</v>
      </c>
      <c r="J14" s="61">
        <f>I14-(L9*I8)</f>
        <v>1298057.0326604249</v>
      </c>
      <c r="K14" s="11"/>
      <c r="L14" s="11"/>
      <c r="M14" s="11"/>
      <c r="O14" s="76"/>
      <c r="P14" s="76"/>
      <c r="Q14" s="48"/>
      <c r="R14" s="78"/>
      <c r="S14" s="48"/>
      <c r="T14" s="65" t="s">
        <v>147</v>
      </c>
      <c r="U14" s="68">
        <f>I14-J14</f>
        <v>200.96733957505785</v>
      </c>
      <c r="V14" s="71"/>
      <c r="W14" s="65" t="s">
        <v>148</v>
      </c>
      <c r="X14" s="67">
        <f>I22</f>
        <v>19684</v>
      </c>
    </row>
    <row r="15" spans="1:24" ht="15.75">
      <c r="H15" s="37" t="s">
        <v>104</v>
      </c>
      <c r="I15" s="60">
        <f>ONSV_AUX_2018!R57</f>
        <v>92535</v>
      </c>
      <c r="J15" s="10">
        <f>I15</f>
        <v>92535</v>
      </c>
      <c r="K15" s="11"/>
      <c r="L15" s="11"/>
      <c r="M15" s="11"/>
      <c r="N15" s="26" t="s">
        <v>149</v>
      </c>
      <c r="O15" s="76"/>
      <c r="P15" s="76"/>
      <c r="Q15" s="65" t="s">
        <v>150</v>
      </c>
      <c r="R15" s="60">
        <f>J17-R12</f>
        <v>123271.17156350106</v>
      </c>
      <c r="S15" s="48"/>
      <c r="T15" s="65" t="s">
        <v>151</v>
      </c>
      <c r="U15" s="72">
        <f>O20</f>
        <v>0</v>
      </c>
      <c r="V15" s="48"/>
      <c r="W15" s="65" t="s">
        <v>152</v>
      </c>
      <c r="X15" s="67">
        <f>I19</f>
        <v>18785</v>
      </c>
    </row>
    <row r="16" spans="1:24" ht="15.75">
      <c r="H16" s="37" t="s">
        <v>105</v>
      </c>
      <c r="I16" s="60">
        <f>ONSV_AUX_2018!R58</f>
        <v>11916</v>
      </c>
      <c r="J16" s="10">
        <f>I16</f>
        <v>11916</v>
      </c>
      <c r="K16" s="11"/>
      <c r="L16" s="11"/>
      <c r="M16" s="11"/>
      <c r="O16" s="73"/>
      <c r="P16" s="76"/>
      <c r="Q16" s="65" t="s">
        <v>136</v>
      </c>
      <c r="R16" s="60">
        <f>J18-R13</f>
        <v>62050.900553344763</v>
      </c>
      <c r="S16" s="48"/>
      <c r="T16" s="48"/>
      <c r="U16" s="62"/>
      <c r="V16" s="77"/>
      <c r="W16" s="48"/>
      <c r="X16" s="62"/>
    </row>
    <row r="17" spans="1:24" ht="15.75">
      <c r="H17" s="37" t="s">
        <v>106</v>
      </c>
      <c r="I17" s="60">
        <f>ONSV_AUX_2018!R59</f>
        <v>180166</v>
      </c>
      <c r="J17" s="61">
        <f>I17-(L10*I8)</f>
        <v>180138.11071936248</v>
      </c>
      <c r="K17" s="11"/>
      <c r="L17" s="11"/>
      <c r="M17" s="11"/>
      <c r="N17" s="28" t="s">
        <v>143</v>
      </c>
      <c r="O17" s="60">
        <f>I5</f>
        <v>93968</v>
      </c>
      <c r="P17" s="76"/>
      <c r="Q17" s="48"/>
      <c r="R17" s="48"/>
      <c r="S17" s="77"/>
      <c r="T17" s="65" t="s">
        <v>142</v>
      </c>
      <c r="U17" s="68">
        <f>R12</f>
        <v>56866.939155861422</v>
      </c>
      <c r="V17" s="48"/>
      <c r="W17" s="65" t="s">
        <v>153</v>
      </c>
      <c r="X17" s="67">
        <f>I20</f>
        <v>1023980</v>
      </c>
    </row>
    <row r="18" spans="1:24" ht="15.75">
      <c r="H18" s="37" t="s">
        <v>107</v>
      </c>
      <c r="I18" s="60">
        <f>ONSV_AUX_2018!R60</f>
        <v>90690</v>
      </c>
      <c r="J18" s="61">
        <f>I18-(L11*I8)</f>
        <v>90675.961397483348</v>
      </c>
      <c r="K18" s="11"/>
      <c r="L18" s="11"/>
      <c r="M18" s="11"/>
      <c r="N18" s="28" t="s">
        <v>146</v>
      </c>
      <c r="O18" s="60">
        <f>I9</f>
        <v>51647</v>
      </c>
      <c r="P18" s="76"/>
      <c r="Q18" s="48"/>
      <c r="R18" s="48"/>
      <c r="S18" s="48"/>
      <c r="T18" s="65" t="s">
        <v>154</v>
      </c>
      <c r="U18" s="68">
        <f>I17-J17</f>
        <v>27.889280637522461</v>
      </c>
      <c r="V18" s="48"/>
      <c r="W18" s="65" t="s">
        <v>155</v>
      </c>
      <c r="X18" s="67">
        <f>I21</f>
        <v>106287</v>
      </c>
    </row>
    <row r="19" spans="1:24" ht="15.75">
      <c r="H19" s="37" t="s">
        <v>108</v>
      </c>
      <c r="I19" s="60">
        <f>ONSV_AUX_2018!R61</f>
        <v>18785</v>
      </c>
      <c r="J19" s="10">
        <f>I19</f>
        <v>18785</v>
      </c>
      <c r="K19" s="11"/>
      <c r="L19" s="11"/>
      <c r="M19" s="11"/>
      <c r="N19" s="28" t="s">
        <v>139</v>
      </c>
      <c r="O19" s="60">
        <f>IF(OR((O8*I6&gt;J14),((O17+O18+(O8*I6))&gt;J14)),(J14-O17-O18),(O8*I6))</f>
        <v>1152442.0326604249</v>
      </c>
      <c r="P19" s="76"/>
      <c r="Q19" s="48"/>
      <c r="R19" s="78"/>
      <c r="S19" s="48"/>
      <c r="T19" s="65" t="s">
        <v>150</v>
      </c>
      <c r="U19" s="72">
        <f>R15</f>
        <v>123271.17156350106</v>
      </c>
      <c r="V19" s="48"/>
      <c r="W19" s="48"/>
      <c r="X19" s="48"/>
    </row>
    <row r="20" spans="1:24" ht="15.75">
      <c r="H20" s="37" t="s">
        <v>109</v>
      </c>
      <c r="I20" s="60">
        <f>ONSV_AUX_2018!R62</f>
        <v>1023980</v>
      </c>
      <c r="J20" s="10">
        <f t="shared" ref="J20:J22" si="0">I20</f>
        <v>1023980</v>
      </c>
      <c r="K20" s="11"/>
      <c r="L20" s="11"/>
      <c r="M20" s="11"/>
      <c r="N20" s="28" t="s">
        <v>151</v>
      </c>
      <c r="O20" s="60">
        <f>IF((J14-O17-O19-O18)&lt;0,0,(J14-O17-O19-O18))</f>
        <v>0</v>
      </c>
      <c r="P20" s="48"/>
      <c r="Q20" s="48"/>
      <c r="R20" s="48"/>
      <c r="S20" s="48"/>
      <c r="T20" s="48"/>
      <c r="U20" s="62"/>
      <c r="V20" s="48"/>
      <c r="W20" s="48"/>
      <c r="X20" s="48"/>
    </row>
    <row r="21" spans="1:24" ht="15.75">
      <c r="H21" s="37" t="s">
        <v>110</v>
      </c>
      <c r="I21" s="60">
        <f>ONSV_AUX_2018!R63</f>
        <v>106287</v>
      </c>
      <c r="J21" s="10">
        <f t="shared" si="0"/>
        <v>106287</v>
      </c>
      <c r="K21" s="11"/>
      <c r="L21" s="11"/>
      <c r="M21" s="11"/>
      <c r="O21" s="48"/>
      <c r="P21" s="76"/>
      <c r="Q21" s="48"/>
      <c r="R21" s="48"/>
      <c r="S21" s="48"/>
      <c r="T21" s="79" t="s">
        <v>156</v>
      </c>
      <c r="U21" s="80">
        <f>(SUM(U7:U19,X7:X18)/SUM(I14:I23))-1</f>
        <v>0</v>
      </c>
      <c r="V21" s="48"/>
      <c r="W21" s="79" t="s">
        <v>10</v>
      </c>
      <c r="X21" s="67">
        <f>SUM(U7:U19,X7:X18)</f>
        <v>2862358</v>
      </c>
    </row>
    <row r="22" spans="1:24" ht="15.75">
      <c r="H22" s="37" t="s">
        <v>111</v>
      </c>
      <c r="I22" s="60">
        <f>ONSV_AUX_2018!R64</f>
        <v>19684</v>
      </c>
      <c r="J22" s="10">
        <f t="shared" si="0"/>
        <v>19684</v>
      </c>
      <c r="K22" s="11"/>
      <c r="L22" s="11"/>
      <c r="M22" s="11"/>
      <c r="O22" s="48"/>
      <c r="P22" s="76"/>
      <c r="Q22" s="48"/>
      <c r="R22" s="48"/>
      <c r="S22" s="48"/>
      <c r="T22" s="48"/>
      <c r="U22" s="48"/>
      <c r="V22" s="48"/>
      <c r="W22" s="48"/>
      <c r="X22" s="48"/>
    </row>
    <row r="23" spans="1:24" ht="15.75">
      <c r="H23" s="37" t="s">
        <v>112</v>
      </c>
      <c r="I23" s="60">
        <f>ONSV_AUX_2018!R65</f>
        <v>20057</v>
      </c>
      <c r="J23" s="61">
        <f>I23-(L12*I8)</f>
        <v>20053.895222729334</v>
      </c>
      <c r="K23" s="12"/>
      <c r="L23" s="12"/>
      <c r="M23" s="12"/>
      <c r="N23" s="12"/>
      <c r="O23" s="12"/>
      <c r="P23" s="12"/>
      <c r="Q23" s="4"/>
      <c r="R23" s="4"/>
    </row>
    <row r="25" spans="1:24" s="34" customFormat="1" ht="15.75">
      <c r="A25" s="101" t="str">
        <f>"PERNAMBUCO/"&amp;ONSV_AUX_2017!A1&amp;""</f>
        <v>PERNAMBUCO/2017</v>
      </c>
      <c r="B25" s="102"/>
      <c r="C25" s="102"/>
      <c r="D25" s="102"/>
      <c r="E25" s="102"/>
      <c r="F25" s="102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 spans="1:24" ht="15.75">
      <c r="A26" s="3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>
      <c r="A27" s="12"/>
      <c r="H27" s="23" t="s">
        <v>118</v>
      </c>
      <c r="N27" s="26"/>
      <c r="O27" s="26"/>
      <c r="P27" s="9"/>
      <c r="Q27" s="26"/>
      <c r="R27" s="26"/>
      <c r="S27" s="26"/>
      <c r="T27" s="104"/>
      <c r="U27" s="104"/>
      <c r="V27" s="104"/>
      <c r="W27" s="104"/>
      <c r="X27" s="104"/>
    </row>
    <row r="28" spans="1:24" ht="15.75">
      <c r="B28" s="5"/>
      <c r="J28" s="9"/>
      <c r="M28" s="25"/>
    </row>
    <row r="29" spans="1:24" ht="15.75">
      <c r="H29" s="36" t="s">
        <v>81</v>
      </c>
      <c r="I29" s="60">
        <f>ONSV_AUX_2017!R27</f>
        <v>93933</v>
      </c>
      <c r="J29" s="9"/>
      <c r="K29" s="104" t="s">
        <v>119</v>
      </c>
      <c r="L29" s="104"/>
      <c r="M29" s="9"/>
      <c r="N29" s="26" t="s">
        <v>120</v>
      </c>
      <c r="O29" s="26"/>
      <c r="Q29" s="26" t="s">
        <v>121</v>
      </c>
      <c r="R29" s="26"/>
      <c r="S29" s="26"/>
      <c r="T29" s="25" t="s">
        <v>122</v>
      </c>
      <c r="U29" s="25"/>
      <c r="V29" s="25"/>
      <c r="W29" s="25"/>
      <c r="X29" s="25"/>
    </row>
    <row r="30" spans="1:24" ht="15.75">
      <c r="H30" s="36" t="s">
        <v>84</v>
      </c>
      <c r="I30" s="60">
        <f>ONSV_AUX_2017!R28</f>
        <v>1131047</v>
      </c>
      <c r="J30" s="9"/>
      <c r="K30" s="9"/>
      <c r="L30" s="9"/>
      <c r="M30" s="9"/>
      <c r="N30" s="9"/>
      <c r="O30" s="9"/>
      <c r="P30" s="20"/>
      <c r="Q30" s="11"/>
      <c r="R30" s="11"/>
      <c r="S30" s="11"/>
    </row>
    <row r="31" spans="1:24" ht="15.75">
      <c r="H31" s="36" t="s">
        <v>85</v>
      </c>
      <c r="I31" s="60">
        <f>ONSV_AUX_2017!R29</f>
        <v>222915</v>
      </c>
      <c r="J31" s="9"/>
      <c r="K31" s="2" t="s">
        <v>123</v>
      </c>
      <c r="L31" s="60">
        <f>I38+I41+I42+I47</f>
        <v>1535105</v>
      </c>
      <c r="N31" s="28" t="s">
        <v>124</v>
      </c>
      <c r="O31" s="60">
        <f>J38+J47</f>
        <v>1274924.0722810491</v>
      </c>
      <c r="P31" s="64"/>
      <c r="Q31" s="65" t="s">
        <v>125</v>
      </c>
      <c r="R31" s="60">
        <f>J41+J42</f>
        <v>260032.92771895081</v>
      </c>
      <c r="S31" s="66"/>
      <c r="T31" s="65" t="s">
        <v>126</v>
      </c>
      <c r="U31" s="67">
        <f>O35</f>
        <v>15990.197398213557</v>
      </c>
      <c r="V31" s="48"/>
      <c r="W31" s="65" t="s">
        <v>127</v>
      </c>
      <c r="X31" s="68">
        <f>R37</f>
        <v>27313.063701174353</v>
      </c>
    </row>
    <row r="32" spans="1:24" ht="15.75">
      <c r="H32" s="36" t="s">
        <v>101</v>
      </c>
      <c r="I32" s="60">
        <f>ONSV_AUX_2017!R30</f>
        <v>148</v>
      </c>
      <c r="J32" s="9"/>
      <c r="K32" s="27"/>
      <c r="L32" s="62"/>
      <c r="M32" s="20"/>
      <c r="N32" s="28" t="s">
        <v>128</v>
      </c>
      <c r="O32" s="69">
        <f>J38/O31</f>
        <v>0.98586248193203863</v>
      </c>
      <c r="P32" s="64"/>
      <c r="Q32" s="70" t="s">
        <v>129</v>
      </c>
      <c r="R32" s="63">
        <f>J41/R31</f>
        <v>0.66499780818125187</v>
      </c>
      <c r="S32" s="71"/>
      <c r="T32" s="65" t="s">
        <v>130</v>
      </c>
      <c r="U32" s="67">
        <f>I47-J47</f>
        <v>1.7378928477191948</v>
      </c>
      <c r="V32" s="48"/>
      <c r="W32" s="65" t="s">
        <v>131</v>
      </c>
      <c r="X32" s="68">
        <f>I42-J42</f>
        <v>8.3992691053717863</v>
      </c>
    </row>
    <row r="33" spans="8:24" ht="15.75">
      <c r="H33" s="36" t="s">
        <v>16</v>
      </c>
      <c r="I33" s="60">
        <f>ONSV_AUX_2017!R31</f>
        <v>47226</v>
      </c>
      <c r="J33" s="9"/>
      <c r="K33" s="2" t="s">
        <v>132</v>
      </c>
      <c r="L33" s="63">
        <f>I38/L31</f>
        <v>0.81885017637230029</v>
      </c>
      <c r="M33" s="20"/>
      <c r="N33" s="28" t="s">
        <v>133</v>
      </c>
      <c r="O33" s="69">
        <f>J47/O31</f>
        <v>1.4137518067961418E-2</v>
      </c>
      <c r="P33" s="64"/>
      <c r="Q33" s="70" t="s">
        <v>134</v>
      </c>
      <c r="R33" s="63">
        <f>J42/R31</f>
        <v>0.33500219181874813</v>
      </c>
      <c r="S33" s="71"/>
      <c r="T33" s="65" t="s">
        <v>135</v>
      </c>
      <c r="U33" s="72">
        <f>O37</f>
        <v>2034.0647089387239</v>
      </c>
      <c r="V33" s="73"/>
      <c r="W33" s="65" t="s">
        <v>136</v>
      </c>
      <c r="X33" s="72">
        <f>R40</f>
        <v>59798.537029720275</v>
      </c>
    </row>
    <row r="34" spans="8:24" ht="15.75">
      <c r="H34" s="36" t="s">
        <v>94</v>
      </c>
      <c r="I34" s="60">
        <f>ONSV_AUX_2017!R32</f>
        <v>1304139</v>
      </c>
      <c r="J34" s="10"/>
      <c r="K34" s="2" t="s">
        <v>2</v>
      </c>
      <c r="L34" s="63">
        <f>I41/L31</f>
        <v>0.11265548610681354</v>
      </c>
      <c r="M34" s="20"/>
      <c r="N34" s="20"/>
      <c r="O34" s="74"/>
      <c r="P34" s="48"/>
      <c r="Q34" s="48"/>
      <c r="R34" s="48"/>
      <c r="S34" s="48"/>
      <c r="T34" s="48"/>
      <c r="U34" s="62"/>
      <c r="V34" s="75"/>
      <c r="W34" s="48"/>
      <c r="X34" s="62"/>
    </row>
    <row r="35" spans="8:24" ht="15.75">
      <c r="K35" s="2" t="s">
        <v>3</v>
      </c>
      <c r="L35" s="63">
        <f>I42/L31</f>
        <v>5.6751818279531366E-2</v>
      </c>
      <c r="M35" s="20"/>
      <c r="N35" s="28" t="s">
        <v>137</v>
      </c>
      <c r="O35" s="60">
        <f>IF(O33*I30&gt;J47,J47,O33*I30)</f>
        <v>15990.197398213557</v>
      </c>
      <c r="P35" s="76"/>
      <c r="Q35" s="65" t="s">
        <v>138</v>
      </c>
      <c r="R35" s="60">
        <f>I31-I39-I40-I43-I46</f>
        <v>81531</v>
      </c>
      <c r="S35" s="77"/>
      <c r="T35" s="65" t="s">
        <v>139</v>
      </c>
      <c r="U35" s="67">
        <f>O43</f>
        <v>1115056.8026017866</v>
      </c>
      <c r="V35" s="76"/>
      <c r="W35" s="65" t="s">
        <v>140</v>
      </c>
      <c r="X35" s="67">
        <f>I39</f>
        <v>92019</v>
      </c>
    </row>
    <row r="36" spans="8:24" ht="15.75">
      <c r="H36" s="24" t="s">
        <v>141</v>
      </c>
      <c r="K36" s="2" t="s">
        <v>0</v>
      </c>
      <c r="L36" s="63">
        <f>I47/L31</f>
        <v>1.1742519241354827E-2</v>
      </c>
      <c r="O36" s="48"/>
      <c r="P36" s="76"/>
      <c r="Q36" s="65" t="s">
        <v>142</v>
      </c>
      <c r="R36" s="60">
        <f>R32*R35</f>
        <v>54217.936298825647</v>
      </c>
      <c r="S36" s="48"/>
      <c r="T36" s="65" t="s">
        <v>143</v>
      </c>
      <c r="U36" s="67">
        <f>O41</f>
        <v>93933</v>
      </c>
      <c r="V36" s="66"/>
      <c r="W36" s="65" t="s">
        <v>144</v>
      </c>
      <c r="X36" s="67">
        <f>I40</f>
        <v>11583</v>
      </c>
    </row>
    <row r="37" spans="8:24" ht="15.75">
      <c r="K37" s="11"/>
      <c r="L37" s="11"/>
      <c r="M37" s="11"/>
      <c r="N37" s="28" t="s">
        <v>145</v>
      </c>
      <c r="O37" s="60">
        <f>J47-O35</f>
        <v>2034.0647089387239</v>
      </c>
      <c r="P37" s="76"/>
      <c r="Q37" s="65" t="s">
        <v>127</v>
      </c>
      <c r="R37" s="60">
        <f>R33*R35</f>
        <v>27313.063701174353</v>
      </c>
      <c r="S37" s="48"/>
      <c r="T37" s="65" t="s">
        <v>146</v>
      </c>
      <c r="U37" s="67">
        <f>O42</f>
        <v>47226</v>
      </c>
      <c r="V37" s="71"/>
      <c r="W37" s="48"/>
      <c r="X37" s="62"/>
    </row>
    <row r="38" spans="8:24" ht="15.75">
      <c r="H38" s="37" t="s">
        <v>103</v>
      </c>
      <c r="I38" s="60">
        <f>ONSV_AUX_2017!R56</f>
        <v>1257021</v>
      </c>
      <c r="J38" s="61">
        <f>I38-(L33*I32)</f>
        <v>1256899.8101738968</v>
      </c>
      <c r="K38" s="11"/>
      <c r="L38" s="11"/>
      <c r="M38" s="11"/>
      <c r="O38" s="76"/>
      <c r="P38" s="76"/>
      <c r="Q38" s="48"/>
      <c r="R38" s="78"/>
      <c r="S38" s="48"/>
      <c r="T38" s="65" t="s">
        <v>147</v>
      </c>
      <c r="U38" s="68">
        <f>I38-J38</f>
        <v>121.18982610316016</v>
      </c>
      <c r="V38" s="71"/>
      <c r="W38" s="65" t="s">
        <v>148</v>
      </c>
      <c r="X38" s="67">
        <f>I46</f>
        <v>19365</v>
      </c>
    </row>
    <row r="39" spans="8:24" ht="15.75">
      <c r="H39" s="37" t="s">
        <v>104</v>
      </c>
      <c r="I39" s="60">
        <f>ONSV_AUX_2017!R57</f>
        <v>92019</v>
      </c>
      <c r="J39" s="10">
        <f>I39</f>
        <v>92019</v>
      </c>
      <c r="K39" s="11"/>
      <c r="L39" s="11"/>
      <c r="M39" s="11"/>
      <c r="N39" s="26" t="s">
        <v>149</v>
      </c>
      <c r="O39" s="76"/>
      <c r="P39" s="76"/>
      <c r="Q39" s="65" t="s">
        <v>150</v>
      </c>
      <c r="R39" s="60">
        <f>J41-R36</f>
        <v>118703.39068923054</v>
      </c>
      <c r="S39" s="48"/>
      <c r="T39" s="65" t="s">
        <v>151</v>
      </c>
      <c r="U39" s="72">
        <f>O44</f>
        <v>684.00757211027667</v>
      </c>
      <c r="V39" s="48"/>
      <c r="W39" s="65" t="s">
        <v>152</v>
      </c>
      <c r="X39" s="67">
        <f>I43</f>
        <v>18417</v>
      </c>
    </row>
    <row r="40" spans="8:24" ht="15.75">
      <c r="H40" s="37" t="s">
        <v>105</v>
      </c>
      <c r="I40" s="60">
        <f>ONSV_AUX_2017!R58</f>
        <v>11583</v>
      </c>
      <c r="J40" s="10">
        <f>I40</f>
        <v>11583</v>
      </c>
      <c r="K40" s="11"/>
      <c r="L40" s="11"/>
      <c r="M40" s="11"/>
      <c r="O40" s="73"/>
      <c r="P40" s="76"/>
      <c r="Q40" s="65" t="s">
        <v>136</v>
      </c>
      <c r="R40" s="60">
        <f>J42-R37</f>
        <v>59798.537029720275</v>
      </c>
      <c r="S40" s="48"/>
      <c r="T40" s="48"/>
      <c r="U40" s="62"/>
      <c r="V40" s="77"/>
      <c r="W40" s="48"/>
      <c r="X40" s="62"/>
    </row>
    <row r="41" spans="8:24" ht="15.75">
      <c r="H41" s="37" t="s">
        <v>106</v>
      </c>
      <c r="I41" s="60">
        <f>ONSV_AUX_2017!R59</f>
        <v>172938</v>
      </c>
      <c r="J41" s="61">
        <f>I41-(L34*I32)</f>
        <v>172921.32698805619</v>
      </c>
      <c r="K41" s="11"/>
      <c r="L41" s="11"/>
      <c r="M41" s="11"/>
      <c r="N41" s="28" t="s">
        <v>143</v>
      </c>
      <c r="O41" s="60">
        <f>I29</f>
        <v>93933</v>
      </c>
      <c r="P41" s="76"/>
      <c r="Q41" s="48"/>
      <c r="R41" s="48"/>
      <c r="S41" s="77"/>
      <c r="T41" s="65" t="s">
        <v>142</v>
      </c>
      <c r="U41" s="68">
        <f>R36</f>
        <v>54217.936298825647</v>
      </c>
      <c r="V41" s="48"/>
      <c r="W41" s="65" t="s">
        <v>153</v>
      </c>
      <c r="X41" s="67">
        <f>I44</f>
        <v>991412</v>
      </c>
    </row>
    <row r="42" spans="8:24" ht="15.75">
      <c r="H42" s="37" t="s">
        <v>107</v>
      </c>
      <c r="I42" s="60">
        <f>ONSV_AUX_2017!R60</f>
        <v>87120</v>
      </c>
      <c r="J42" s="61">
        <f>I42-(L35*I32)</f>
        <v>87111.600730894628</v>
      </c>
      <c r="K42" s="11"/>
      <c r="L42" s="11"/>
      <c r="M42" s="11"/>
      <c r="N42" s="28" t="s">
        <v>146</v>
      </c>
      <c r="O42" s="60">
        <f>I33</f>
        <v>47226</v>
      </c>
      <c r="P42" s="76"/>
      <c r="Q42" s="48"/>
      <c r="R42" s="48"/>
      <c r="S42" s="48"/>
      <c r="T42" s="65" t="s">
        <v>154</v>
      </c>
      <c r="U42" s="68">
        <f>I41-J41</f>
        <v>16.673011943814345</v>
      </c>
      <c r="V42" s="48"/>
      <c r="W42" s="65" t="s">
        <v>155</v>
      </c>
      <c r="X42" s="67">
        <f>I45</f>
        <v>101588</v>
      </c>
    </row>
    <row r="43" spans="8:24" ht="15.75">
      <c r="H43" s="37" t="s">
        <v>108</v>
      </c>
      <c r="I43" s="60">
        <f>ONSV_AUX_2017!R61</f>
        <v>18417</v>
      </c>
      <c r="J43" s="10">
        <f>I43</f>
        <v>18417</v>
      </c>
      <c r="K43" s="11"/>
      <c r="L43" s="11"/>
      <c r="M43" s="11"/>
      <c r="N43" s="28" t="s">
        <v>139</v>
      </c>
      <c r="O43" s="60">
        <f>IF(OR((O32*I30&gt;J38),((O41+O42+(O32*I30))&gt;J38)),(J38-O41-O42),(O32*I30))</f>
        <v>1115056.8026017866</v>
      </c>
      <c r="P43" s="76"/>
      <c r="Q43" s="48"/>
      <c r="R43" s="78"/>
      <c r="S43" s="48"/>
      <c r="T43" s="65" t="s">
        <v>150</v>
      </c>
      <c r="U43" s="72">
        <f>R39</f>
        <v>118703.39068923054</v>
      </c>
      <c r="V43" s="48"/>
      <c r="W43" s="48"/>
      <c r="X43" s="48"/>
    </row>
    <row r="44" spans="8:24" ht="15.75">
      <c r="H44" s="37" t="s">
        <v>109</v>
      </c>
      <c r="I44" s="60">
        <f>ONSV_AUX_2017!R62</f>
        <v>991412</v>
      </c>
      <c r="J44" s="10">
        <f>I44</f>
        <v>991412</v>
      </c>
      <c r="K44" s="11"/>
      <c r="L44" s="11"/>
      <c r="M44" s="11"/>
      <c r="N44" s="28" t="s">
        <v>151</v>
      </c>
      <c r="O44" s="60">
        <f>IF((J38-O41-O43-O42)&lt;0,0,(J38-O41-O43-O42))</f>
        <v>684.00757211027667</v>
      </c>
      <c r="P44" s="48"/>
      <c r="Q44" s="48"/>
      <c r="R44" s="48"/>
      <c r="S44" s="48"/>
      <c r="T44" s="48"/>
      <c r="U44" s="62"/>
      <c r="V44" s="48"/>
      <c r="W44" s="48"/>
      <c r="X44" s="48"/>
    </row>
    <row r="45" spans="8:24" ht="15.75">
      <c r="H45" s="37" t="s">
        <v>110</v>
      </c>
      <c r="I45" s="60">
        <f>ONSV_AUX_2017!R63</f>
        <v>101588</v>
      </c>
      <c r="J45" s="10">
        <f>I45</f>
        <v>101588</v>
      </c>
      <c r="K45" s="11"/>
      <c r="L45" s="11"/>
      <c r="M45" s="11"/>
      <c r="O45" s="48"/>
      <c r="P45" s="76"/>
      <c r="Q45" s="48"/>
      <c r="R45" s="48"/>
      <c r="S45" s="48"/>
      <c r="T45" s="79" t="s">
        <v>156</v>
      </c>
      <c r="U45" s="80">
        <f>(SUM(U31:U43,X31:X42)/SUM(I38:I47))-1</f>
        <v>0</v>
      </c>
      <c r="V45" s="48"/>
      <c r="W45" s="79" t="s">
        <v>10</v>
      </c>
      <c r="X45" s="67">
        <f>SUM(U31:U43,X31:X42)</f>
        <v>2769489</v>
      </c>
    </row>
    <row r="46" spans="8:24" ht="15.75">
      <c r="H46" s="37" t="s">
        <v>111</v>
      </c>
      <c r="I46" s="60">
        <f>ONSV_AUX_2017!R64</f>
        <v>19365</v>
      </c>
      <c r="J46" s="10">
        <f>I46</f>
        <v>19365</v>
      </c>
      <c r="K46" s="11"/>
      <c r="L46" s="11"/>
      <c r="M46" s="11"/>
      <c r="O46" s="48"/>
      <c r="P46" s="76"/>
      <c r="Q46" s="48"/>
      <c r="R46" s="48"/>
      <c r="S46" s="48"/>
      <c r="T46" s="48"/>
      <c r="U46" s="48"/>
      <c r="V46" s="48"/>
      <c r="W46" s="48"/>
      <c r="X46" s="48"/>
    </row>
    <row r="47" spans="8:24" ht="15.75">
      <c r="H47" s="37" t="s">
        <v>112</v>
      </c>
      <c r="I47" s="60">
        <f>ONSV_AUX_2017!R65</f>
        <v>18026</v>
      </c>
      <c r="J47" s="61">
        <f>I47-(L36*I32)</f>
        <v>18024.262107152281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39"/>
      <c r="I48" s="40"/>
      <c r="J48" s="40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4" customFormat="1" ht="15.75">
      <c r="A50" s="101" t="str">
        <f>"PERNAMBUCO/"&amp;ONSV_AUX_2016!A1&amp;""</f>
        <v>PERNAMBUCO/2016</v>
      </c>
      <c r="B50" s="102"/>
      <c r="C50" s="102"/>
      <c r="D50" s="102"/>
      <c r="E50" s="102"/>
      <c r="F50" s="102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</row>
    <row r="52" spans="1:24" ht="15.75">
      <c r="H52" s="23" t="s">
        <v>118</v>
      </c>
      <c r="N52" s="26"/>
      <c r="O52" s="26"/>
      <c r="P52" s="9"/>
      <c r="Q52" s="26"/>
      <c r="R52" s="26"/>
      <c r="S52" s="26"/>
      <c r="T52" s="104"/>
      <c r="U52" s="104"/>
      <c r="V52" s="104"/>
      <c r="W52" s="104"/>
      <c r="X52" s="104"/>
    </row>
    <row r="53" spans="1:24" ht="15.75">
      <c r="J53" s="9"/>
      <c r="M53" s="25"/>
      <c r="N53" s="9"/>
      <c r="O53" s="9"/>
      <c r="P53" s="9"/>
      <c r="Q53" s="11"/>
      <c r="R53" s="11"/>
      <c r="S53" s="11"/>
    </row>
    <row r="54" spans="1:24" ht="15.75">
      <c r="H54" s="36" t="s">
        <v>81</v>
      </c>
      <c r="I54" s="60">
        <f>ONSV_AUX_2016!R27</f>
        <v>93915</v>
      </c>
      <c r="J54" s="9"/>
      <c r="K54" s="104" t="s">
        <v>119</v>
      </c>
      <c r="L54" s="104"/>
      <c r="M54" s="9"/>
      <c r="N54" s="26" t="s">
        <v>120</v>
      </c>
      <c r="O54" s="26"/>
      <c r="Q54" s="26" t="s">
        <v>121</v>
      </c>
      <c r="R54" s="26"/>
      <c r="S54" s="26"/>
      <c r="T54" s="25" t="s">
        <v>122</v>
      </c>
      <c r="U54" s="25"/>
      <c r="V54" s="25"/>
      <c r="W54" s="25"/>
      <c r="X54" s="25"/>
    </row>
    <row r="55" spans="1:24" ht="15.75">
      <c r="H55" s="36" t="s">
        <v>84</v>
      </c>
      <c r="I55" s="60">
        <f>ONSV_AUX_2016!R28</f>
        <v>1068772</v>
      </c>
      <c r="J55" s="9"/>
      <c r="K55" s="9"/>
      <c r="L55" s="9"/>
      <c r="M55" s="9"/>
      <c r="N55" s="9"/>
      <c r="O55" s="9"/>
      <c r="P55" s="20"/>
      <c r="Q55" s="11"/>
      <c r="R55" s="11"/>
      <c r="S55" s="11"/>
    </row>
    <row r="56" spans="1:24" ht="15.75">
      <c r="H56" s="36" t="s">
        <v>85</v>
      </c>
      <c r="I56" s="60">
        <f>ONSV_AUX_2016!R29</f>
        <v>218390</v>
      </c>
      <c r="J56" s="9"/>
      <c r="K56" s="2" t="s">
        <v>123</v>
      </c>
      <c r="L56" s="60">
        <f>I63+I66+I67+I72</f>
        <v>1489974</v>
      </c>
      <c r="N56" s="28" t="s">
        <v>124</v>
      </c>
      <c r="O56" s="60">
        <f>J63+J72</f>
        <v>1238589.9008492765</v>
      </c>
      <c r="P56" s="64"/>
      <c r="Q56" s="65" t="s">
        <v>125</v>
      </c>
      <c r="R56" s="60">
        <f>J66+J67</f>
        <v>251266.09915072343</v>
      </c>
      <c r="S56" s="66"/>
      <c r="T56" s="65" t="s">
        <v>126</v>
      </c>
      <c r="U56" s="67">
        <f>O60</f>
        <v>14205.564442377743</v>
      </c>
      <c r="V56" s="48"/>
      <c r="W56" s="65" t="s">
        <v>127</v>
      </c>
      <c r="X56" s="68">
        <f>R62</f>
        <v>26412.949177431296</v>
      </c>
    </row>
    <row r="57" spans="1:24" ht="15.75">
      <c r="H57" s="36" t="s">
        <v>101</v>
      </c>
      <c r="I57" s="60">
        <f>ONSV_AUX_2016!R30</f>
        <v>118</v>
      </c>
      <c r="J57" s="9"/>
      <c r="K57" s="27"/>
      <c r="L57" s="62"/>
      <c r="M57" s="20"/>
      <c r="N57" s="28" t="s">
        <v>128</v>
      </c>
      <c r="O57" s="69">
        <f>J63/O56</f>
        <v>0.98670851739905452</v>
      </c>
      <c r="P57" s="64"/>
      <c r="Q57" s="70" t="s">
        <v>129</v>
      </c>
      <c r="R57" s="63">
        <f>J66/R56</f>
        <v>0.66484006271738172</v>
      </c>
      <c r="S57" s="71"/>
      <c r="T57" s="65" t="s">
        <v>130</v>
      </c>
      <c r="U57" s="67">
        <f>I72-J72</f>
        <v>1.3038831550074974</v>
      </c>
      <c r="V57" s="48"/>
      <c r="W57" s="65" t="s">
        <v>131</v>
      </c>
      <c r="X57" s="68">
        <f>I67-J67</f>
        <v>6.6699673953989986</v>
      </c>
    </row>
    <row r="58" spans="1:24" ht="15.75">
      <c r="H58" s="36" t="s">
        <v>16</v>
      </c>
      <c r="I58" s="60">
        <f>ONSV_AUX_2016!R31</f>
        <v>45673</v>
      </c>
      <c r="J58" s="9"/>
      <c r="K58" s="2" t="s">
        <v>132</v>
      </c>
      <c r="L58" s="63">
        <f>I63/L56</f>
        <v>0.82029887769853704</v>
      </c>
      <c r="M58" s="20"/>
      <c r="N58" s="28" t="s">
        <v>133</v>
      </c>
      <c r="O58" s="69">
        <f>J72/O56</f>
        <v>1.3291482600945518E-2</v>
      </c>
      <c r="P58" s="64"/>
      <c r="Q58" s="70" t="s">
        <v>134</v>
      </c>
      <c r="R58" s="63">
        <f>J67/R56</f>
        <v>0.33515993728261823</v>
      </c>
      <c r="S58" s="71"/>
      <c r="T58" s="65" t="s">
        <v>135</v>
      </c>
      <c r="U58" s="72">
        <f>O62</f>
        <v>2257.1316744672495</v>
      </c>
      <c r="V58" s="73"/>
      <c r="W58" s="65" t="s">
        <v>136</v>
      </c>
      <c r="X58" s="72">
        <f>R65</f>
        <v>57801.380855173309</v>
      </c>
    </row>
    <row r="59" spans="1:24" ht="15.75">
      <c r="H59" s="36" t="s">
        <v>94</v>
      </c>
      <c r="I59" s="60">
        <f>ONSV_AUX_2016!R32</f>
        <v>1288854</v>
      </c>
      <c r="J59" s="10"/>
      <c r="K59" s="2" t="s">
        <v>2</v>
      </c>
      <c r="L59" s="63">
        <f>I66/L56</f>
        <v>0.11212611763695206</v>
      </c>
      <c r="M59" s="20"/>
      <c r="N59" s="20"/>
      <c r="O59" s="74"/>
      <c r="P59" s="48"/>
      <c r="Q59" s="48"/>
      <c r="R59" s="48"/>
      <c r="S59" s="48"/>
      <c r="T59" s="48"/>
      <c r="U59" s="62"/>
      <c r="V59" s="75"/>
      <c r="W59" s="48"/>
      <c r="X59" s="62"/>
    </row>
    <row r="60" spans="1:24" ht="15.75">
      <c r="K60" s="2" t="s">
        <v>3</v>
      </c>
      <c r="L60" s="63">
        <f>I67/L56</f>
        <v>5.652514741867979E-2</v>
      </c>
      <c r="M60" s="20"/>
      <c r="N60" s="28" t="s">
        <v>137</v>
      </c>
      <c r="O60" s="60">
        <f>IF(O58*I55&gt;J72,J72,O58*I55)</f>
        <v>14205.564442377743</v>
      </c>
      <c r="P60" s="76"/>
      <c r="Q60" s="65" t="s">
        <v>138</v>
      </c>
      <c r="R60" s="60">
        <f>I56-I64-I65-I68-I71</f>
        <v>78807</v>
      </c>
      <c r="S60" s="77"/>
      <c r="T60" s="65" t="s">
        <v>139</v>
      </c>
      <c r="U60" s="67">
        <f>O68</f>
        <v>1054566.4355576222</v>
      </c>
      <c r="V60" s="76"/>
      <c r="W60" s="65" t="s">
        <v>140</v>
      </c>
      <c r="X60" s="67">
        <f>I64</f>
        <v>91236</v>
      </c>
    </row>
    <row r="61" spans="1:24" ht="15.75">
      <c r="H61" s="24" t="s">
        <v>141</v>
      </c>
      <c r="K61" s="2" t="s">
        <v>0</v>
      </c>
      <c r="L61" s="63">
        <f>I72/L56</f>
        <v>1.1049857245831135E-2</v>
      </c>
      <c r="O61" s="48"/>
      <c r="P61" s="76"/>
      <c r="Q61" s="65" t="s">
        <v>142</v>
      </c>
      <c r="R61" s="60">
        <f>R57*R60</f>
        <v>52394.050822568701</v>
      </c>
      <c r="S61" s="48"/>
      <c r="T61" s="65" t="s">
        <v>143</v>
      </c>
      <c r="U61" s="67">
        <f>O66</f>
        <v>93915</v>
      </c>
      <c r="V61" s="66"/>
      <c r="W61" s="65" t="s">
        <v>144</v>
      </c>
      <c r="X61" s="67">
        <f>I65</f>
        <v>11283</v>
      </c>
    </row>
    <row r="62" spans="1:24" ht="15.75">
      <c r="K62" s="11"/>
      <c r="L62" s="11"/>
      <c r="M62" s="11"/>
      <c r="N62" s="28" t="s">
        <v>145</v>
      </c>
      <c r="O62" s="60">
        <f>J72-O60</f>
        <v>2257.1316744672495</v>
      </c>
      <c r="P62" s="76"/>
      <c r="Q62" s="65" t="s">
        <v>127</v>
      </c>
      <c r="R62" s="60">
        <f>R58*R60</f>
        <v>26412.949177431296</v>
      </c>
      <c r="S62" s="48"/>
      <c r="T62" s="65" t="s">
        <v>146</v>
      </c>
      <c r="U62" s="67">
        <f>O67</f>
        <v>45673</v>
      </c>
      <c r="V62" s="71"/>
      <c r="W62" s="48"/>
      <c r="X62" s="62"/>
    </row>
    <row r="63" spans="1:24" ht="15.75">
      <c r="H63" s="37" t="s">
        <v>103</v>
      </c>
      <c r="I63" s="60">
        <f>ONSV_AUX_2016!R56</f>
        <v>1222224</v>
      </c>
      <c r="J63" s="61">
        <f>I63-(L58*I57)</f>
        <v>1222127.2047324316</v>
      </c>
      <c r="K63" s="11"/>
      <c r="L63" s="11"/>
      <c r="M63" s="11"/>
      <c r="O63" s="76"/>
      <c r="P63" s="76"/>
      <c r="Q63" s="48"/>
      <c r="R63" s="78"/>
      <c r="S63" s="48"/>
      <c r="T63" s="65" t="s">
        <v>147</v>
      </c>
      <c r="U63" s="68">
        <f>I63-J63</f>
        <v>96.79526756843552</v>
      </c>
      <c r="V63" s="71"/>
      <c r="W63" s="65" t="s">
        <v>148</v>
      </c>
      <c r="X63" s="67">
        <f>I71</f>
        <v>19052</v>
      </c>
    </row>
    <row r="64" spans="1:24" ht="15.75">
      <c r="H64" s="37" t="s">
        <v>104</v>
      </c>
      <c r="I64" s="60">
        <f>ONSV_AUX_2016!R57</f>
        <v>91236</v>
      </c>
      <c r="J64" s="10">
        <f>I64</f>
        <v>91236</v>
      </c>
      <c r="K64" s="11"/>
      <c r="L64" s="11"/>
      <c r="M64" s="11"/>
      <c r="N64" s="26" t="s">
        <v>149</v>
      </c>
      <c r="O64" s="76"/>
      <c r="P64" s="76"/>
      <c r="Q64" s="65" t="s">
        <v>150</v>
      </c>
      <c r="R64" s="60">
        <f>J66-R61</f>
        <v>114657.71829555012</v>
      </c>
      <c r="S64" s="48"/>
      <c r="T64" s="65" t="s">
        <v>151</v>
      </c>
      <c r="U64" s="72">
        <f>O69</f>
        <v>27972.769174809335</v>
      </c>
      <c r="V64" s="48"/>
      <c r="W64" s="65" t="s">
        <v>152</v>
      </c>
      <c r="X64" s="67">
        <f>I68</f>
        <v>18012</v>
      </c>
    </row>
    <row r="65" spans="1:24" ht="15.75">
      <c r="H65" s="37" t="s">
        <v>105</v>
      </c>
      <c r="I65" s="60">
        <f>ONSV_AUX_2016!R58</f>
        <v>11283</v>
      </c>
      <c r="J65" s="10">
        <f>I65</f>
        <v>11283</v>
      </c>
      <c r="K65" s="11"/>
      <c r="L65" s="11"/>
      <c r="M65" s="11"/>
      <c r="O65" s="73"/>
      <c r="P65" s="76"/>
      <c r="Q65" s="65" t="s">
        <v>136</v>
      </c>
      <c r="R65" s="60">
        <f>J67-R62</f>
        <v>57801.380855173309</v>
      </c>
      <c r="S65" s="48"/>
      <c r="T65" s="48"/>
      <c r="U65" s="62"/>
      <c r="V65" s="77"/>
      <c r="W65" s="48"/>
      <c r="X65" s="62"/>
    </row>
    <row r="66" spans="1:24" ht="15.75">
      <c r="H66" s="37" t="s">
        <v>106</v>
      </c>
      <c r="I66" s="60">
        <f>ONSV_AUX_2016!R59</f>
        <v>167065</v>
      </c>
      <c r="J66" s="61">
        <f>I66-(L59*I57)</f>
        <v>167051.76911811883</v>
      </c>
      <c r="K66" s="11"/>
      <c r="L66" s="11"/>
      <c r="M66" s="11"/>
      <c r="N66" s="28" t="s">
        <v>143</v>
      </c>
      <c r="O66" s="60">
        <f>I54</f>
        <v>93915</v>
      </c>
      <c r="P66" s="76"/>
      <c r="Q66" s="48"/>
      <c r="R66" s="48"/>
      <c r="S66" s="77"/>
      <c r="T66" s="65" t="s">
        <v>142</v>
      </c>
      <c r="U66" s="68">
        <f>R61</f>
        <v>52394.050822568701</v>
      </c>
      <c r="V66" s="48"/>
      <c r="W66" s="65" t="s">
        <v>153</v>
      </c>
      <c r="X66" s="67">
        <f>I69</f>
        <v>960406</v>
      </c>
    </row>
    <row r="67" spans="1:24" ht="15.75">
      <c r="H67" s="37" t="s">
        <v>107</v>
      </c>
      <c r="I67" s="60">
        <f>ONSV_AUX_2016!R60</f>
        <v>84221</v>
      </c>
      <c r="J67" s="61">
        <f>I67-(L60*I57)</f>
        <v>84214.330032604601</v>
      </c>
      <c r="K67" s="11"/>
      <c r="L67" s="11"/>
      <c r="M67" s="11"/>
      <c r="N67" s="28" t="s">
        <v>146</v>
      </c>
      <c r="O67" s="60">
        <f>I58</f>
        <v>45673</v>
      </c>
      <c r="P67" s="76"/>
      <c r="Q67" s="48"/>
      <c r="R67" s="48"/>
      <c r="S67" s="48"/>
      <c r="T67" s="65" t="s">
        <v>154</v>
      </c>
      <c r="U67" s="68">
        <f>I66-J66</f>
        <v>13.230881881172536</v>
      </c>
      <c r="V67" s="48"/>
      <c r="W67" s="65" t="s">
        <v>155</v>
      </c>
      <c r="X67" s="67">
        <f>I70</f>
        <v>98090</v>
      </c>
    </row>
    <row r="68" spans="1:24" ht="15.75">
      <c r="H68" s="37" t="s">
        <v>108</v>
      </c>
      <c r="I68" s="60">
        <f>ONSV_AUX_2016!R61</f>
        <v>18012</v>
      </c>
      <c r="J68" s="10">
        <f>I68</f>
        <v>18012</v>
      </c>
      <c r="K68" s="11"/>
      <c r="L68" s="11"/>
      <c r="M68" s="11"/>
      <c r="N68" s="28" t="s">
        <v>139</v>
      </c>
      <c r="O68" s="60">
        <f>IF(OR((O57*I55&gt;J63),((O66+O67+(O57*I55))&gt;J63)),(J63-O66-O67),(O57*I55))</f>
        <v>1054566.4355576222</v>
      </c>
      <c r="P68" s="76"/>
      <c r="Q68" s="48"/>
      <c r="R68" s="78"/>
      <c r="S68" s="48"/>
      <c r="T68" s="65" t="s">
        <v>150</v>
      </c>
      <c r="U68" s="72">
        <f>R64</f>
        <v>114657.71829555012</v>
      </c>
      <c r="V68" s="48"/>
      <c r="W68" s="48"/>
      <c r="X68" s="48"/>
    </row>
    <row r="69" spans="1:24" ht="15.75">
      <c r="H69" s="37" t="s">
        <v>109</v>
      </c>
      <c r="I69" s="60">
        <f>ONSV_AUX_2016!R62</f>
        <v>960406</v>
      </c>
      <c r="J69" s="10">
        <f>I69</f>
        <v>960406</v>
      </c>
      <c r="K69" s="11"/>
      <c r="L69" s="11"/>
      <c r="M69" s="11"/>
      <c r="N69" s="28" t="s">
        <v>151</v>
      </c>
      <c r="O69" s="60">
        <f>IF((J63-O66-O68-O67)&lt;0,0,(J63-O66-O68-O67))</f>
        <v>27972.769174809335</v>
      </c>
      <c r="P69" s="48"/>
      <c r="Q69" s="48"/>
      <c r="R69" s="48"/>
      <c r="S69" s="48"/>
      <c r="T69" s="48"/>
      <c r="U69" s="62"/>
      <c r="V69" s="48"/>
      <c r="W69" s="48"/>
      <c r="X69" s="48"/>
    </row>
    <row r="70" spans="1:24" ht="15.75">
      <c r="H70" s="37" t="s">
        <v>110</v>
      </c>
      <c r="I70" s="60">
        <f>ONSV_AUX_2016!R63</f>
        <v>98090</v>
      </c>
      <c r="J70" s="10">
        <f>I70</f>
        <v>98090</v>
      </c>
      <c r="K70" s="11"/>
      <c r="L70" s="11"/>
      <c r="M70" s="11"/>
      <c r="O70" s="48"/>
      <c r="P70" s="76"/>
      <c r="Q70" s="48"/>
      <c r="R70" s="48"/>
      <c r="S70" s="48"/>
      <c r="T70" s="79" t="s">
        <v>156</v>
      </c>
      <c r="U70" s="80">
        <f>(SUM(U56:U68,X56:X67)/SUM(I63:I72))-1</f>
        <v>0</v>
      </c>
      <c r="V70" s="48"/>
      <c r="W70" s="79" t="s">
        <v>10</v>
      </c>
      <c r="X70" s="67">
        <f>SUM(U56:U68,X56:X67)</f>
        <v>2688053</v>
      </c>
    </row>
    <row r="71" spans="1:24" ht="15.75">
      <c r="H71" s="37" t="s">
        <v>111</v>
      </c>
      <c r="I71" s="60">
        <f>ONSV_AUX_2016!R64</f>
        <v>19052</v>
      </c>
      <c r="J71" s="10">
        <f>I71</f>
        <v>19052</v>
      </c>
      <c r="K71" s="11"/>
      <c r="L71" s="11"/>
      <c r="M71" s="11"/>
      <c r="O71" s="48"/>
      <c r="P71" s="76"/>
      <c r="Q71" s="48"/>
      <c r="R71" s="48"/>
      <c r="S71" s="48"/>
      <c r="T71" s="48"/>
      <c r="U71" s="48"/>
      <c r="V71" s="48"/>
      <c r="W71" s="48"/>
      <c r="X71" s="48"/>
    </row>
    <row r="72" spans="1:24" ht="15.75">
      <c r="H72" s="37" t="s">
        <v>112</v>
      </c>
      <c r="I72" s="60">
        <f>ONSV_AUX_2016!R65</f>
        <v>16464</v>
      </c>
      <c r="J72" s="61">
        <f>I72-(L61*I57)</f>
        <v>16462.696116844993</v>
      </c>
      <c r="K72" s="12"/>
      <c r="L72" s="12"/>
      <c r="M72" s="12"/>
      <c r="N72" s="12"/>
      <c r="O72" s="12"/>
      <c r="P72" s="12"/>
      <c r="Q72" s="4"/>
      <c r="R72" s="4"/>
    </row>
    <row r="75" spans="1:24" s="34" customFormat="1" ht="15.75">
      <c r="A75" s="101" t="str">
        <f>"PERNAMBUCO/"&amp;ONSV_AUX_2015!A1&amp;""</f>
        <v>PERNAMBUCO/2015</v>
      </c>
      <c r="B75" s="102"/>
      <c r="C75" s="102"/>
      <c r="D75" s="102"/>
      <c r="E75" s="102"/>
      <c r="F75" s="102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 spans="1:24"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>
      <c r="H77" s="23" t="s">
        <v>118</v>
      </c>
      <c r="P77" s="9"/>
    </row>
    <row r="78" spans="1:24" ht="15.75">
      <c r="J78" s="9"/>
      <c r="M78" s="25"/>
      <c r="P78" s="9"/>
    </row>
    <row r="79" spans="1:24" ht="15.75">
      <c r="H79" s="36" t="s">
        <v>81</v>
      </c>
      <c r="I79" s="60">
        <f>ONSV_AUX_2015!R27</f>
        <v>93907</v>
      </c>
      <c r="J79" s="9"/>
      <c r="K79" s="104" t="s">
        <v>119</v>
      </c>
      <c r="L79" s="104"/>
      <c r="M79" s="9"/>
      <c r="N79" s="26" t="s">
        <v>120</v>
      </c>
      <c r="O79" s="26"/>
      <c r="Q79" s="26" t="s">
        <v>121</v>
      </c>
      <c r="R79" s="26"/>
      <c r="S79" s="26"/>
      <c r="T79" s="25" t="s">
        <v>122</v>
      </c>
      <c r="U79" s="25"/>
      <c r="V79" s="25"/>
      <c r="W79" s="25"/>
      <c r="X79" s="25"/>
    </row>
    <row r="80" spans="1:24" ht="15.75">
      <c r="H80" s="36" t="s">
        <v>84</v>
      </c>
      <c r="I80" s="60">
        <f>ONSV_AUX_2015!R28</f>
        <v>989939</v>
      </c>
      <c r="J80" s="9"/>
      <c r="K80" s="9"/>
      <c r="L80" s="9"/>
      <c r="M80" s="9"/>
      <c r="N80" s="9"/>
      <c r="O80" s="9"/>
      <c r="P80" s="20"/>
      <c r="Q80" s="11"/>
      <c r="R80" s="11"/>
      <c r="S80" s="11"/>
    </row>
    <row r="81" spans="8:24" ht="15.75">
      <c r="H81" s="36" t="s">
        <v>85</v>
      </c>
      <c r="I81" s="60">
        <f>ONSV_AUX_2015!R29</f>
        <v>212702</v>
      </c>
      <c r="J81" s="9"/>
      <c r="K81" s="2" t="s">
        <v>123</v>
      </c>
      <c r="L81" s="60">
        <f>I88+I91+I92+I97</f>
        <v>1357099</v>
      </c>
      <c r="N81" s="28" t="s">
        <v>124</v>
      </c>
      <c r="O81" s="60">
        <f>J88+J97</f>
        <v>1132669.0185461782</v>
      </c>
      <c r="P81" s="64"/>
      <c r="Q81" s="65" t="s">
        <v>125</v>
      </c>
      <c r="R81" s="60">
        <f>J91+J92</f>
        <v>224320.9814538217</v>
      </c>
      <c r="S81" s="66"/>
      <c r="T81" s="65" t="s">
        <v>126</v>
      </c>
      <c r="U81" s="67">
        <f>O85</f>
        <v>11199.255168791271</v>
      </c>
      <c r="V81" s="48"/>
      <c r="W81" s="65" t="s">
        <v>127</v>
      </c>
      <c r="X81" s="68">
        <f>R87</f>
        <v>27956.372209022949</v>
      </c>
    </row>
    <row r="82" spans="8:24" ht="15.75">
      <c r="H82" s="36" t="s">
        <v>101</v>
      </c>
      <c r="I82" s="60">
        <f>ONSV_AUX_2015!R30</f>
        <v>109</v>
      </c>
      <c r="J82" s="9"/>
      <c r="K82" s="27"/>
      <c r="L82" s="62"/>
      <c r="M82" s="20"/>
      <c r="N82" s="28" t="s">
        <v>128</v>
      </c>
      <c r="O82" s="69">
        <f>J88/O81</f>
        <v>0.98868692397330427</v>
      </c>
      <c r="P82" s="64"/>
      <c r="Q82" s="70" t="s">
        <v>129</v>
      </c>
      <c r="R82" s="63">
        <f>J91/R81</f>
        <v>0.66120469468081788</v>
      </c>
      <c r="S82" s="71"/>
      <c r="T82" s="65" t="s">
        <v>130</v>
      </c>
      <c r="U82" s="67">
        <f>I97-J97</f>
        <v>1.0292801041050552</v>
      </c>
      <c r="V82" s="48"/>
      <c r="W82" s="65" t="s">
        <v>131</v>
      </c>
      <c r="X82" s="68">
        <f>I92-J92</f>
        <v>6.104598853882635</v>
      </c>
    </row>
    <row r="83" spans="8:24" ht="15.75">
      <c r="H83" s="36" t="s">
        <v>16</v>
      </c>
      <c r="I83" s="60">
        <f>ONSV_AUX_2015!R31</f>
        <v>44996</v>
      </c>
      <c r="J83" s="9"/>
      <c r="K83" s="2" t="s">
        <v>132</v>
      </c>
      <c r="L83" s="63">
        <f>I88/L81</f>
        <v>0.8252493001615947</v>
      </c>
      <c r="M83" s="20"/>
      <c r="N83" s="28" t="s">
        <v>133</v>
      </c>
      <c r="O83" s="69">
        <f>J97/O81</f>
        <v>1.1313076026695857E-2</v>
      </c>
      <c r="P83" s="64"/>
      <c r="Q83" s="70" t="s">
        <v>134</v>
      </c>
      <c r="R83" s="63">
        <f>J92/R81</f>
        <v>0.33879530531918212</v>
      </c>
      <c r="S83" s="71"/>
      <c r="T83" s="65" t="s">
        <v>135</v>
      </c>
      <c r="U83" s="72">
        <f>O87</f>
        <v>1614.715551104624</v>
      </c>
      <c r="V83" s="73"/>
      <c r="W83" s="65" t="s">
        <v>136</v>
      </c>
      <c r="X83" s="72">
        <f>R90</f>
        <v>48042.523192123168</v>
      </c>
    </row>
    <row r="84" spans="8:24" ht="15.75">
      <c r="H84" s="36" t="s">
        <v>94</v>
      </c>
      <c r="I84" s="60">
        <f>ONSV_AUX_2015!R32</f>
        <v>1244830</v>
      </c>
      <c r="J84" s="10"/>
      <c r="K84" s="2" t="s">
        <v>2</v>
      </c>
      <c r="L84" s="63">
        <f>I91/L81</f>
        <v>0.10930226903122027</v>
      </c>
      <c r="M84" s="20"/>
      <c r="N84" s="20"/>
      <c r="O84" s="74"/>
      <c r="P84" s="48"/>
      <c r="Q84" s="48"/>
      <c r="R84" s="48"/>
      <c r="S84" s="48"/>
      <c r="T84" s="48"/>
      <c r="U84" s="62"/>
      <c r="V84" s="75"/>
      <c r="W84" s="48"/>
      <c r="X84" s="62"/>
    </row>
    <row r="85" spans="8:24" ht="15.75">
      <c r="K85" s="2" t="s">
        <v>3</v>
      </c>
      <c r="L85" s="63">
        <f>I92/L81</f>
        <v>5.6005494072282128E-2</v>
      </c>
      <c r="M85" s="20"/>
      <c r="N85" s="28" t="s">
        <v>137</v>
      </c>
      <c r="O85" s="60">
        <f>IF(O83*I80&gt;J97,J97,O83*I80)</f>
        <v>11199.255168791271</v>
      </c>
      <c r="P85" s="76"/>
      <c r="Q85" s="65" t="s">
        <v>138</v>
      </c>
      <c r="R85" s="60">
        <f>I81-I89-I90-I93-I96</f>
        <v>82517</v>
      </c>
      <c r="S85" s="77"/>
      <c r="T85" s="65" t="s">
        <v>139</v>
      </c>
      <c r="U85" s="67">
        <f>O93</f>
        <v>978739.74483120884</v>
      </c>
      <c r="V85" s="76"/>
      <c r="W85" s="65" t="s">
        <v>140</v>
      </c>
      <c r="X85" s="67">
        <f>I89</f>
        <v>85587</v>
      </c>
    </row>
    <row r="86" spans="8:24" ht="15.75">
      <c r="H86" s="24" t="s">
        <v>141</v>
      </c>
      <c r="K86" s="2" t="s">
        <v>0</v>
      </c>
      <c r="L86" s="63">
        <f>I97/L81</f>
        <v>9.4429367349029066E-3</v>
      </c>
      <c r="O86" s="48"/>
      <c r="P86" s="76"/>
      <c r="Q86" s="65" t="s">
        <v>142</v>
      </c>
      <c r="R86" s="60">
        <f>R82*R85</f>
        <v>54560.627790977051</v>
      </c>
      <c r="S86" s="48"/>
      <c r="T86" s="65" t="s">
        <v>143</v>
      </c>
      <c r="U86" s="67">
        <f>O91</f>
        <v>93907</v>
      </c>
      <c r="V86" s="66"/>
      <c r="W86" s="65" t="s">
        <v>144</v>
      </c>
      <c r="X86" s="67">
        <f>I90</f>
        <v>10370</v>
      </c>
    </row>
    <row r="87" spans="8:24" ht="15.75">
      <c r="K87" s="11"/>
      <c r="L87" s="11"/>
      <c r="M87" s="11"/>
      <c r="N87" s="28" t="s">
        <v>145</v>
      </c>
      <c r="O87" s="60">
        <f>J97-O85</f>
        <v>1614.715551104624</v>
      </c>
      <c r="P87" s="76"/>
      <c r="Q87" s="65" t="s">
        <v>127</v>
      </c>
      <c r="R87" s="60">
        <f>R83*R85</f>
        <v>27956.372209022949</v>
      </c>
      <c r="S87" s="48"/>
      <c r="T87" s="65" t="s">
        <v>146</v>
      </c>
      <c r="U87" s="67">
        <f>O92</f>
        <v>44996</v>
      </c>
      <c r="V87" s="71"/>
      <c r="W87" s="48"/>
      <c r="X87" s="62"/>
    </row>
    <row r="88" spans="8:24" ht="15.75">
      <c r="H88" s="37" t="s">
        <v>103</v>
      </c>
      <c r="I88" s="60">
        <f>ONSV_AUX_2014!R56</f>
        <v>1119945</v>
      </c>
      <c r="J88" s="61">
        <f>I88-(L83*I82)</f>
        <v>1119855.0478262824</v>
      </c>
      <c r="K88" s="11"/>
      <c r="L88" s="11"/>
      <c r="M88" s="11"/>
      <c r="O88" s="76"/>
      <c r="P88" s="76"/>
      <c r="Q88" s="48"/>
      <c r="R88" s="78"/>
      <c r="S88" s="48"/>
      <c r="T88" s="65" t="s">
        <v>147</v>
      </c>
      <c r="U88" s="68">
        <f>I88-J88</f>
        <v>89.952173717552796</v>
      </c>
      <c r="V88" s="71"/>
      <c r="W88" s="65" t="s">
        <v>148</v>
      </c>
      <c r="X88" s="67">
        <f>I96</f>
        <v>18160</v>
      </c>
    </row>
    <row r="89" spans="8:24" ht="15.75">
      <c r="H89" s="37" t="s">
        <v>104</v>
      </c>
      <c r="I89" s="60">
        <f>ONSV_AUX_2014!R57</f>
        <v>85587</v>
      </c>
      <c r="J89" s="10">
        <f>I89</f>
        <v>85587</v>
      </c>
      <c r="K89" s="11"/>
      <c r="L89" s="11"/>
      <c r="M89" s="11"/>
      <c r="N89" s="26" t="s">
        <v>149</v>
      </c>
      <c r="O89" s="76"/>
      <c r="P89" s="76"/>
      <c r="Q89" s="65" t="s">
        <v>150</v>
      </c>
      <c r="R89" s="60">
        <f>J91-R86</f>
        <v>93761.458261698543</v>
      </c>
      <c r="S89" s="48"/>
      <c r="T89" s="65" t="s">
        <v>151</v>
      </c>
      <c r="U89" s="72">
        <f>O94</f>
        <v>2212.3029950736091</v>
      </c>
      <c r="V89" s="48"/>
      <c r="W89" s="65" t="s">
        <v>152</v>
      </c>
      <c r="X89" s="67">
        <f>I93</f>
        <v>16068</v>
      </c>
    </row>
    <row r="90" spans="8:24" ht="15.75">
      <c r="H90" s="37" t="s">
        <v>105</v>
      </c>
      <c r="I90" s="60">
        <f>ONSV_AUX_2014!R58</f>
        <v>10370</v>
      </c>
      <c r="J90" s="10">
        <f>I90</f>
        <v>10370</v>
      </c>
      <c r="K90" s="11"/>
      <c r="L90" s="11"/>
      <c r="M90" s="11"/>
      <c r="O90" s="73"/>
      <c r="P90" s="76"/>
      <c r="Q90" s="65" t="s">
        <v>136</v>
      </c>
      <c r="R90" s="60">
        <f>J92-R87</f>
        <v>48042.523192123168</v>
      </c>
      <c r="S90" s="48"/>
      <c r="T90" s="48"/>
      <c r="U90" s="62"/>
      <c r="V90" s="77"/>
      <c r="W90" s="48"/>
      <c r="X90" s="62"/>
    </row>
    <row r="91" spans="8:24" ht="15.75">
      <c r="H91" s="37" t="s">
        <v>106</v>
      </c>
      <c r="I91" s="60">
        <f>ONSV_AUX_2014!R59</f>
        <v>148334</v>
      </c>
      <c r="J91" s="61">
        <f>I91-(L84*I82)</f>
        <v>148322.08605267559</v>
      </c>
      <c r="K91" s="11"/>
      <c r="L91" s="11"/>
      <c r="M91" s="11"/>
      <c r="N91" s="28" t="s">
        <v>143</v>
      </c>
      <c r="O91" s="60">
        <f>I79</f>
        <v>93907</v>
      </c>
      <c r="P91" s="76"/>
      <c r="Q91" s="48"/>
      <c r="R91" s="48"/>
      <c r="S91" s="77"/>
      <c r="T91" s="65" t="s">
        <v>142</v>
      </c>
      <c r="U91" s="68">
        <f>R86</f>
        <v>54560.627790977051</v>
      </c>
      <c r="V91" s="48"/>
      <c r="W91" s="65" t="s">
        <v>153</v>
      </c>
      <c r="X91" s="67">
        <f>I94</f>
        <v>860288</v>
      </c>
    </row>
    <row r="92" spans="8:24" ht="15.75">
      <c r="H92" s="37" t="s">
        <v>107</v>
      </c>
      <c r="I92" s="60">
        <f>ONSV_AUX_2014!R60</f>
        <v>76005</v>
      </c>
      <c r="J92" s="61">
        <f>I92-(L85*I82)</f>
        <v>75998.895401146117</v>
      </c>
      <c r="K92" s="11"/>
      <c r="L92" s="11"/>
      <c r="M92" s="11"/>
      <c r="N92" s="28" t="s">
        <v>146</v>
      </c>
      <c r="O92" s="60">
        <f>I83</f>
        <v>44996</v>
      </c>
      <c r="P92" s="76"/>
      <c r="Q92" s="48"/>
      <c r="R92" s="48"/>
      <c r="S92" s="48"/>
      <c r="T92" s="65" t="s">
        <v>154</v>
      </c>
      <c r="U92" s="68">
        <f>I91-J91</f>
        <v>11.913947324414039</v>
      </c>
      <c r="V92" s="48"/>
      <c r="W92" s="65" t="s">
        <v>155</v>
      </c>
      <c r="X92" s="67">
        <f>I95</f>
        <v>86982</v>
      </c>
    </row>
    <row r="93" spans="8:24" ht="15.75">
      <c r="H93" s="37" t="s">
        <v>108</v>
      </c>
      <c r="I93" s="60">
        <f>ONSV_AUX_2014!R61</f>
        <v>16068</v>
      </c>
      <c r="J93" s="10">
        <f>I93</f>
        <v>16068</v>
      </c>
      <c r="K93" s="11"/>
      <c r="L93" s="11"/>
      <c r="M93" s="11"/>
      <c r="N93" s="28" t="s">
        <v>139</v>
      </c>
      <c r="O93" s="60">
        <f>IF(OR((O82*I80&gt;J88),((O91+O92+(O82*I80))&gt;J88)),(J88-O91-O92),(O82*I80))</f>
        <v>978739.74483120884</v>
      </c>
      <c r="P93" s="76"/>
      <c r="Q93" s="48"/>
      <c r="R93" s="78"/>
      <c r="S93" s="48"/>
      <c r="T93" s="65" t="s">
        <v>150</v>
      </c>
      <c r="U93" s="72">
        <f>R89</f>
        <v>93761.458261698543</v>
      </c>
      <c r="V93" s="48"/>
      <c r="W93" s="48"/>
      <c r="X93" s="48"/>
    </row>
    <row r="94" spans="8:24" ht="15.75">
      <c r="H94" s="37" t="s">
        <v>109</v>
      </c>
      <c r="I94" s="60">
        <f>ONSV_AUX_2014!R62</f>
        <v>860288</v>
      </c>
      <c r="J94" s="10">
        <f>I94</f>
        <v>860288</v>
      </c>
      <c r="K94" s="11"/>
      <c r="L94" s="11"/>
      <c r="M94" s="11"/>
      <c r="N94" s="28" t="s">
        <v>151</v>
      </c>
      <c r="O94" s="60">
        <f>IF((J88-O91-O93-O92)&lt;0,0,(J88-O91-O93-O92))</f>
        <v>2212.3029950736091</v>
      </c>
      <c r="P94" s="48"/>
      <c r="Q94" s="48"/>
      <c r="R94" s="48"/>
      <c r="S94" s="48"/>
      <c r="T94" s="48"/>
      <c r="U94" s="62"/>
      <c r="V94" s="48"/>
      <c r="W94" s="48"/>
      <c r="X94" s="48"/>
    </row>
    <row r="95" spans="8:24" ht="15.75">
      <c r="H95" s="37" t="s">
        <v>110</v>
      </c>
      <c r="I95" s="60">
        <f>ONSV_AUX_2014!R63</f>
        <v>86982</v>
      </c>
      <c r="J95" s="10">
        <f>I95</f>
        <v>86982</v>
      </c>
      <c r="K95" s="11"/>
      <c r="L95" s="11"/>
      <c r="M95" s="11"/>
      <c r="O95" s="48"/>
      <c r="P95" s="76"/>
      <c r="Q95" s="48"/>
      <c r="R95" s="48"/>
      <c r="S95" s="48"/>
      <c r="T95" s="79" t="s">
        <v>156</v>
      </c>
      <c r="U95" s="80">
        <f>(SUM(U81:U93,X81:X92)/SUM(I88:I97))-1</f>
        <v>0</v>
      </c>
      <c r="V95" s="48"/>
      <c r="W95" s="79" t="s">
        <v>10</v>
      </c>
      <c r="X95" s="67">
        <f>SUM(U81:U93,X81:X92)</f>
        <v>2434554</v>
      </c>
    </row>
    <row r="96" spans="8:24" ht="15.75">
      <c r="H96" s="37" t="s">
        <v>111</v>
      </c>
      <c r="I96" s="60">
        <f>ONSV_AUX_2014!R64</f>
        <v>18160</v>
      </c>
      <c r="J96" s="10">
        <f>I96</f>
        <v>18160</v>
      </c>
      <c r="K96" s="11"/>
      <c r="L96" s="11"/>
      <c r="M96" s="11"/>
      <c r="O96" s="48"/>
      <c r="P96" s="76"/>
      <c r="Q96" s="48"/>
      <c r="R96" s="48"/>
      <c r="S96" s="48"/>
      <c r="T96" s="48"/>
      <c r="U96" s="48"/>
      <c r="V96" s="48"/>
      <c r="W96" s="48"/>
      <c r="X96" s="48"/>
    </row>
    <row r="97" spans="1:24" ht="15.75">
      <c r="H97" s="37" t="s">
        <v>112</v>
      </c>
      <c r="I97" s="60">
        <f>ONSV_AUX_2014!R65</f>
        <v>12815</v>
      </c>
      <c r="J97" s="61">
        <f>I97-(L86*I82)</f>
        <v>12813.970719895895</v>
      </c>
      <c r="K97" s="12"/>
      <c r="L97" s="12"/>
      <c r="M97" s="12"/>
      <c r="N97" s="12"/>
      <c r="O97" s="12"/>
      <c r="P97" s="12"/>
      <c r="Q97" s="4"/>
      <c r="R97" s="4"/>
    </row>
    <row r="98" spans="1:24" ht="15.75">
      <c r="I98" s="40"/>
      <c r="J98" s="21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4" ht="15.75">
      <c r="I99" s="40"/>
      <c r="J99" s="21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4" s="34" customFormat="1" ht="15.75">
      <c r="A100" s="101" t="str">
        <f>"PERNAMBUCO/"&amp;ONSV_AUX_2014!A1&amp;""</f>
        <v>PERNAMBUCO/2014</v>
      </c>
      <c r="B100" s="102"/>
      <c r="C100" s="102"/>
      <c r="D100" s="102"/>
      <c r="E100" s="102"/>
      <c r="F100" s="102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</row>
    <row r="101" spans="1:24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>
      <c r="H102" s="23" t="s">
        <v>118</v>
      </c>
      <c r="N102" s="26"/>
      <c r="O102" s="26"/>
      <c r="P102" s="9"/>
      <c r="Q102" s="26"/>
      <c r="R102" s="26"/>
      <c r="S102" s="26"/>
      <c r="T102" s="25"/>
      <c r="U102" s="25"/>
      <c r="V102" s="25"/>
      <c r="W102" s="25"/>
      <c r="X102" s="25"/>
    </row>
    <row r="103" spans="1:24" ht="15.75">
      <c r="J103" s="9"/>
      <c r="M103" s="25"/>
      <c r="N103" s="9"/>
      <c r="O103" s="9"/>
      <c r="P103" s="9"/>
      <c r="Q103" s="11"/>
      <c r="R103" s="11"/>
      <c r="S103" s="11"/>
    </row>
    <row r="104" spans="1:24" ht="15.75">
      <c r="H104" s="36" t="s">
        <v>81</v>
      </c>
      <c r="I104" s="60">
        <f>ONSV_AUX_2015!R27</f>
        <v>93907</v>
      </c>
      <c r="J104" s="9"/>
      <c r="K104" s="104" t="s">
        <v>119</v>
      </c>
      <c r="L104" s="104"/>
      <c r="M104" s="9"/>
      <c r="N104" s="26" t="s">
        <v>120</v>
      </c>
      <c r="O104" s="26"/>
      <c r="Q104" s="26" t="s">
        <v>121</v>
      </c>
      <c r="R104" s="26"/>
      <c r="S104" s="26"/>
      <c r="T104" s="25" t="s">
        <v>122</v>
      </c>
      <c r="U104" s="25"/>
      <c r="V104" s="25"/>
      <c r="W104" s="25"/>
      <c r="X104" s="25"/>
    </row>
    <row r="105" spans="1:24" ht="15.75">
      <c r="H105" s="36" t="s">
        <v>84</v>
      </c>
      <c r="I105" s="60">
        <f>ONSV_AUX_2015!R28</f>
        <v>989939</v>
      </c>
      <c r="J105" s="9"/>
      <c r="K105" s="9"/>
      <c r="L105" s="9"/>
      <c r="M105" s="9"/>
      <c r="N105" s="9"/>
      <c r="O105" s="9"/>
      <c r="P105" s="20"/>
      <c r="Q105" s="11"/>
      <c r="R105" s="11"/>
      <c r="S105" s="11"/>
    </row>
    <row r="106" spans="1:24" ht="15.75">
      <c r="H106" s="36" t="s">
        <v>85</v>
      </c>
      <c r="I106" s="60">
        <f>ONSV_AUX_2015!R29</f>
        <v>212702</v>
      </c>
      <c r="J106" s="9"/>
      <c r="K106" s="2" t="s">
        <v>123</v>
      </c>
      <c r="L106" s="60">
        <f>I113+I116+I117+I122</f>
        <v>1357099</v>
      </c>
      <c r="N106" s="28" t="s">
        <v>124</v>
      </c>
      <c r="O106" s="60">
        <f>J113+J122</f>
        <v>1132669.0185461782</v>
      </c>
      <c r="P106" s="64"/>
      <c r="Q106" s="65" t="s">
        <v>125</v>
      </c>
      <c r="R106" s="60">
        <f>J116+J117</f>
        <v>224320.9814538217</v>
      </c>
      <c r="S106" s="66"/>
      <c r="T106" s="65" t="s">
        <v>126</v>
      </c>
      <c r="U106" s="67">
        <f>O110</f>
        <v>11199.255168791271</v>
      </c>
      <c r="V106" s="48"/>
      <c r="W106" s="65" t="s">
        <v>127</v>
      </c>
      <c r="X106" s="68">
        <f>R112</f>
        <v>27956.372209022949</v>
      </c>
    </row>
    <row r="107" spans="1:24" ht="15.75">
      <c r="H107" s="36" t="s">
        <v>101</v>
      </c>
      <c r="I107" s="60">
        <f>ONSV_AUX_2015!R30</f>
        <v>109</v>
      </c>
      <c r="J107" s="9"/>
      <c r="K107" s="27"/>
      <c r="L107" s="62"/>
      <c r="M107" s="20"/>
      <c r="N107" s="28" t="s">
        <v>128</v>
      </c>
      <c r="O107" s="69">
        <f>J113/O106</f>
        <v>0.98868692397330427</v>
      </c>
      <c r="P107" s="64"/>
      <c r="Q107" s="70" t="s">
        <v>129</v>
      </c>
      <c r="R107" s="63">
        <f>J116/R106</f>
        <v>0.66120469468081788</v>
      </c>
      <c r="S107" s="71"/>
      <c r="T107" s="65" t="s">
        <v>130</v>
      </c>
      <c r="U107" s="67">
        <f>I122-J122</f>
        <v>1.0292801041050552</v>
      </c>
      <c r="V107" s="48"/>
      <c r="W107" s="65" t="s">
        <v>131</v>
      </c>
      <c r="X107" s="68">
        <f>I117-J117</f>
        <v>6.104598853882635</v>
      </c>
    </row>
    <row r="108" spans="1:24" ht="15.75">
      <c r="H108" s="36" t="s">
        <v>16</v>
      </c>
      <c r="I108" s="60">
        <f>ONSV_AUX_2015!R31</f>
        <v>44996</v>
      </c>
      <c r="J108" s="9"/>
      <c r="K108" s="2" t="s">
        <v>132</v>
      </c>
      <c r="L108" s="63">
        <f>I113/L106</f>
        <v>0.8252493001615947</v>
      </c>
      <c r="M108" s="20"/>
      <c r="N108" s="28" t="s">
        <v>133</v>
      </c>
      <c r="O108" s="69">
        <f>J122/O106</f>
        <v>1.1313076026695857E-2</v>
      </c>
      <c r="P108" s="64"/>
      <c r="Q108" s="70" t="s">
        <v>134</v>
      </c>
      <c r="R108" s="63">
        <f>J117/R106</f>
        <v>0.33879530531918212</v>
      </c>
      <c r="S108" s="71"/>
      <c r="T108" s="65" t="s">
        <v>135</v>
      </c>
      <c r="U108" s="72">
        <f>O112</f>
        <v>1614.715551104624</v>
      </c>
      <c r="V108" s="73"/>
      <c r="W108" s="65" t="s">
        <v>136</v>
      </c>
      <c r="X108" s="72">
        <f>R115</f>
        <v>48042.523192123168</v>
      </c>
    </row>
    <row r="109" spans="1:24" ht="15.75">
      <c r="H109" s="36" t="s">
        <v>94</v>
      </c>
      <c r="I109" s="60">
        <f>ONSV_AUX_2015!R32</f>
        <v>1244830</v>
      </c>
      <c r="J109" s="10"/>
      <c r="K109" s="2" t="s">
        <v>2</v>
      </c>
      <c r="L109" s="63">
        <f>I116/L106</f>
        <v>0.10930226903122027</v>
      </c>
      <c r="M109" s="20"/>
      <c r="N109" s="20"/>
      <c r="O109" s="74"/>
      <c r="P109" s="48"/>
      <c r="Q109" s="48"/>
      <c r="R109" s="48"/>
      <c r="S109" s="48"/>
      <c r="T109" s="48"/>
      <c r="U109" s="62"/>
      <c r="V109" s="75"/>
      <c r="W109" s="48"/>
      <c r="X109" s="62"/>
    </row>
    <row r="110" spans="1:24" ht="15.75">
      <c r="K110" s="2" t="s">
        <v>3</v>
      </c>
      <c r="L110" s="63">
        <f>I117/L106</f>
        <v>5.6005494072282128E-2</v>
      </c>
      <c r="M110" s="20"/>
      <c r="N110" s="28" t="s">
        <v>137</v>
      </c>
      <c r="O110" s="60">
        <f>IF(O108*I105&gt;J122,J122,O108*I105)</f>
        <v>11199.255168791271</v>
      </c>
      <c r="P110" s="76"/>
      <c r="Q110" s="65" t="s">
        <v>138</v>
      </c>
      <c r="R110" s="60">
        <f>I106-I114-I115-I118-I121</f>
        <v>82517</v>
      </c>
      <c r="S110" s="77"/>
      <c r="T110" s="65" t="s">
        <v>139</v>
      </c>
      <c r="U110" s="67">
        <f>O118</f>
        <v>978739.74483120884</v>
      </c>
      <c r="V110" s="76"/>
      <c r="W110" s="65" t="s">
        <v>140</v>
      </c>
      <c r="X110" s="67">
        <f>I114</f>
        <v>85587</v>
      </c>
    </row>
    <row r="111" spans="1:24" ht="15.75">
      <c r="H111" s="24" t="s">
        <v>141</v>
      </c>
      <c r="K111" s="2" t="s">
        <v>0</v>
      </c>
      <c r="L111" s="63">
        <f>I122/L106</f>
        <v>9.4429367349029066E-3</v>
      </c>
      <c r="O111" s="48"/>
      <c r="P111" s="76"/>
      <c r="Q111" s="65" t="s">
        <v>142</v>
      </c>
      <c r="R111" s="60">
        <f>R107*R110</f>
        <v>54560.627790977051</v>
      </c>
      <c r="S111" s="48"/>
      <c r="T111" s="65" t="s">
        <v>143</v>
      </c>
      <c r="U111" s="67">
        <f>O116</f>
        <v>93907</v>
      </c>
      <c r="V111" s="66"/>
      <c r="W111" s="65" t="s">
        <v>144</v>
      </c>
      <c r="X111" s="67">
        <f>I115</f>
        <v>10370</v>
      </c>
    </row>
    <row r="112" spans="1:24" ht="15.75">
      <c r="K112" s="11"/>
      <c r="L112" s="11"/>
      <c r="M112" s="11"/>
      <c r="N112" s="28" t="s">
        <v>145</v>
      </c>
      <c r="O112" s="60">
        <f>J122-O110</f>
        <v>1614.715551104624</v>
      </c>
      <c r="P112" s="76"/>
      <c r="Q112" s="65" t="s">
        <v>127</v>
      </c>
      <c r="R112" s="60">
        <f>R108*R110</f>
        <v>27956.372209022949</v>
      </c>
      <c r="S112" s="48"/>
      <c r="T112" s="65" t="s">
        <v>146</v>
      </c>
      <c r="U112" s="67">
        <f>O117</f>
        <v>44996</v>
      </c>
      <c r="V112" s="71"/>
      <c r="W112" s="48"/>
      <c r="X112" s="62"/>
    </row>
    <row r="113" spans="8:24" ht="15.75">
      <c r="H113" s="37" t="s">
        <v>103</v>
      </c>
      <c r="I113" s="60">
        <f>ONSV_AUX_2014!R56</f>
        <v>1119945</v>
      </c>
      <c r="J113" s="61">
        <f>I113-(L108*I107)</f>
        <v>1119855.0478262824</v>
      </c>
      <c r="K113" s="11"/>
      <c r="L113" s="11"/>
      <c r="M113" s="11"/>
      <c r="O113" s="76"/>
      <c r="P113" s="76"/>
      <c r="Q113" s="48"/>
      <c r="R113" s="78"/>
      <c r="S113" s="48"/>
      <c r="T113" s="65" t="s">
        <v>147</v>
      </c>
      <c r="U113" s="68">
        <f>I113-J113</f>
        <v>89.952173717552796</v>
      </c>
      <c r="V113" s="71"/>
      <c r="W113" s="65" t="s">
        <v>148</v>
      </c>
      <c r="X113" s="67">
        <f>I121</f>
        <v>18160</v>
      </c>
    </row>
    <row r="114" spans="8:24" ht="15.75">
      <c r="H114" s="37" t="s">
        <v>104</v>
      </c>
      <c r="I114" s="60">
        <f>ONSV_AUX_2014!R57</f>
        <v>85587</v>
      </c>
      <c r="J114" s="10">
        <f>I114</f>
        <v>85587</v>
      </c>
      <c r="K114" s="11"/>
      <c r="L114" s="11"/>
      <c r="M114" s="11"/>
      <c r="N114" s="26" t="s">
        <v>149</v>
      </c>
      <c r="O114" s="76"/>
      <c r="P114" s="76"/>
      <c r="Q114" s="65" t="s">
        <v>150</v>
      </c>
      <c r="R114" s="60">
        <f>J116-R111</f>
        <v>93761.458261698543</v>
      </c>
      <c r="S114" s="48"/>
      <c r="T114" s="65" t="s">
        <v>151</v>
      </c>
      <c r="U114" s="72">
        <f>O119</f>
        <v>2212.3029950736091</v>
      </c>
      <c r="V114" s="48"/>
      <c r="W114" s="65" t="s">
        <v>152</v>
      </c>
      <c r="X114" s="67">
        <f>I118</f>
        <v>16068</v>
      </c>
    </row>
    <row r="115" spans="8:24" ht="15.75">
      <c r="H115" s="37" t="s">
        <v>105</v>
      </c>
      <c r="I115" s="60">
        <f>ONSV_AUX_2014!R58</f>
        <v>10370</v>
      </c>
      <c r="J115" s="10">
        <f>I115</f>
        <v>10370</v>
      </c>
      <c r="K115" s="11"/>
      <c r="L115" s="11"/>
      <c r="M115" s="11"/>
      <c r="O115" s="73"/>
      <c r="P115" s="76"/>
      <c r="Q115" s="65" t="s">
        <v>136</v>
      </c>
      <c r="R115" s="60">
        <f>J117-R112</f>
        <v>48042.523192123168</v>
      </c>
      <c r="S115" s="48"/>
      <c r="T115" s="48"/>
      <c r="U115" s="62"/>
      <c r="V115" s="77"/>
      <c r="W115" s="48"/>
      <c r="X115" s="62"/>
    </row>
    <row r="116" spans="8:24" ht="15.75">
      <c r="H116" s="37" t="s">
        <v>106</v>
      </c>
      <c r="I116" s="60">
        <f>ONSV_AUX_2014!R59</f>
        <v>148334</v>
      </c>
      <c r="J116" s="61">
        <f>I116-(L109*I107)</f>
        <v>148322.08605267559</v>
      </c>
      <c r="K116" s="11"/>
      <c r="L116" s="11"/>
      <c r="M116" s="11"/>
      <c r="N116" s="28" t="s">
        <v>143</v>
      </c>
      <c r="O116" s="60">
        <f>I104</f>
        <v>93907</v>
      </c>
      <c r="P116" s="76"/>
      <c r="Q116" s="48"/>
      <c r="R116" s="48"/>
      <c r="S116" s="77"/>
      <c r="T116" s="65" t="s">
        <v>142</v>
      </c>
      <c r="U116" s="68">
        <f>R111</f>
        <v>54560.627790977051</v>
      </c>
      <c r="V116" s="48"/>
      <c r="W116" s="65" t="s">
        <v>153</v>
      </c>
      <c r="X116" s="67">
        <f>I119</f>
        <v>860288</v>
      </c>
    </row>
    <row r="117" spans="8:24" ht="15.75">
      <c r="H117" s="37" t="s">
        <v>107</v>
      </c>
      <c r="I117" s="60">
        <f>ONSV_AUX_2014!R60</f>
        <v>76005</v>
      </c>
      <c r="J117" s="61">
        <f>I117-(L110*I107)</f>
        <v>75998.895401146117</v>
      </c>
      <c r="K117" s="11"/>
      <c r="L117" s="11"/>
      <c r="M117" s="11"/>
      <c r="N117" s="28" t="s">
        <v>146</v>
      </c>
      <c r="O117" s="60">
        <f>I108</f>
        <v>44996</v>
      </c>
      <c r="P117" s="76"/>
      <c r="Q117" s="48"/>
      <c r="R117" s="48"/>
      <c r="S117" s="48"/>
      <c r="T117" s="65" t="s">
        <v>154</v>
      </c>
      <c r="U117" s="68">
        <f>I116-J116</f>
        <v>11.913947324414039</v>
      </c>
      <c r="V117" s="48"/>
      <c r="W117" s="65" t="s">
        <v>155</v>
      </c>
      <c r="X117" s="67">
        <f>I120</f>
        <v>86982</v>
      </c>
    </row>
    <row r="118" spans="8:24" ht="15.75">
      <c r="H118" s="37" t="s">
        <v>108</v>
      </c>
      <c r="I118" s="60">
        <f>ONSV_AUX_2014!R61</f>
        <v>16068</v>
      </c>
      <c r="J118" s="10">
        <f>I118</f>
        <v>16068</v>
      </c>
      <c r="K118" s="11"/>
      <c r="L118" s="11"/>
      <c r="M118" s="11"/>
      <c r="N118" s="28" t="s">
        <v>139</v>
      </c>
      <c r="O118" s="60">
        <f>IF(OR((O107*I105&gt;J113),((O116+O117+(O107*I105))&gt;J113)),(J113-O116-O117),(O107*I105))</f>
        <v>978739.74483120884</v>
      </c>
      <c r="P118" s="76"/>
      <c r="Q118" s="48"/>
      <c r="R118" s="78"/>
      <c r="S118" s="48"/>
      <c r="T118" s="65" t="s">
        <v>150</v>
      </c>
      <c r="U118" s="72">
        <f>R114</f>
        <v>93761.458261698543</v>
      </c>
      <c r="V118" s="48"/>
      <c r="W118" s="48"/>
      <c r="X118" s="48"/>
    </row>
    <row r="119" spans="8:24" ht="15.75">
      <c r="H119" s="37" t="s">
        <v>109</v>
      </c>
      <c r="I119" s="60">
        <f>ONSV_AUX_2014!R62</f>
        <v>860288</v>
      </c>
      <c r="J119" s="10">
        <f>I119</f>
        <v>860288</v>
      </c>
      <c r="K119" s="11"/>
      <c r="L119" s="11"/>
      <c r="M119" s="11"/>
      <c r="N119" s="28" t="s">
        <v>151</v>
      </c>
      <c r="O119" s="60">
        <f>IF((J113-O116-O118-O117)&lt;0,0,(J113-O116-O118-O117))</f>
        <v>2212.3029950736091</v>
      </c>
      <c r="P119" s="48"/>
      <c r="Q119" s="48"/>
      <c r="R119" s="48"/>
      <c r="S119" s="48"/>
      <c r="T119" s="48"/>
      <c r="U119" s="62"/>
      <c r="V119" s="48"/>
      <c r="W119" s="48"/>
      <c r="X119" s="48"/>
    </row>
    <row r="120" spans="8:24" ht="15.75">
      <c r="H120" s="37" t="s">
        <v>110</v>
      </c>
      <c r="I120" s="60">
        <f>ONSV_AUX_2014!R63</f>
        <v>86982</v>
      </c>
      <c r="J120" s="10">
        <f>I120</f>
        <v>86982</v>
      </c>
      <c r="K120" s="11"/>
      <c r="L120" s="11"/>
      <c r="M120" s="11"/>
      <c r="O120" s="48"/>
      <c r="P120" s="76"/>
      <c r="Q120" s="48"/>
      <c r="R120" s="48"/>
      <c r="S120" s="48"/>
      <c r="T120" s="79" t="s">
        <v>156</v>
      </c>
      <c r="U120" s="80">
        <f>(SUM(U106:U118,X106:X117)/SUM(I113:I122))-1</f>
        <v>0</v>
      </c>
      <c r="V120" s="48"/>
      <c r="W120" s="79" t="s">
        <v>10</v>
      </c>
      <c r="X120" s="67">
        <f>SUM(U106:U118,X106:X117)</f>
        <v>2434554</v>
      </c>
    </row>
    <row r="121" spans="8:24" ht="15.75">
      <c r="H121" s="37" t="s">
        <v>111</v>
      </c>
      <c r="I121" s="60">
        <f>ONSV_AUX_2014!R64</f>
        <v>18160</v>
      </c>
      <c r="J121" s="10">
        <f>I121</f>
        <v>18160</v>
      </c>
      <c r="K121" s="11"/>
      <c r="L121" s="11"/>
      <c r="M121" s="11"/>
      <c r="O121" s="48"/>
      <c r="P121" s="76"/>
      <c r="Q121" s="48"/>
      <c r="R121" s="48"/>
      <c r="S121" s="48"/>
      <c r="T121" s="48"/>
      <c r="U121" s="48"/>
      <c r="V121" s="48"/>
      <c r="W121" s="48"/>
      <c r="X121" s="48"/>
    </row>
    <row r="122" spans="8:24" ht="15.75">
      <c r="H122" s="37" t="s">
        <v>112</v>
      </c>
      <c r="I122" s="60">
        <f>ONSV_AUX_2014!R65</f>
        <v>12815</v>
      </c>
      <c r="J122" s="61">
        <f>I122-(L111*I107)</f>
        <v>12813.970719895895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Q4:R4"/>
    <mergeCell ref="T4:X4"/>
    <mergeCell ref="K5:L5"/>
    <mergeCell ref="A100:F100"/>
    <mergeCell ref="A25:F25"/>
    <mergeCell ref="A50:F50"/>
    <mergeCell ref="A75:F75"/>
    <mergeCell ref="T27:X27"/>
    <mergeCell ref="T52:X52"/>
    <mergeCell ref="K104:L104"/>
    <mergeCell ref="K79:L79"/>
    <mergeCell ref="K29:L29"/>
    <mergeCell ref="K54:L54"/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0.39997558519241921"/>
  </sheetPr>
  <dimension ref="A1:X122"/>
  <sheetViews>
    <sheetView showGridLines="0" zoomScale="90" zoomScaleNormal="90" workbookViewId="0">
      <selection activeCell="F101" sqref="F101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  <col min="27" max="28" width="10" bestFit="1" customWidth="1"/>
    <col min="30" max="30" width="10" bestFit="1" customWidth="1"/>
  </cols>
  <sheetData>
    <row r="1" spans="1:24" s="31" customFormat="1" ht="15.75">
      <c r="A1" s="101" t="str">
        <f>"PIAUÍ/"&amp;ONSV_AUX_2018!A1&amp;""</f>
        <v>PIAUÍ/2018</v>
      </c>
      <c r="B1" s="102"/>
      <c r="C1" s="102"/>
      <c r="D1" s="102"/>
      <c r="E1" s="102"/>
      <c r="F1" s="102"/>
    </row>
    <row r="2" spans="1:24" s="4" customFormat="1" ht="15.75">
      <c r="A2" s="32"/>
      <c r="B2" s="32"/>
      <c r="C2" s="32"/>
      <c r="D2" s="32"/>
      <c r="E2" s="32"/>
      <c r="F2" s="32"/>
    </row>
    <row r="3" spans="1:24" ht="15.75">
      <c r="A3" s="12"/>
      <c r="H3" s="23" t="s">
        <v>118</v>
      </c>
    </row>
    <row r="4" spans="1:24" ht="15.75">
      <c r="B4" s="5"/>
      <c r="J4" s="9"/>
      <c r="M4" s="25"/>
      <c r="N4" s="25"/>
      <c r="O4" s="25"/>
      <c r="P4" s="25"/>
      <c r="Q4" s="103"/>
      <c r="R4" s="103"/>
      <c r="S4" s="22"/>
      <c r="T4" s="104"/>
      <c r="U4" s="104"/>
      <c r="V4" s="104"/>
      <c r="W4" s="104"/>
      <c r="X4" s="104"/>
    </row>
    <row r="5" spans="1:24" ht="15.75">
      <c r="H5" s="36" t="s">
        <v>81</v>
      </c>
      <c r="I5" s="60">
        <f>ONSV_AUX_2018!S27</f>
        <v>18484</v>
      </c>
      <c r="J5" s="9"/>
      <c r="K5" s="104" t="s">
        <v>119</v>
      </c>
      <c r="L5" s="104"/>
      <c r="M5" s="9"/>
      <c r="N5" s="26" t="s">
        <v>120</v>
      </c>
      <c r="O5" s="26"/>
      <c r="Q5" s="26" t="s">
        <v>121</v>
      </c>
      <c r="R5" s="26"/>
      <c r="S5" s="26"/>
      <c r="T5" s="25" t="s">
        <v>122</v>
      </c>
      <c r="U5" s="25"/>
      <c r="V5" s="25"/>
      <c r="W5" s="25"/>
      <c r="X5" s="25"/>
    </row>
    <row r="6" spans="1:24" ht="15.75">
      <c r="H6" s="36" t="s">
        <v>84</v>
      </c>
      <c r="I6" s="60">
        <f>ONSV_AUX_2018!S28</f>
        <v>422726</v>
      </c>
      <c r="J6" s="9"/>
      <c r="K6" s="9"/>
      <c r="L6" s="9"/>
      <c r="M6" s="9"/>
      <c r="N6" s="9"/>
      <c r="O6" s="9"/>
      <c r="P6" s="20"/>
      <c r="Q6" s="11"/>
      <c r="R6" s="11"/>
      <c r="S6" s="11"/>
    </row>
    <row r="7" spans="1:24" ht="15.75">
      <c r="H7" s="36" t="s">
        <v>85</v>
      </c>
      <c r="I7" s="60">
        <f>ONSV_AUX_2018!S29</f>
        <v>93103</v>
      </c>
      <c r="J7" s="9"/>
      <c r="K7" s="2" t="s">
        <v>123</v>
      </c>
      <c r="L7" s="60">
        <f>I14+I17+I18+I23</f>
        <v>462667</v>
      </c>
      <c r="N7" s="28" t="s">
        <v>124</v>
      </c>
      <c r="O7" s="60">
        <f>J14+J23</f>
        <v>358467.00655763218</v>
      </c>
      <c r="P7" s="64"/>
      <c r="Q7" s="65" t="s">
        <v>125</v>
      </c>
      <c r="R7" s="60">
        <f>J17+J18</f>
        <v>104119.99344236784</v>
      </c>
      <c r="S7" s="66"/>
      <c r="T7" s="65" t="s">
        <v>126</v>
      </c>
      <c r="U7" s="67">
        <f>O11</f>
        <v>7072.7768308524273</v>
      </c>
      <c r="V7" s="48"/>
      <c r="W7" s="65" t="s">
        <v>127</v>
      </c>
      <c r="X7" s="68">
        <f>R13</f>
        <v>8270.726055810559</v>
      </c>
    </row>
    <row r="8" spans="1:24" ht="15.75">
      <c r="H8" s="36" t="s">
        <v>101</v>
      </c>
      <c r="I8" s="60">
        <f>ONSV_AUX_2018!S30</f>
        <v>80</v>
      </c>
      <c r="J8" s="9"/>
      <c r="K8" s="27"/>
      <c r="L8" s="62"/>
      <c r="M8" s="20"/>
      <c r="N8" s="28" t="s">
        <v>128</v>
      </c>
      <c r="O8" s="69">
        <f>J14/O7</f>
        <v>0.9802693784882115</v>
      </c>
      <c r="P8" s="64"/>
      <c r="Q8" s="70" t="s">
        <v>129</v>
      </c>
      <c r="R8" s="63">
        <f>J17/R7</f>
        <v>0.83428719583629418</v>
      </c>
      <c r="S8" s="71"/>
      <c r="T8" s="65" t="s">
        <v>130</v>
      </c>
      <c r="U8" s="67">
        <f>I23-J23</f>
        <v>1.223169147572662</v>
      </c>
      <c r="V8" s="48"/>
      <c r="W8" s="65" t="s">
        <v>131</v>
      </c>
      <c r="X8" s="68">
        <f>I18-J18</f>
        <v>2.98391715856269</v>
      </c>
    </row>
    <row r="9" spans="1:24" ht="15.75">
      <c r="H9" s="36" t="s">
        <v>16</v>
      </c>
      <c r="I9" s="60">
        <f>ONSV_AUX_2018!S31</f>
        <v>704</v>
      </c>
      <c r="J9" s="9"/>
      <c r="K9" s="2" t="s">
        <v>132</v>
      </c>
      <c r="L9" s="63">
        <f>I14/L7</f>
        <v>0.75962841525330316</v>
      </c>
      <c r="M9" s="20"/>
      <c r="N9" s="28" t="s">
        <v>133</v>
      </c>
      <c r="O9" s="69">
        <f>J23/O7</f>
        <v>1.9730621511788445E-2</v>
      </c>
      <c r="P9" s="64"/>
      <c r="Q9" s="70" t="s">
        <v>134</v>
      </c>
      <c r="R9" s="63">
        <f>J18/R7</f>
        <v>0.16571280416370585</v>
      </c>
      <c r="S9" s="71"/>
      <c r="T9" s="65" t="s">
        <v>135</v>
      </c>
      <c r="U9" s="72">
        <f>O13</f>
        <v>0</v>
      </c>
      <c r="V9" s="73"/>
      <c r="W9" s="65" t="s">
        <v>136</v>
      </c>
      <c r="X9" s="72">
        <f>R16</f>
        <v>8983.2900270308783</v>
      </c>
    </row>
    <row r="10" spans="1:24" ht="15.75">
      <c r="H10" s="36" t="s">
        <v>94</v>
      </c>
      <c r="I10" s="60">
        <f>ONSV_AUX_2018!S32</f>
        <v>621483</v>
      </c>
      <c r="J10" s="10"/>
      <c r="K10" s="2" t="s">
        <v>2</v>
      </c>
      <c r="L10" s="63">
        <f>I17/L7</f>
        <v>0.18778300592002456</v>
      </c>
      <c r="M10" s="20"/>
      <c r="N10" s="20"/>
      <c r="O10" s="74"/>
      <c r="P10" s="48"/>
      <c r="Q10" s="48"/>
      <c r="R10" s="48"/>
      <c r="S10" s="48"/>
      <c r="T10" s="48"/>
      <c r="U10" s="62"/>
      <c r="V10" s="75"/>
      <c r="W10" s="48"/>
      <c r="X10" s="62"/>
    </row>
    <row r="11" spans="1:24" ht="15.75">
      <c r="K11" s="2" t="s">
        <v>3</v>
      </c>
      <c r="L11" s="63">
        <f>I18/L7</f>
        <v>3.7298964482014065E-2</v>
      </c>
      <c r="M11" s="20"/>
      <c r="N11" s="28" t="s">
        <v>137</v>
      </c>
      <c r="O11" s="60">
        <f>IF(O9*I6&gt;J23,J23,O9*I6)</f>
        <v>7072.7768308524273</v>
      </c>
      <c r="P11" s="76"/>
      <c r="Q11" s="65" t="s">
        <v>138</v>
      </c>
      <c r="R11" s="60">
        <f>I7-I15-I16-I19-I22</f>
        <v>49910</v>
      </c>
      <c r="S11" s="77"/>
      <c r="T11" s="65" t="s">
        <v>139</v>
      </c>
      <c r="U11" s="67">
        <f>O19</f>
        <v>332206.22972677974</v>
      </c>
      <c r="V11" s="76"/>
      <c r="W11" s="65" t="s">
        <v>140</v>
      </c>
      <c r="X11" s="67">
        <f>I15</f>
        <v>29355</v>
      </c>
    </row>
    <row r="12" spans="1:24" ht="15.75">
      <c r="H12" s="24" t="s">
        <v>141</v>
      </c>
      <c r="K12" s="2" t="s">
        <v>0</v>
      </c>
      <c r="L12" s="63">
        <f>I23/L7</f>
        <v>1.5289614344658253E-2</v>
      </c>
      <c r="O12" s="48"/>
      <c r="P12" s="76"/>
      <c r="Q12" s="65" t="s">
        <v>142</v>
      </c>
      <c r="R12" s="60">
        <f>R8*R11</f>
        <v>41639.273944189445</v>
      </c>
      <c r="S12" s="48"/>
      <c r="T12" s="65" t="s">
        <v>143</v>
      </c>
      <c r="U12" s="67">
        <f>O17</f>
        <v>18484</v>
      </c>
      <c r="V12" s="66"/>
      <c r="W12" s="65" t="s">
        <v>144</v>
      </c>
      <c r="X12" s="67">
        <f>I16</f>
        <v>2552</v>
      </c>
    </row>
    <row r="13" spans="1:24" ht="15.75">
      <c r="K13" s="11"/>
      <c r="L13" s="11"/>
      <c r="M13" s="11"/>
      <c r="N13" s="28" t="s">
        <v>145</v>
      </c>
      <c r="O13" s="60">
        <f>J23-O11</f>
        <v>0</v>
      </c>
      <c r="P13" s="76"/>
      <c r="Q13" s="65" t="s">
        <v>127</v>
      </c>
      <c r="R13" s="60">
        <f>R9*R11</f>
        <v>8270.726055810559</v>
      </c>
      <c r="S13" s="48"/>
      <c r="T13" s="65" t="s">
        <v>146</v>
      </c>
      <c r="U13" s="67">
        <f>O18</f>
        <v>704</v>
      </c>
      <c r="V13" s="71"/>
      <c r="W13" s="48"/>
      <c r="X13" s="62"/>
    </row>
    <row r="14" spans="1:24" ht="15.75">
      <c r="H14" s="37" t="s">
        <v>103</v>
      </c>
      <c r="I14" s="60">
        <f>ONSV_AUX_2018!S56</f>
        <v>351455</v>
      </c>
      <c r="J14" s="61">
        <f>I14-(L9*I8)</f>
        <v>351394.22972677974</v>
      </c>
      <c r="K14" s="11"/>
      <c r="L14" s="11"/>
      <c r="M14" s="11"/>
      <c r="O14" s="76"/>
      <c r="P14" s="76"/>
      <c r="Q14" s="48"/>
      <c r="R14" s="78"/>
      <c r="S14" s="48"/>
      <c r="T14" s="65" t="s">
        <v>147</v>
      </c>
      <c r="U14" s="68">
        <f>I14-J14</f>
        <v>60.770273220259696</v>
      </c>
      <c r="V14" s="71"/>
      <c r="W14" s="65" t="s">
        <v>148</v>
      </c>
      <c r="X14" s="67">
        <f>I22</f>
        <v>7415</v>
      </c>
    </row>
    <row r="15" spans="1:24" ht="15.75">
      <c r="H15" s="37" t="s">
        <v>104</v>
      </c>
      <c r="I15" s="60">
        <f>ONSV_AUX_2018!S57</f>
        <v>29355</v>
      </c>
      <c r="J15" s="10">
        <f>I15</f>
        <v>29355</v>
      </c>
      <c r="K15" s="11"/>
      <c r="L15" s="11"/>
      <c r="M15" s="11"/>
      <c r="N15" s="26" t="s">
        <v>149</v>
      </c>
      <c r="O15" s="76"/>
      <c r="P15" s="76"/>
      <c r="Q15" s="65" t="s">
        <v>150</v>
      </c>
      <c r="R15" s="60">
        <f>J17-R12</f>
        <v>45226.703415336953</v>
      </c>
      <c r="S15" s="48"/>
      <c r="T15" s="65" t="s">
        <v>151</v>
      </c>
      <c r="U15" s="72">
        <f>O20</f>
        <v>0</v>
      </c>
      <c r="V15" s="48"/>
      <c r="W15" s="65" t="s">
        <v>152</v>
      </c>
      <c r="X15" s="67">
        <f>I19</f>
        <v>3871</v>
      </c>
    </row>
    <row r="16" spans="1:24" ht="15.75">
      <c r="H16" s="37" t="s">
        <v>105</v>
      </c>
      <c r="I16" s="60">
        <f>ONSV_AUX_2018!S58</f>
        <v>2552</v>
      </c>
      <c r="J16" s="10">
        <f>I16</f>
        <v>2552</v>
      </c>
      <c r="K16" s="11"/>
      <c r="L16" s="11"/>
      <c r="M16" s="11"/>
      <c r="O16" s="73"/>
      <c r="P16" s="76"/>
      <c r="Q16" s="65" t="s">
        <v>136</v>
      </c>
      <c r="R16" s="60">
        <f>J18-R13</f>
        <v>8983.2900270308783</v>
      </c>
      <c r="S16" s="48"/>
      <c r="T16" s="48"/>
      <c r="U16" s="62"/>
      <c r="V16" s="77"/>
      <c r="W16" s="48"/>
      <c r="X16" s="62"/>
    </row>
    <row r="17" spans="1:24" ht="15.75">
      <c r="H17" s="37" t="s">
        <v>106</v>
      </c>
      <c r="I17" s="60">
        <f>ONSV_AUX_2018!S59</f>
        <v>86881</v>
      </c>
      <c r="J17" s="61">
        <f>I17-(L10*I8)</f>
        <v>86865.977359526398</v>
      </c>
      <c r="K17" s="11"/>
      <c r="L17" s="11"/>
      <c r="M17" s="11"/>
      <c r="N17" s="28" t="s">
        <v>143</v>
      </c>
      <c r="O17" s="60">
        <f>I5</f>
        <v>18484</v>
      </c>
      <c r="P17" s="76"/>
      <c r="Q17" s="48"/>
      <c r="R17" s="48"/>
      <c r="S17" s="77"/>
      <c r="T17" s="65" t="s">
        <v>142</v>
      </c>
      <c r="U17" s="68">
        <f>R12</f>
        <v>41639.273944189445</v>
      </c>
      <c r="V17" s="48"/>
      <c r="W17" s="65" t="s">
        <v>153</v>
      </c>
      <c r="X17" s="67">
        <f>I20</f>
        <v>548336</v>
      </c>
    </row>
    <row r="18" spans="1:24" ht="15.75">
      <c r="H18" s="37" t="s">
        <v>107</v>
      </c>
      <c r="I18" s="60">
        <f>ONSV_AUX_2018!S60</f>
        <v>17257</v>
      </c>
      <c r="J18" s="61">
        <f>I18-(L11*I8)</f>
        <v>17254.016082841437</v>
      </c>
      <c r="K18" s="11"/>
      <c r="L18" s="11"/>
      <c r="M18" s="11"/>
      <c r="N18" s="28" t="s">
        <v>146</v>
      </c>
      <c r="O18" s="60">
        <f>I9</f>
        <v>704</v>
      </c>
      <c r="P18" s="76"/>
      <c r="Q18" s="48"/>
      <c r="R18" s="48"/>
      <c r="S18" s="48"/>
      <c r="T18" s="65" t="s">
        <v>154</v>
      </c>
      <c r="U18" s="68">
        <f>I17-J17</f>
        <v>15.022640473602223</v>
      </c>
      <c r="V18" s="48"/>
      <c r="W18" s="65" t="s">
        <v>155</v>
      </c>
      <c r="X18" s="67">
        <f>I21</f>
        <v>97073</v>
      </c>
    </row>
    <row r="19" spans="1:24" ht="15.75">
      <c r="H19" s="37" t="s">
        <v>108</v>
      </c>
      <c r="I19" s="60">
        <f>ONSV_AUX_2018!S61</f>
        <v>3871</v>
      </c>
      <c r="J19" s="10">
        <f>I19</f>
        <v>3871</v>
      </c>
      <c r="K19" s="11"/>
      <c r="L19" s="11"/>
      <c r="M19" s="11"/>
      <c r="N19" s="28" t="s">
        <v>139</v>
      </c>
      <c r="O19" s="60">
        <f>IF(OR((O8*I6&gt;J14),((O17+O18+(O8*I6))&gt;J14)),(J14-O17-O18),(O8*I6))</f>
        <v>332206.22972677974</v>
      </c>
      <c r="P19" s="76"/>
      <c r="Q19" s="48"/>
      <c r="R19" s="78"/>
      <c r="S19" s="48"/>
      <c r="T19" s="65" t="s">
        <v>150</v>
      </c>
      <c r="U19" s="72">
        <f>R15</f>
        <v>45226.703415336953</v>
      </c>
      <c r="V19" s="48"/>
      <c r="W19" s="48"/>
      <c r="X19" s="48"/>
    </row>
    <row r="20" spans="1:24" ht="15.75">
      <c r="H20" s="37" t="s">
        <v>109</v>
      </c>
      <c r="I20" s="60">
        <f>ONSV_AUX_2018!S62</f>
        <v>548336</v>
      </c>
      <c r="J20" s="10">
        <f t="shared" ref="J20:J22" si="0">I20</f>
        <v>548336</v>
      </c>
      <c r="K20" s="11"/>
      <c r="L20" s="11"/>
      <c r="M20" s="11"/>
      <c r="N20" s="28" t="s">
        <v>151</v>
      </c>
      <c r="O20" s="60">
        <f>IF((J14-O17-O19-O18)&lt;0,0,(J14-O17-O19-O18))</f>
        <v>0</v>
      </c>
      <c r="P20" s="48"/>
      <c r="Q20" s="48"/>
      <c r="R20" s="48"/>
      <c r="S20" s="48"/>
      <c r="T20" s="48"/>
      <c r="U20" s="62"/>
      <c r="V20" s="48"/>
      <c r="W20" s="48"/>
      <c r="X20" s="48"/>
    </row>
    <row r="21" spans="1:24" ht="15.75">
      <c r="H21" s="37" t="s">
        <v>110</v>
      </c>
      <c r="I21" s="60">
        <f>ONSV_AUX_2018!S63</f>
        <v>97073</v>
      </c>
      <c r="J21" s="10">
        <f t="shared" si="0"/>
        <v>97073</v>
      </c>
      <c r="K21" s="11"/>
      <c r="L21" s="11"/>
      <c r="M21" s="11"/>
      <c r="O21" s="48"/>
      <c r="P21" s="76"/>
      <c r="Q21" s="48"/>
      <c r="R21" s="48"/>
      <c r="S21" s="48"/>
      <c r="T21" s="79" t="s">
        <v>156</v>
      </c>
      <c r="U21" s="80">
        <f>(SUM(U7:U19,X7:X18)/SUM(I14:I23))-1</f>
        <v>0</v>
      </c>
      <c r="V21" s="48"/>
      <c r="W21" s="79" t="s">
        <v>10</v>
      </c>
      <c r="X21" s="67">
        <f>SUM(U7:U19,X7:X18)</f>
        <v>1151269</v>
      </c>
    </row>
    <row r="22" spans="1:24" ht="15.75">
      <c r="H22" s="37" t="s">
        <v>111</v>
      </c>
      <c r="I22" s="60">
        <f>ONSV_AUX_2018!S64</f>
        <v>7415</v>
      </c>
      <c r="J22" s="10">
        <f t="shared" si="0"/>
        <v>7415</v>
      </c>
      <c r="K22" s="11"/>
      <c r="L22" s="11"/>
      <c r="M22" s="11"/>
      <c r="O22" s="48"/>
      <c r="P22" s="76"/>
      <c r="Q22" s="48"/>
      <c r="R22" s="48"/>
      <c r="S22" s="48"/>
      <c r="T22" s="48"/>
      <c r="U22" s="48"/>
      <c r="V22" s="48"/>
      <c r="W22" s="48"/>
      <c r="X22" s="48"/>
    </row>
    <row r="23" spans="1:24" ht="15.75">
      <c r="H23" s="37" t="s">
        <v>112</v>
      </c>
      <c r="I23" s="60">
        <f>ONSV_AUX_2018!S65</f>
        <v>7074</v>
      </c>
      <c r="J23" s="61">
        <f>I23-(L12*I8)</f>
        <v>7072.7768308524273</v>
      </c>
      <c r="K23" s="12"/>
      <c r="L23" s="12"/>
      <c r="M23" s="12"/>
      <c r="N23" s="12"/>
      <c r="O23" s="12"/>
      <c r="P23" s="12"/>
      <c r="Q23" s="4"/>
      <c r="R23" s="4"/>
    </row>
    <row r="25" spans="1:24" s="34" customFormat="1" ht="15.75">
      <c r="A25" s="101" t="str">
        <f>"PIAUÍ/"&amp;ONSV_AUX_2017!A1&amp;""</f>
        <v>PIAUÍ/2017</v>
      </c>
      <c r="B25" s="102"/>
      <c r="C25" s="102"/>
      <c r="D25" s="102"/>
      <c r="E25" s="102"/>
      <c r="F25" s="102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 spans="1:24" ht="15.75">
      <c r="A26" s="12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>
      <c r="A27" s="12"/>
      <c r="H27" s="23" t="s">
        <v>118</v>
      </c>
      <c r="N27" s="26"/>
      <c r="O27" s="26"/>
      <c r="P27" s="9"/>
      <c r="Q27" s="26"/>
      <c r="R27" s="26"/>
      <c r="S27" s="26"/>
      <c r="T27" s="104"/>
      <c r="U27" s="104"/>
      <c r="V27" s="104"/>
      <c r="W27" s="104"/>
      <c r="X27" s="104"/>
    </row>
    <row r="28" spans="1:24" ht="15.75">
      <c r="B28" s="5"/>
      <c r="J28" s="9"/>
      <c r="M28" s="25"/>
    </row>
    <row r="29" spans="1:24" ht="15.75">
      <c r="H29" s="36" t="s">
        <v>81</v>
      </c>
      <c r="I29" s="60">
        <f>ONSV_AUX_2017!S27</f>
        <v>18406</v>
      </c>
      <c r="J29" s="9"/>
      <c r="K29" s="104" t="s">
        <v>119</v>
      </c>
      <c r="L29" s="104"/>
      <c r="M29" s="9"/>
      <c r="N29" s="26" t="s">
        <v>120</v>
      </c>
      <c r="O29" s="26"/>
      <c r="Q29" s="26" t="s">
        <v>121</v>
      </c>
      <c r="R29" s="26"/>
      <c r="S29" s="26"/>
      <c r="T29" s="25" t="s">
        <v>122</v>
      </c>
      <c r="U29" s="25"/>
      <c r="V29" s="25"/>
      <c r="W29" s="25"/>
      <c r="X29" s="25"/>
    </row>
    <row r="30" spans="1:24" ht="15.75">
      <c r="H30" s="36" t="s">
        <v>84</v>
      </c>
      <c r="I30" s="60">
        <f>ONSV_AUX_2017!S28</f>
        <v>391187</v>
      </c>
      <c r="J30" s="9"/>
      <c r="K30" s="9"/>
      <c r="L30" s="9"/>
      <c r="M30" s="9"/>
      <c r="N30" s="9"/>
      <c r="O30" s="9"/>
      <c r="P30" s="20"/>
      <c r="Q30" s="11"/>
      <c r="R30" s="11"/>
      <c r="S30" s="11"/>
    </row>
    <row r="31" spans="1:24" ht="15.75">
      <c r="H31" s="36" t="s">
        <v>85</v>
      </c>
      <c r="I31" s="60">
        <f>ONSV_AUX_2017!S29</f>
        <v>87178</v>
      </c>
      <c r="J31" s="9"/>
      <c r="K31" s="2" t="s">
        <v>123</v>
      </c>
      <c r="L31" s="60">
        <f>I38+I41+I42+I47</f>
        <v>435584</v>
      </c>
      <c r="N31" s="28" t="s">
        <v>124</v>
      </c>
      <c r="O31" s="60">
        <f>J38+J47</f>
        <v>338096.40962018812</v>
      </c>
      <c r="P31" s="64"/>
      <c r="Q31" s="65" t="s">
        <v>125</v>
      </c>
      <c r="R31" s="60">
        <f>J41+J42</f>
        <v>97436.59037981194</v>
      </c>
      <c r="S31" s="66"/>
      <c r="T31" s="65" t="s">
        <v>126</v>
      </c>
      <c r="U31" s="67">
        <f>O35</f>
        <v>6224.2711509146338</v>
      </c>
      <c r="V31" s="48"/>
      <c r="W31" s="65" t="s">
        <v>127</v>
      </c>
      <c r="X31" s="68">
        <f>R37</f>
        <v>7806.5554039077251</v>
      </c>
    </row>
    <row r="32" spans="1:24" ht="15.75">
      <c r="H32" s="36" t="s">
        <v>101</v>
      </c>
      <c r="I32" s="60">
        <f>ONSV_AUX_2017!S30</f>
        <v>51</v>
      </c>
      <c r="J32" s="9"/>
      <c r="K32" s="27"/>
      <c r="L32" s="62"/>
      <c r="M32" s="20"/>
      <c r="N32" s="28" t="s">
        <v>128</v>
      </c>
      <c r="O32" s="69">
        <f>J38/O31</f>
        <v>0.98159024771098013</v>
      </c>
      <c r="P32" s="64"/>
      <c r="Q32" s="70" t="s">
        <v>129</v>
      </c>
      <c r="R32" s="63">
        <f>J41/R31</f>
        <v>0.831715376405878</v>
      </c>
      <c r="S32" s="71"/>
      <c r="T32" s="65" t="s">
        <v>130</v>
      </c>
      <c r="U32" s="67">
        <f>I47-J47</f>
        <v>0.72884908536616422</v>
      </c>
      <c r="V32" s="48"/>
      <c r="W32" s="65" t="s">
        <v>131</v>
      </c>
      <c r="X32" s="68">
        <f>I42-J42</f>
        <v>1.9200636386995029</v>
      </c>
    </row>
    <row r="33" spans="8:24" ht="15.75">
      <c r="H33" s="36" t="s">
        <v>16</v>
      </c>
      <c r="I33" s="60">
        <f>ONSV_AUX_2017!S31</f>
        <v>675</v>
      </c>
      <c r="J33" s="9"/>
      <c r="K33" s="2" t="s">
        <v>132</v>
      </c>
      <c r="L33" s="63">
        <f>I38/L31</f>
        <v>0.761990798560094</v>
      </c>
      <c r="M33" s="20"/>
      <c r="N33" s="28" t="s">
        <v>133</v>
      </c>
      <c r="O33" s="69">
        <f>J47/O31</f>
        <v>1.8409752289019799E-2</v>
      </c>
      <c r="P33" s="64"/>
      <c r="Q33" s="70" t="s">
        <v>134</v>
      </c>
      <c r="R33" s="63">
        <f>J42/R31</f>
        <v>0.168284623594122</v>
      </c>
      <c r="S33" s="71"/>
      <c r="T33" s="65" t="s">
        <v>135</v>
      </c>
      <c r="U33" s="72">
        <f>O37</f>
        <v>0</v>
      </c>
      <c r="V33" s="73"/>
      <c r="W33" s="65" t="s">
        <v>136</v>
      </c>
      <c r="X33" s="72">
        <f>R40</f>
        <v>8590.5245324535754</v>
      </c>
    </row>
    <row r="34" spans="8:24" ht="15.75">
      <c r="H34" s="36" t="s">
        <v>94</v>
      </c>
      <c r="I34" s="60">
        <f>ONSV_AUX_2017!S32</f>
        <v>604640</v>
      </c>
      <c r="J34" s="10"/>
      <c r="K34" s="2" t="s">
        <v>2</v>
      </c>
      <c r="L34" s="63">
        <f>I41/L31</f>
        <v>0.18606973626212167</v>
      </c>
      <c r="M34" s="20"/>
      <c r="N34" s="20"/>
      <c r="O34" s="74"/>
      <c r="P34" s="48"/>
      <c r="Q34" s="48"/>
      <c r="R34" s="48"/>
      <c r="S34" s="48"/>
      <c r="T34" s="48"/>
      <c r="U34" s="62"/>
      <c r="V34" s="75"/>
      <c r="W34" s="48"/>
      <c r="X34" s="62"/>
    </row>
    <row r="35" spans="8:24" ht="15.75">
      <c r="K35" s="2" t="s">
        <v>3</v>
      </c>
      <c r="L35" s="63">
        <f>I42/L31</f>
        <v>3.7648306641198941E-2</v>
      </c>
      <c r="M35" s="20"/>
      <c r="N35" s="28" t="s">
        <v>137</v>
      </c>
      <c r="O35" s="60">
        <f>IF(O33*I30&gt;J47,J47,O33*I30)</f>
        <v>6224.2711509146338</v>
      </c>
      <c r="P35" s="76"/>
      <c r="Q35" s="65" t="s">
        <v>138</v>
      </c>
      <c r="R35" s="60">
        <f>I31-I39-I40-I43-I46</f>
        <v>46389</v>
      </c>
      <c r="S35" s="77"/>
      <c r="T35" s="65" t="s">
        <v>139</v>
      </c>
      <c r="U35" s="67">
        <f>O43</f>
        <v>312791.13846927346</v>
      </c>
      <c r="V35" s="76"/>
      <c r="W35" s="65" t="s">
        <v>140</v>
      </c>
      <c r="X35" s="67">
        <f>I39</f>
        <v>28037</v>
      </c>
    </row>
    <row r="36" spans="8:24" ht="15.75">
      <c r="H36" s="24" t="s">
        <v>141</v>
      </c>
      <c r="K36" s="2" t="s">
        <v>0</v>
      </c>
      <c r="L36" s="63">
        <f>I47/L31</f>
        <v>1.4291158536585366E-2</v>
      </c>
      <c r="O36" s="48"/>
      <c r="P36" s="76"/>
      <c r="Q36" s="65" t="s">
        <v>142</v>
      </c>
      <c r="R36" s="60">
        <f>R32*R35</f>
        <v>38582.444596092275</v>
      </c>
      <c r="S36" s="48"/>
      <c r="T36" s="65" t="s">
        <v>143</v>
      </c>
      <c r="U36" s="67">
        <f>O41</f>
        <v>18406</v>
      </c>
      <c r="V36" s="66"/>
      <c r="W36" s="65" t="s">
        <v>144</v>
      </c>
      <c r="X36" s="67">
        <f>I40</f>
        <v>2436</v>
      </c>
    </row>
    <row r="37" spans="8:24" ht="15.75">
      <c r="K37" s="11"/>
      <c r="L37" s="11"/>
      <c r="M37" s="11"/>
      <c r="N37" s="28" t="s">
        <v>145</v>
      </c>
      <c r="O37" s="60">
        <f>J47-O35</f>
        <v>0</v>
      </c>
      <c r="P37" s="76"/>
      <c r="Q37" s="65" t="s">
        <v>127</v>
      </c>
      <c r="R37" s="60">
        <f>R33*R35</f>
        <v>7806.5554039077251</v>
      </c>
      <c r="S37" s="48"/>
      <c r="T37" s="65" t="s">
        <v>146</v>
      </c>
      <c r="U37" s="67">
        <f>O42</f>
        <v>675</v>
      </c>
      <c r="V37" s="71"/>
      <c r="W37" s="48"/>
      <c r="X37" s="62"/>
    </row>
    <row r="38" spans="8:24" ht="15.75">
      <c r="H38" s="37" t="s">
        <v>103</v>
      </c>
      <c r="I38" s="60">
        <f>ONSV_AUX_2017!S56</f>
        <v>331911</v>
      </c>
      <c r="J38" s="61">
        <f>I38-(L33*I32)</f>
        <v>331872.13846927346</v>
      </c>
      <c r="K38" s="11"/>
      <c r="L38" s="11"/>
      <c r="M38" s="11"/>
      <c r="O38" s="76"/>
      <c r="P38" s="76"/>
      <c r="Q38" s="48"/>
      <c r="R38" s="78"/>
      <c r="S38" s="48"/>
      <c r="T38" s="65" t="s">
        <v>147</v>
      </c>
      <c r="U38" s="68">
        <f>I38-J38</f>
        <v>38.861530726542696</v>
      </c>
      <c r="V38" s="71"/>
      <c r="W38" s="65" t="s">
        <v>148</v>
      </c>
      <c r="X38" s="67">
        <f>I46</f>
        <v>6748</v>
      </c>
    </row>
    <row r="39" spans="8:24" ht="15.75">
      <c r="H39" s="37" t="s">
        <v>104</v>
      </c>
      <c r="I39" s="60">
        <f>ONSV_AUX_2017!S57</f>
        <v>28037</v>
      </c>
      <c r="J39" s="10">
        <f>I39</f>
        <v>28037</v>
      </c>
      <c r="K39" s="11"/>
      <c r="L39" s="11"/>
      <c r="M39" s="11"/>
      <c r="N39" s="26" t="s">
        <v>149</v>
      </c>
      <c r="O39" s="76"/>
      <c r="P39" s="76"/>
      <c r="Q39" s="65" t="s">
        <v>150</v>
      </c>
      <c r="R39" s="60">
        <f>J41-R36</f>
        <v>42457.065847358361</v>
      </c>
      <c r="S39" s="48"/>
      <c r="T39" s="65" t="s">
        <v>151</v>
      </c>
      <c r="U39" s="72">
        <f>O44</f>
        <v>0</v>
      </c>
      <c r="V39" s="48"/>
      <c r="W39" s="65" t="s">
        <v>152</v>
      </c>
      <c r="X39" s="67">
        <f>I43</f>
        <v>3568</v>
      </c>
    </row>
    <row r="40" spans="8:24" ht="15.75">
      <c r="H40" s="37" t="s">
        <v>105</v>
      </c>
      <c r="I40" s="60">
        <f>ONSV_AUX_2017!S58</f>
        <v>2436</v>
      </c>
      <c r="J40" s="10">
        <f>I40</f>
        <v>2436</v>
      </c>
      <c r="K40" s="11"/>
      <c r="L40" s="11"/>
      <c r="M40" s="11"/>
      <c r="O40" s="73"/>
      <c r="P40" s="76"/>
      <c r="Q40" s="65" t="s">
        <v>136</v>
      </c>
      <c r="R40" s="60">
        <f>J42-R37</f>
        <v>8590.5245324535754</v>
      </c>
      <c r="S40" s="48"/>
      <c r="T40" s="48"/>
      <c r="U40" s="62"/>
      <c r="V40" s="77"/>
      <c r="W40" s="48"/>
      <c r="X40" s="62"/>
    </row>
    <row r="41" spans="8:24" ht="15.75">
      <c r="H41" s="37" t="s">
        <v>106</v>
      </c>
      <c r="I41" s="60">
        <f>ONSV_AUX_2017!S59</f>
        <v>81049</v>
      </c>
      <c r="J41" s="61">
        <f>I41-(L34*I32)</f>
        <v>81039.510443450636</v>
      </c>
      <c r="K41" s="11"/>
      <c r="L41" s="11"/>
      <c r="M41" s="11"/>
      <c r="N41" s="28" t="s">
        <v>143</v>
      </c>
      <c r="O41" s="60">
        <f>I29</f>
        <v>18406</v>
      </c>
      <c r="P41" s="76"/>
      <c r="Q41" s="48"/>
      <c r="R41" s="48"/>
      <c r="S41" s="77"/>
      <c r="T41" s="65" t="s">
        <v>142</v>
      </c>
      <c r="U41" s="68">
        <f>R36</f>
        <v>38582.444596092275</v>
      </c>
      <c r="V41" s="48"/>
      <c r="W41" s="65" t="s">
        <v>153</v>
      </c>
      <c r="X41" s="67">
        <f>I44</f>
        <v>526935</v>
      </c>
    </row>
    <row r="42" spans="8:24" ht="15.75">
      <c r="H42" s="37" t="s">
        <v>107</v>
      </c>
      <c r="I42" s="60">
        <f>ONSV_AUX_2017!S60</f>
        <v>16399</v>
      </c>
      <c r="J42" s="61">
        <f>I42-(L35*I32)</f>
        <v>16397.0799363613</v>
      </c>
      <c r="K42" s="11"/>
      <c r="L42" s="11"/>
      <c r="M42" s="11"/>
      <c r="N42" s="28" t="s">
        <v>146</v>
      </c>
      <c r="O42" s="60">
        <f>I33</f>
        <v>675</v>
      </c>
      <c r="P42" s="76"/>
      <c r="Q42" s="48"/>
      <c r="R42" s="48"/>
      <c r="S42" s="48"/>
      <c r="T42" s="65" t="s">
        <v>154</v>
      </c>
      <c r="U42" s="68">
        <f>I41-J41</f>
        <v>9.4895565493643517</v>
      </c>
      <c r="V42" s="48"/>
      <c r="W42" s="65" t="s">
        <v>155</v>
      </c>
      <c r="X42" s="67">
        <f>I45</f>
        <v>93281</v>
      </c>
    </row>
    <row r="43" spans="8:24" ht="15.75">
      <c r="H43" s="37" t="s">
        <v>108</v>
      </c>
      <c r="I43" s="60">
        <f>ONSV_AUX_2017!S61</f>
        <v>3568</v>
      </c>
      <c r="J43" s="10">
        <f>I43</f>
        <v>3568</v>
      </c>
      <c r="K43" s="11"/>
      <c r="L43" s="11"/>
      <c r="M43" s="11"/>
      <c r="N43" s="28" t="s">
        <v>139</v>
      </c>
      <c r="O43" s="60">
        <f>IF(OR((O32*I30&gt;J38),((O41+O42+(O32*I30))&gt;J38)),(J38-O41-O42),(O32*I30))</f>
        <v>312791.13846927346</v>
      </c>
      <c r="P43" s="76"/>
      <c r="Q43" s="48"/>
      <c r="R43" s="78"/>
      <c r="S43" s="48"/>
      <c r="T43" s="65" t="s">
        <v>150</v>
      </c>
      <c r="U43" s="72">
        <f>R39</f>
        <v>42457.065847358361</v>
      </c>
      <c r="V43" s="48"/>
      <c r="W43" s="48"/>
      <c r="X43" s="48"/>
    </row>
    <row r="44" spans="8:24" ht="15.75">
      <c r="H44" s="37" t="s">
        <v>109</v>
      </c>
      <c r="I44" s="60">
        <f>ONSV_AUX_2017!S62</f>
        <v>526935</v>
      </c>
      <c r="J44" s="10">
        <f>I44</f>
        <v>526935</v>
      </c>
      <c r="K44" s="11"/>
      <c r="L44" s="11"/>
      <c r="M44" s="11"/>
      <c r="N44" s="28" t="s">
        <v>151</v>
      </c>
      <c r="O44" s="60">
        <f>IF((J38-O41-O43-O42)&lt;0,0,(J38-O41-O43-O42))</f>
        <v>0</v>
      </c>
      <c r="P44" s="48"/>
      <c r="Q44" s="48"/>
      <c r="R44" s="48"/>
      <c r="S44" s="48"/>
      <c r="T44" s="48"/>
      <c r="U44" s="62"/>
      <c r="V44" s="48"/>
      <c r="W44" s="48"/>
      <c r="X44" s="48"/>
    </row>
    <row r="45" spans="8:24" ht="15.75">
      <c r="H45" s="37" t="s">
        <v>110</v>
      </c>
      <c r="I45" s="60">
        <f>ONSV_AUX_2017!S63</f>
        <v>93281</v>
      </c>
      <c r="J45" s="10">
        <f>I45</f>
        <v>93281</v>
      </c>
      <c r="K45" s="11"/>
      <c r="L45" s="11"/>
      <c r="M45" s="11"/>
      <c r="O45" s="48"/>
      <c r="P45" s="76"/>
      <c r="Q45" s="48"/>
      <c r="R45" s="48"/>
      <c r="S45" s="48"/>
      <c r="T45" s="79" t="s">
        <v>156</v>
      </c>
      <c r="U45" s="80">
        <f>(SUM(U31:U43,X31:X42)/SUM(I38:I47))-1</f>
        <v>0</v>
      </c>
      <c r="V45" s="48"/>
      <c r="W45" s="79" t="s">
        <v>10</v>
      </c>
      <c r="X45" s="67">
        <f>SUM(U31:U43,X31:X42)</f>
        <v>1096589</v>
      </c>
    </row>
    <row r="46" spans="8:24" ht="15.75">
      <c r="H46" s="37" t="s">
        <v>111</v>
      </c>
      <c r="I46" s="60">
        <f>ONSV_AUX_2017!S64</f>
        <v>6748</v>
      </c>
      <c r="J46" s="10">
        <f>I46</f>
        <v>6748</v>
      </c>
      <c r="K46" s="11"/>
      <c r="L46" s="11"/>
      <c r="M46" s="11"/>
      <c r="O46" s="48"/>
      <c r="P46" s="76"/>
      <c r="Q46" s="48"/>
      <c r="R46" s="48"/>
      <c r="S46" s="48"/>
      <c r="T46" s="48"/>
      <c r="U46" s="48"/>
      <c r="V46" s="48"/>
      <c r="W46" s="48"/>
      <c r="X46" s="48"/>
    </row>
    <row r="47" spans="8:24" ht="15.75">
      <c r="H47" s="37" t="s">
        <v>112</v>
      </c>
      <c r="I47" s="60">
        <f>ONSV_AUX_2017!S65</f>
        <v>6225</v>
      </c>
      <c r="J47" s="61">
        <f>I47-(L36*I32)</f>
        <v>6224.2711509146338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39"/>
      <c r="I48" s="40"/>
      <c r="J48" s="40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4" customFormat="1" ht="15.75">
      <c r="A50" s="101" t="str">
        <f>"PIAUÍ/"&amp;ONSV_AUX_2016!A1&amp;""</f>
        <v>PIAUÍ/2016</v>
      </c>
      <c r="B50" s="102"/>
      <c r="C50" s="102"/>
      <c r="D50" s="102"/>
      <c r="E50" s="102"/>
      <c r="F50" s="102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</row>
    <row r="52" spans="1:24" ht="15.75">
      <c r="H52" s="23" t="s">
        <v>118</v>
      </c>
      <c r="N52" s="26"/>
      <c r="O52" s="26"/>
      <c r="P52" s="9"/>
      <c r="Q52" s="26"/>
      <c r="R52" s="26"/>
      <c r="S52" s="26"/>
      <c r="T52" s="104"/>
      <c r="U52" s="104"/>
      <c r="V52" s="104"/>
      <c r="W52" s="104"/>
      <c r="X52" s="104"/>
    </row>
    <row r="53" spans="1:24" ht="15.75">
      <c r="J53" s="9"/>
      <c r="M53" s="25"/>
      <c r="N53" s="9"/>
      <c r="O53" s="9"/>
      <c r="P53" s="9"/>
      <c r="Q53" s="11"/>
      <c r="R53" s="11"/>
      <c r="S53" s="11"/>
    </row>
    <row r="54" spans="1:24" ht="15.75">
      <c r="H54" s="36" t="s">
        <v>81</v>
      </c>
      <c r="I54" s="60">
        <f>ONSV_AUX_2016!S27</f>
        <v>18306</v>
      </c>
      <c r="J54" s="9"/>
      <c r="K54" s="104" t="s">
        <v>119</v>
      </c>
      <c r="L54" s="104"/>
      <c r="M54" s="9"/>
      <c r="N54" s="26" t="s">
        <v>120</v>
      </c>
      <c r="O54" s="26"/>
      <c r="Q54" s="26" t="s">
        <v>121</v>
      </c>
      <c r="R54" s="26"/>
      <c r="S54" s="26"/>
      <c r="T54" s="25" t="s">
        <v>122</v>
      </c>
      <c r="U54" s="25"/>
      <c r="V54" s="25"/>
      <c r="W54" s="25"/>
      <c r="X54" s="25"/>
    </row>
    <row r="55" spans="1:24" ht="15.75">
      <c r="H55" s="36" t="s">
        <v>84</v>
      </c>
      <c r="I55" s="60">
        <f>ONSV_AUX_2016!S28</f>
        <v>359676</v>
      </c>
      <c r="J55" s="9"/>
      <c r="K55" s="9"/>
      <c r="L55" s="9"/>
      <c r="M55" s="9"/>
      <c r="N55" s="9"/>
      <c r="O55" s="9"/>
      <c r="P55" s="20"/>
      <c r="Q55" s="11"/>
      <c r="R55" s="11"/>
      <c r="S55" s="11"/>
    </row>
    <row r="56" spans="1:24" ht="15.75">
      <c r="H56" s="36" t="s">
        <v>85</v>
      </c>
      <c r="I56" s="60">
        <f>ONSV_AUX_2016!S29</f>
        <v>81840</v>
      </c>
      <c r="J56" s="9"/>
      <c r="K56" s="2" t="s">
        <v>123</v>
      </c>
      <c r="L56" s="60">
        <f>I63+I66+I67+I72</f>
        <v>409419</v>
      </c>
      <c r="N56" s="28" t="s">
        <v>124</v>
      </c>
      <c r="O56" s="60">
        <f>J63+J72</f>
        <v>318427.10890798911</v>
      </c>
      <c r="P56" s="64"/>
      <c r="Q56" s="65" t="s">
        <v>125</v>
      </c>
      <c r="R56" s="60">
        <f>J66+J67</f>
        <v>90950.891092010876</v>
      </c>
      <c r="S56" s="66"/>
      <c r="T56" s="65" t="s">
        <v>126</v>
      </c>
      <c r="U56" s="67">
        <f>O60</f>
        <v>5467.4524240448045</v>
      </c>
      <c r="V56" s="48"/>
      <c r="W56" s="65" t="s">
        <v>127</v>
      </c>
      <c r="X56" s="68">
        <f>R62</f>
        <v>7344.6911719437121</v>
      </c>
    </row>
    <row r="57" spans="1:24" ht="15.75">
      <c r="H57" s="36" t="s">
        <v>101</v>
      </c>
      <c r="I57" s="60">
        <f>ONSV_AUX_2016!S30</f>
        <v>41</v>
      </c>
      <c r="J57" s="9"/>
      <c r="K57" s="27"/>
      <c r="L57" s="62"/>
      <c r="M57" s="20"/>
      <c r="N57" s="28" t="s">
        <v>128</v>
      </c>
      <c r="O57" s="69">
        <f>J63/O56</f>
        <v>0.98282981482702647</v>
      </c>
      <c r="P57" s="64"/>
      <c r="Q57" s="70" t="s">
        <v>129</v>
      </c>
      <c r="R57" s="63">
        <f>J66/R56</f>
        <v>0.82927660510114332</v>
      </c>
      <c r="S57" s="71"/>
      <c r="T57" s="65" t="s">
        <v>130</v>
      </c>
      <c r="U57" s="67">
        <f>I72-J72</f>
        <v>0.54757595519549795</v>
      </c>
      <c r="V57" s="48"/>
      <c r="W57" s="65" t="s">
        <v>131</v>
      </c>
      <c r="X57" s="68">
        <f>I67-J67</f>
        <v>1.5551036957240285</v>
      </c>
    </row>
    <row r="58" spans="1:24" ht="15.75">
      <c r="H58" s="36" t="s">
        <v>16</v>
      </c>
      <c r="I58" s="60">
        <f>ONSV_AUX_2016!S31</f>
        <v>641</v>
      </c>
      <c r="J58" s="9"/>
      <c r="K58" s="2" t="s">
        <v>132</v>
      </c>
      <c r="L58" s="63">
        <f>I63/L56</f>
        <v>0.76447600135802196</v>
      </c>
      <c r="M58" s="20"/>
      <c r="N58" s="28" t="s">
        <v>133</v>
      </c>
      <c r="O58" s="69">
        <f>J72/O56</f>
        <v>1.7170185172973602E-2</v>
      </c>
      <c r="P58" s="64"/>
      <c r="Q58" s="70" t="s">
        <v>134</v>
      </c>
      <c r="R58" s="63">
        <f>J67/R56</f>
        <v>0.17072339489885666</v>
      </c>
      <c r="S58" s="71"/>
      <c r="T58" s="65" t="s">
        <v>135</v>
      </c>
      <c r="U58" s="72">
        <f>O62</f>
        <v>0</v>
      </c>
      <c r="V58" s="73"/>
      <c r="W58" s="65" t="s">
        <v>136</v>
      </c>
      <c r="X58" s="72">
        <f>R65</f>
        <v>8182.7537243605639</v>
      </c>
    </row>
    <row r="59" spans="1:24" ht="15.75">
      <c r="H59" s="36" t="s">
        <v>94</v>
      </c>
      <c r="I59" s="60">
        <f>ONSV_AUX_2016!S32</f>
        <v>585008</v>
      </c>
      <c r="J59" s="10"/>
      <c r="K59" s="2" t="s">
        <v>2</v>
      </c>
      <c r="L59" s="63">
        <f>I66/L56</f>
        <v>0.1842391291073448</v>
      </c>
      <c r="M59" s="20"/>
      <c r="N59" s="20"/>
      <c r="O59" s="74"/>
      <c r="P59" s="48"/>
      <c r="Q59" s="48"/>
      <c r="R59" s="48"/>
      <c r="S59" s="48"/>
      <c r="T59" s="48"/>
      <c r="U59" s="62"/>
      <c r="V59" s="75"/>
      <c r="W59" s="48"/>
      <c r="X59" s="62"/>
    </row>
    <row r="60" spans="1:24" ht="15.75">
      <c r="K60" s="2" t="s">
        <v>3</v>
      </c>
      <c r="L60" s="63">
        <f>I67/L56</f>
        <v>3.7929358432315062E-2</v>
      </c>
      <c r="M60" s="20"/>
      <c r="N60" s="28" t="s">
        <v>137</v>
      </c>
      <c r="O60" s="60">
        <f>IF(O58*I55&gt;J72,J72,O58*I55)</f>
        <v>5467.4524240448045</v>
      </c>
      <c r="P60" s="76"/>
      <c r="Q60" s="65" t="s">
        <v>138</v>
      </c>
      <c r="R60" s="60">
        <f>I56-I64-I65-I68-I71</f>
        <v>43021</v>
      </c>
      <c r="S60" s="77"/>
      <c r="T60" s="65" t="s">
        <v>139</v>
      </c>
      <c r="U60" s="67">
        <f>O68</f>
        <v>294012.65648394433</v>
      </c>
      <c r="V60" s="76"/>
      <c r="W60" s="65" t="s">
        <v>140</v>
      </c>
      <c r="X60" s="67">
        <f>I64</f>
        <v>26891</v>
      </c>
    </row>
    <row r="61" spans="1:24" ht="15.75">
      <c r="H61" s="24" t="s">
        <v>141</v>
      </c>
      <c r="K61" s="2" t="s">
        <v>0</v>
      </c>
      <c r="L61" s="63">
        <f>I72/L56</f>
        <v>1.3355511102318163E-2</v>
      </c>
      <c r="O61" s="48"/>
      <c r="P61" s="76"/>
      <c r="Q61" s="65" t="s">
        <v>142</v>
      </c>
      <c r="R61" s="60">
        <f>R57*R60</f>
        <v>35676.308828056288</v>
      </c>
      <c r="S61" s="48"/>
      <c r="T61" s="65" t="s">
        <v>143</v>
      </c>
      <c r="U61" s="67">
        <f>O66</f>
        <v>18306</v>
      </c>
      <c r="V61" s="66"/>
      <c r="W61" s="65" t="s">
        <v>144</v>
      </c>
      <c r="X61" s="67">
        <f>I65</f>
        <v>2362</v>
      </c>
    </row>
    <row r="62" spans="1:24" ht="15.75">
      <c r="K62" s="11"/>
      <c r="L62" s="11"/>
      <c r="M62" s="11"/>
      <c r="N62" s="28" t="s">
        <v>145</v>
      </c>
      <c r="O62" s="60">
        <f>J72-O60</f>
        <v>0</v>
      </c>
      <c r="P62" s="76"/>
      <c r="Q62" s="65" t="s">
        <v>127</v>
      </c>
      <c r="R62" s="60">
        <f>R58*R60</f>
        <v>7344.6911719437121</v>
      </c>
      <c r="S62" s="48"/>
      <c r="T62" s="65" t="s">
        <v>146</v>
      </c>
      <c r="U62" s="67">
        <f>O67</f>
        <v>641</v>
      </c>
      <c r="V62" s="71"/>
      <c r="W62" s="48"/>
      <c r="X62" s="62"/>
    </row>
    <row r="63" spans="1:24" ht="15.75">
      <c r="H63" s="37" t="s">
        <v>103</v>
      </c>
      <c r="I63" s="60">
        <f>ONSV_AUX_2016!S56</f>
        <v>312991</v>
      </c>
      <c r="J63" s="61">
        <f>I63-(L58*I57)</f>
        <v>312959.65648394433</v>
      </c>
      <c r="K63" s="11"/>
      <c r="L63" s="11"/>
      <c r="M63" s="11"/>
      <c r="O63" s="76"/>
      <c r="P63" s="76"/>
      <c r="Q63" s="48"/>
      <c r="R63" s="78"/>
      <c r="S63" s="48"/>
      <c r="T63" s="65" t="s">
        <v>147</v>
      </c>
      <c r="U63" s="68">
        <f>I63-J63</f>
        <v>31.34351605566917</v>
      </c>
      <c r="V63" s="71"/>
      <c r="W63" s="65" t="s">
        <v>148</v>
      </c>
      <c r="X63" s="67">
        <f>I71</f>
        <v>6310</v>
      </c>
    </row>
    <row r="64" spans="1:24" ht="15.75">
      <c r="H64" s="37" t="s">
        <v>104</v>
      </c>
      <c r="I64" s="60">
        <f>ONSV_AUX_2016!S57</f>
        <v>26891</v>
      </c>
      <c r="J64" s="10">
        <f>I64</f>
        <v>26891</v>
      </c>
      <c r="K64" s="11"/>
      <c r="L64" s="11"/>
      <c r="M64" s="11"/>
      <c r="N64" s="26" t="s">
        <v>149</v>
      </c>
      <c r="O64" s="76"/>
      <c r="P64" s="76"/>
      <c r="Q64" s="65" t="s">
        <v>150</v>
      </c>
      <c r="R64" s="60">
        <f>J66-R61</f>
        <v>39747.137367650306</v>
      </c>
      <c r="S64" s="48"/>
      <c r="T64" s="65" t="s">
        <v>151</v>
      </c>
      <c r="U64" s="72">
        <f>O69</f>
        <v>0</v>
      </c>
      <c r="V64" s="48"/>
      <c r="W64" s="65" t="s">
        <v>152</v>
      </c>
      <c r="X64" s="67">
        <f>I68</f>
        <v>3256</v>
      </c>
    </row>
    <row r="65" spans="1:24" ht="15.75">
      <c r="H65" s="37" t="s">
        <v>105</v>
      </c>
      <c r="I65" s="60">
        <f>ONSV_AUX_2016!S58</f>
        <v>2362</v>
      </c>
      <c r="J65" s="10">
        <f>I65</f>
        <v>2362</v>
      </c>
      <c r="K65" s="11"/>
      <c r="L65" s="11"/>
      <c r="M65" s="11"/>
      <c r="O65" s="73"/>
      <c r="P65" s="76"/>
      <c r="Q65" s="65" t="s">
        <v>136</v>
      </c>
      <c r="R65" s="60">
        <f>J67-R62</f>
        <v>8182.7537243605639</v>
      </c>
      <c r="S65" s="48"/>
      <c r="T65" s="48"/>
      <c r="U65" s="62"/>
      <c r="V65" s="77"/>
      <c r="W65" s="48"/>
      <c r="X65" s="62"/>
    </row>
    <row r="66" spans="1:24" ht="15.75">
      <c r="H66" s="37" t="s">
        <v>106</v>
      </c>
      <c r="I66" s="60">
        <f>ONSV_AUX_2016!S59</f>
        <v>75431</v>
      </c>
      <c r="J66" s="61">
        <f>I66-(L59*I57)</f>
        <v>75423.446195706594</v>
      </c>
      <c r="K66" s="11"/>
      <c r="L66" s="11"/>
      <c r="M66" s="11"/>
      <c r="N66" s="28" t="s">
        <v>143</v>
      </c>
      <c r="O66" s="60">
        <f>I54</f>
        <v>18306</v>
      </c>
      <c r="P66" s="76"/>
      <c r="Q66" s="48"/>
      <c r="R66" s="48"/>
      <c r="S66" s="77"/>
      <c r="T66" s="65" t="s">
        <v>142</v>
      </c>
      <c r="U66" s="68">
        <f>R61</f>
        <v>35676.308828056288</v>
      </c>
      <c r="V66" s="48"/>
      <c r="W66" s="65" t="s">
        <v>153</v>
      </c>
      <c r="X66" s="67">
        <f>I69</f>
        <v>502264</v>
      </c>
    </row>
    <row r="67" spans="1:24" ht="15.75">
      <c r="H67" s="37" t="s">
        <v>107</v>
      </c>
      <c r="I67" s="60">
        <f>ONSV_AUX_2016!S60</f>
        <v>15529</v>
      </c>
      <c r="J67" s="61">
        <f>I67-(L60*I57)</f>
        <v>15527.444896304276</v>
      </c>
      <c r="K67" s="11"/>
      <c r="L67" s="11"/>
      <c r="M67" s="11"/>
      <c r="N67" s="28" t="s">
        <v>146</v>
      </c>
      <c r="O67" s="60">
        <f>I58</f>
        <v>641</v>
      </c>
      <c r="P67" s="76"/>
      <c r="Q67" s="48"/>
      <c r="R67" s="48"/>
      <c r="S67" s="48"/>
      <c r="T67" s="65" t="s">
        <v>154</v>
      </c>
      <c r="U67" s="68">
        <f>I66-J66</f>
        <v>7.5538042934058467</v>
      </c>
      <c r="V67" s="48"/>
      <c r="W67" s="65" t="s">
        <v>155</v>
      </c>
      <c r="X67" s="67">
        <f>I70</f>
        <v>89058</v>
      </c>
    </row>
    <row r="68" spans="1:24" ht="15.75">
      <c r="H68" s="37" t="s">
        <v>108</v>
      </c>
      <c r="I68" s="60">
        <f>ONSV_AUX_2016!S61</f>
        <v>3256</v>
      </c>
      <c r="J68" s="10">
        <f>I68</f>
        <v>3256</v>
      </c>
      <c r="K68" s="11"/>
      <c r="L68" s="11"/>
      <c r="M68" s="11"/>
      <c r="N68" s="28" t="s">
        <v>139</v>
      </c>
      <c r="O68" s="60">
        <f>IF(OR((O57*I55&gt;J63),((O66+O67+(O57*I55))&gt;J63)),(J63-O66-O67),(O57*I55))</f>
        <v>294012.65648394433</v>
      </c>
      <c r="P68" s="76"/>
      <c r="Q68" s="48"/>
      <c r="R68" s="78"/>
      <c r="S68" s="48"/>
      <c r="T68" s="65" t="s">
        <v>150</v>
      </c>
      <c r="U68" s="72">
        <f>R64</f>
        <v>39747.137367650306</v>
      </c>
      <c r="V68" s="48"/>
      <c r="W68" s="48"/>
      <c r="X68" s="48"/>
    </row>
    <row r="69" spans="1:24" ht="15.75">
      <c r="H69" s="37" t="s">
        <v>109</v>
      </c>
      <c r="I69" s="60">
        <f>ONSV_AUX_2016!S62</f>
        <v>502264</v>
      </c>
      <c r="J69" s="10">
        <f>I69</f>
        <v>502264</v>
      </c>
      <c r="K69" s="11"/>
      <c r="L69" s="11"/>
      <c r="M69" s="11"/>
      <c r="N69" s="28" t="s">
        <v>151</v>
      </c>
      <c r="O69" s="60">
        <f>IF((J63-O66-O68-O67)&lt;0,0,(J63-O66-O68-O67))</f>
        <v>0</v>
      </c>
      <c r="P69" s="48"/>
      <c r="Q69" s="48"/>
      <c r="R69" s="48"/>
      <c r="S69" s="48"/>
      <c r="T69" s="48"/>
      <c r="U69" s="62"/>
      <c r="V69" s="48"/>
      <c r="W69" s="48"/>
      <c r="X69" s="48"/>
    </row>
    <row r="70" spans="1:24" ht="15.75">
      <c r="H70" s="37" t="s">
        <v>110</v>
      </c>
      <c r="I70" s="60">
        <f>ONSV_AUX_2016!S63</f>
        <v>89058</v>
      </c>
      <c r="J70" s="10">
        <f>I70</f>
        <v>89058</v>
      </c>
      <c r="K70" s="11"/>
      <c r="L70" s="11"/>
      <c r="M70" s="11"/>
      <c r="O70" s="48"/>
      <c r="P70" s="76"/>
      <c r="Q70" s="48"/>
      <c r="R70" s="48"/>
      <c r="S70" s="48"/>
      <c r="T70" s="79" t="s">
        <v>156</v>
      </c>
      <c r="U70" s="80">
        <f>(SUM(U56:U68,X56:X67)/SUM(I63:I72))-1</f>
        <v>0</v>
      </c>
      <c r="V70" s="48"/>
      <c r="W70" s="79" t="s">
        <v>10</v>
      </c>
      <c r="X70" s="67">
        <f>SUM(U56:U68,X56:X67)</f>
        <v>1039560</v>
      </c>
    </row>
    <row r="71" spans="1:24" ht="15.75">
      <c r="H71" s="37" t="s">
        <v>111</v>
      </c>
      <c r="I71" s="60">
        <f>ONSV_AUX_2016!S64</f>
        <v>6310</v>
      </c>
      <c r="J71" s="10">
        <f>I71</f>
        <v>6310</v>
      </c>
      <c r="K71" s="11"/>
      <c r="L71" s="11"/>
      <c r="M71" s="11"/>
      <c r="O71" s="48"/>
      <c r="P71" s="76"/>
      <c r="Q71" s="48"/>
      <c r="R71" s="48"/>
      <c r="S71" s="48"/>
      <c r="T71" s="48"/>
      <c r="U71" s="48"/>
      <c r="V71" s="48"/>
      <c r="W71" s="48"/>
      <c r="X71" s="48"/>
    </row>
    <row r="72" spans="1:24" ht="15.75">
      <c r="H72" s="37" t="s">
        <v>112</v>
      </c>
      <c r="I72" s="60">
        <f>ONSV_AUX_2016!S65</f>
        <v>5468</v>
      </c>
      <c r="J72" s="61">
        <f>I72-(L61*I57)</f>
        <v>5467.4524240448045</v>
      </c>
      <c r="K72" s="12"/>
      <c r="L72" s="12"/>
      <c r="M72" s="12"/>
      <c r="N72" s="12"/>
      <c r="O72" s="12"/>
      <c r="P72" s="12"/>
      <c r="Q72" s="4"/>
      <c r="R72" s="4"/>
    </row>
    <row r="75" spans="1:24" s="34" customFormat="1" ht="15.75">
      <c r="A75" s="101" t="str">
        <f>"PIAUÍ/"&amp;ONSV_AUX_2015!A1&amp;""</f>
        <v>PIAUÍ/2015</v>
      </c>
      <c r="B75" s="102"/>
      <c r="C75" s="102"/>
      <c r="D75" s="102"/>
      <c r="E75" s="102"/>
      <c r="F75" s="102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 spans="1:24"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>
      <c r="H77" s="23" t="s">
        <v>118</v>
      </c>
      <c r="P77" s="9"/>
    </row>
    <row r="78" spans="1:24" ht="15.75">
      <c r="J78" s="9"/>
      <c r="M78" s="25"/>
      <c r="P78" s="9"/>
    </row>
    <row r="79" spans="1:24" ht="15.75">
      <c r="H79" s="36" t="s">
        <v>81</v>
      </c>
      <c r="I79" s="60">
        <f>ONSV_AUX_2015!S27</f>
        <v>18238</v>
      </c>
      <c r="J79" s="9"/>
      <c r="K79" s="104" t="s">
        <v>119</v>
      </c>
      <c r="L79" s="104"/>
      <c r="M79" s="9"/>
      <c r="N79" s="26" t="s">
        <v>120</v>
      </c>
      <c r="O79" s="26"/>
      <c r="Q79" s="26" t="s">
        <v>121</v>
      </c>
      <c r="R79" s="26"/>
      <c r="S79" s="26"/>
      <c r="T79" s="25" t="s">
        <v>122</v>
      </c>
      <c r="U79" s="25"/>
      <c r="V79" s="25"/>
      <c r="W79" s="25"/>
      <c r="X79" s="25"/>
    </row>
    <row r="80" spans="1:24" ht="15.75">
      <c r="H80" s="36" t="s">
        <v>84</v>
      </c>
      <c r="I80" s="60">
        <f>ONSV_AUX_2015!S28</f>
        <v>318983</v>
      </c>
      <c r="J80" s="9"/>
      <c r="K80" s="9"/>
      <c r="L80" s="9"/>
      <c r="M80" s="9"/>
      <c r="N80" s="9"/>
      <c r="O80" s="9"/>
      <c r="P80" s="20"/>
      <c r="Q80" s="11"/>
      <c r="R80" s="11"/>
      <c r="S80" s="11"/>
    </row>
    <row r="81" spans="8:24" ht="15.75">
      <c r="H81" s="36" t="s">
        <v>85</v>
      </c>
      <c r="I81" s="60">
        <f>ONSV_AUX_2015!S29</f>
        <v>76867</v>
      </c>
      <c r="J81" s="9"/>
      <c r="K81" s="2" t="s">
        <v>123</v>
      </c>
      <c r="L81" s="60">
        <f>I88+I91+I92+I97</f>
        <v>381408</v>
      </c>
      <c r="N81" s="28" t="s">
        <v>124</v>
      </c>
      <c r="O81" s="60">
        <f>J88+J97</f>
        <v>297521.35474347678</v>
      </c>
      <c r="P81" s="64"/>
      <c r="Q81" s="65" t="s">
        <v>125</v>
      </c>
      <c r="R81" s="60">
        <f>J91+J92</f>
        <v>83848.645256523188</v>
      </c>
      <c r="S81" s="66"/>
      <c r="T81" s="65" t="s">
        <v>126</v>
      </c>
      <c r="U81" s="67">
        <f>O85</f>
        <v>4623.5393069888414</v>
      </c>
      <c r="V81" s="48"/>
      <c r="W81" s="65" t="s">
        <v>127</v>
      </c>
      <c r="X81" s="68">
        <f>R87</f>
        <v>6820.516653350347</v>
      </c>
    </row>
    <row r="82" spans="8:24" ht="15.75">
      <c r="H82" s="36" t="s">
        <v>101</v>
      </c>
      <c r="I82" s="60">
        <f>ONSV_AUX_2015!S30</f>
        <v>38</v>
      </c>
      <c r="J82" s="9"/>
      <c r="K82" s="27"/>
      <c r="L82" s="62"/>
      <c r="M82" s="20"/>
      <c r="N82" s="28" t="s">
        <v>128</v>
      </c>
      <c r="O82" s="69">
        <f>J88/O81</f>
        <v>0.98445980689024748</v>
      </c>
      <c r="P82" s="64"/>
      <c r="Q82" s="70" t="s">
        <v>129</v>
      </c>
      <c r="R82" s="63">
        <f>J91/R81</f>
        <v>0.83024672955149847</v>
      </c>
      <c r="S82" s="71"/>
      <c r="T82" s="65" t="s">
        <v>130</v>
      </c>
      <c r="U82" s="67">
        <f>I97-J97</f>
        <v>0.46069301115858252</v>
      </c>
      <c r="V82" s="48"/>
      <c r="W82" s="65" t="s">
        <v>131</v>
      </c>
      <c r="X82" s="68">
        <f>I92-J92</f>
        <v>1.4182450289445114</v>
      </c>
    </row>
    <row r="83" spans="8:24" ht="15.75">
      <c r="H83" s="36" t="s">
        <v>16</v>
      </c>
      <c r="I83" s="60">
        <f>ONSV_AUX_2015!S31</f>
        <v>608</v>
      </c>
      <c r="J83" s="9"/>
      <c r="K83" s="2" t="s">
        <v>132</v>
      </c>
      <c r="L83" s="63">
        <f>I88/L81</f>
        <v>0.76801482926420006</v>
      </c>
      <c r="M83" s="20"/>
      <c r="N83" s="28" t="s">
        <v>133</v>
      </c>
      <c r="O83" s="69">
        <f>J97/O81</f>
        <v>1.5540193109752616E-2</v>
      </c>
      <c r="P83" s="64"/>
      <c r="Q83" s="70" t="s">
        <v>134</v>
      </c>
      <c r="R83" s="63">
        <f>J92/R81</f>
        <v>0.16975327044850164</v>
      </c>
      <c r="S83" s="71"/>
      <c r="T83" s="65" t="s">
        <v>135</v>
      </c>
      <c r="U83" s="72">
        <f>O87</f>
        <v>0</v>
      </c>
      <c r="V83" s="73"/>
      <c r="W83" s="65" t="s">
        <v>136</v>
      </c>
      <c r="X83" s="72">
        <f>R90</f>
        <v>7413.0651016207084</v>
      </c>
    </row>
    <row r="84" spans="8:24" ht="15.75">
      <c r="H84" s="36" t="s">
        <v>94</v>
      </c>
      <c r="I84" s="60">
        <f>ONSV_AUX_2015!S32</f>
        <v>563959</v>
      </c>
      <c r="J84" s="10"/>
      <c r="K84" s="2" t="s">
        <v>2</v>
      </c>
      <c r="L84" s="63">
        <f>I91/L81</f>
        <v>0.18253943283832536</v>
      </c>
      <c r="M84" s="20"/>
      <c r="N84" s="20"/>
      <c r="O84" s="74"/>
      <c r="P84" s="48"/>
      <c r="Q84" s="48"/>
      <c r="R84" s="48"/>
      <c r="S84" s="48"/>
      <c r="T84" s="48"/>
      <c r="U84" s="62"/>
      <c r="V84" s="75"/>
      <c r="W84" s="48"/>
      <c r="X84" s="62"/>
    </row>
    <row r="85" spans="8:24" ht="15.75">
      <c r="K85" s="2" t="s">
        <v>3</v>
      </c>
      <c r="L85" s="63">
        <f>I92/L81</f>
        <v>3.7322237603825824E-2</v>
      </c>
      <c r="M85" s="20"/>
      <c r="N85" s="28" t="s">
        <v>137</v>
      </c>
      <c r="O85" s="60">
        <f>IF(O83*I80&gt;J97,J97,O83*I80)</f>
        <v>4623.5393069888414</v>
      </c>
      <c r="P85" s="76"/>
      <c r="Q85" s="65" t="s">
        <v>138</v>
      </c>
      <c r="R85" s="60">
        <f>I81-I89-I90-I93-I96</f>
        <v>40179</v>
      </c>
      <c r="S85" s="77"/>
      <c r="T85" s="65" t="s">
        <v>139</v>
      </c>
      <c r="U85" s="67">
        <f>O93</f>
        <v>274051.81543648796</v>
      </c>
      <c r="V85" s="76"/>
      <c r="W85" s="65" t="s">
        <v>140</v>
      </c>
      <c r="X85" s="67">
        <f>I89</f>
        <v>25447</v>
      </c>
    </row>
    <row r="86" spans="8:24" ht="15.75">
      <c r="H86" s="24" t="s">
        <v>141</v>
      </c>
      <c r="K86" s="2" t="s">
        <v>0</v>
      </c>
      <c r="L86" s="63">
        <f>I97/L81</f>
        <v>1.2123500293648797E-2</v>
      </c>
      <c r="O86" s="48"/>
      <c r="P86" s="76"/>
      <c r="Q86" s="65" t="s">
        <v>142</v>
      </c>
      <c r="R86" s="60">
        <f>R82*R85</f>
        <v>33358.483346649657</v>
      </c>
      <c r="S86" s="48"/>
      <c r="T86" s="65" t="s">
        <v>143</v>
      </c>
      <c r="U86" s="67">
        <f>O91</f>
        <v>18238</v>
      </c>
      <c r="V86" s="66"/>
      <c r="W86" s="65" t="s">
        <v>144</v>
      </c>
      <c r="X86" s="67">
        <f>I90</f>
        <v>2238</v>
      </c>
    </row>
    <row r="87" spans="8:24" ht="15.75">
      <c r="K87" s="11"/>
      <c r="L87" s="11"/>
      <c r="M87" s="11"/>
      <c r="N87" s="28" t="s">
        <v>145</v>
      </c>
      <c r="O87" s="60">
        <f>J97-O85</f>
        <v>0</v>
      </c>
      <c r="P87" s="76"/>
      <c r="Q87" s="65" t="s">
        <v>127</v>
      </c>
      <c r="R87" s="60">
        <f>R83*R85</f>
        <v>6820.516653350347</v>
      </c>
      <c r="S87" s="48"/>
      <c r="T87" s="65" t="s">
        <v>146</v>
      </c>
      <c r="U87" s="67">
        <f>O92</f>
        <v>608</v>
      </c>
      <c r="V87" s="71"/>
      <c r="W87" s="48"/>
      <c r="X87" s="62"/>
    </row>
    <row r="88" spans="8:24" ht="15.75">
      <c r="H88" s="37" t="s">
        <v>103</v>
      </c>
      <c r="I88" s="60">
        <f>ONSV_AUX_2015!S56</f>
        <v>292927</v>
      </c>
      <c r="J88" s="61">
        <f>I88-(L83*I82)</f>
        <v>292897.81543648796</v>
      </c>
      <c r="K88" s="11"/>
      <c r="L88" s="11"/>
      <c r="M88" s="11"/>
      <c r="O88" s="76"/>
      <c r="P88" s="76"/>
      <c r="Q88" s="48"/>
      <c r="R88" s="78"/>
      <c r="S88" s="48"/>
      <c r="T88" s="65" t="s">
        <v>147</v>
      </c>
      <c r="U88" s="68">
        <f>I88-J88</f>
        <v>29.184563512040768</v>
      </c>
      <c r="V88" s="71"/>
      <c r="W88" s="65" t="s">
        <v>148</v>
      </c>
      <c r="X88" s="67">
        <f>I96</f>
        <v>5976</v>
      </c>
    </row>
    <row r="89" spans="8:24" ht="15.75">
      <c r="H89" s="37" t="s">
        <v>104</v>
      </c>
      <c r="I89" s="60">
        <f>ONSV_AUX_2015!S57</f>
        <v>25447</v>
      </c>
      <c r="J89" s="10">
        <f>I89</f>
        <v>25447</v>
      </c>
      <c r="K89" s="11"/>
      <c r="L89" s="11"/>
      <c r="M89" s="11"/>
      <c r="N89" s="26" t="s">
        <v>149</v>
      </c>
      <c r="O89" s="76"/>
      <c r="P89" s="76"/>
      <c r="Q89" s="65" t="s">
        <v>150</v>
      </c>
      <c r="R89" s="60">
        <f>J91-R86</f>
        <v>36256.580154902484</v>
      </c>
      <c r="S89" s="48"/>
      <c r="T89" s="65" t="s">
        <v>151</v>
      </c>
      <c r="U89" s="72">
        <f>O94</f>
        <v>0</v>
      </c>
      <c r="V89" s="48"/>
      <c r="W89" s="65" t="s">
        <v>152</v>
      </c>
      <c r="X89" s="67">
        <f>I93</f>
        <v>3027</v>
      </c>
    </row>
    <row r="90" spans="8:24" ht="15.75">
      <c r="H90" s="37" t="s">
        <v>105</v>
      </c>
      <c r="I90" s="60">
        <f>ONSV_AUX_2015!S58</f>
        <v>2238</v>
      </c>
      <c r="J90" s="10">
        <f>I90</f>
        <v>2238</v>
      </c>
      <c r="K90" s="11"/>
      <c r="L90" s="11"/>
      <c r="M90" s="11"/>
      <c r="O90" s="73"/>
      <c r="P90" s="76"/>
      <c r="Q90" s="65" t="s">
        <v>136</v>
      </c>
      <c r="R90" s="60">
        <f>J92-R87</f>
        <v>7413.0651016207084</v>
      </c>
      <c r="S90" s="48"/>
      <c r="T90" s="48"/>
      <c r="U90" s="62"/>
      <c r="V90" s="77"/>
      <c r="W90" s="48"/>
      <c r="X90" s="62"/>
    </row>
    <row r="91" spans="8:24" ht="15.75">
      <c r="H91" s="37" t="s">
        <v>106</v>
      </c>
      <c r="I91" s="60">
        <f>ONSV_AUX_2015!S59</f>
        <v>69622</v>
      </c>
      <c r="J91" s="61">
        <f>I91-(L84*I82)</f>
        <v>69615.06350155214</v>
      </c>
      <c r="K91" s="11"/>
      <c r="L91" s="11"/>
      <c r="M91" s="11"/>
      <c r="N91" s="28" t="s">
        <v>143</v>
      </c>
      <c r="O91" s="60">
        <f>I79</f>
        <v>18238</v>
      </c>
      <c r="P91" s="76"/>
      <c r="Q91" s="48"/>
      <c r="R91" s="48"/>
      <c r="S91" s="77"/>
      <c r="T91" s="65" t="s">
        <v>142</v>
      </c>
      <c r="U91" s="68">
        <f>R86</f>
        <v>33358.483346649657</v>
      </c>
      <c r="V91" s="48"/>
      <c r="W91" s="65" t="s">
        <v>153</v>
      </c>
      <c r="X91" s="67">
        <f>I94</f>
        <v>470330</v>
      </c>
    </row>
    <row r="92" spans="8:24" ht="15.75">
      <c r="H92" s="37" t="s">
        <v>107</v>
      </c>
      <c r="I92" s="60">
        <f>ONSV_AUX_2015!S60</f>
        <v>14235</v>
      </c>
      <c r="J92" s="61">
        <f>I92-(L85*I82)</f>
        <v>14233.581754971055</v>
      </c>
      <c r="K92" s="11"/>
      <c r="L92" s="11"/>
      <c r="M92" s="11"/>
      <c r="N92" s="28" t="s">
        <v>146</v>
      </c>
      <c r="O92" s="60">
        <f>I83</f>
        <v>608</v>
      </c>
      <c r="P92" s="76"/>
      <c r="Q92" s="48"/>
      <c r="R92" s="48"/>
      <c r="S92" s="48"/>
      <c r="T92" s="65" t="s">
        <v>154</v>
      </c>
      <c r="U92" s="68">
        <f>I91-J91</f>
        <v>6.9364984478597762</v>
      </c>
      <c r="V92" s="48"/>
      <c r="W92" s="65" t="s">
        <v>155</v>
      </c>
      <c r="X92" s="67">
        <f>I95</f>
        <v>83117</v>
      </c>
    </row>
    <row r="93" spans="8:24" ht="15.75">
      <c r="H93" s="37" t="s">
        <v>108</v>
      </c>
      <c r="I93" s="60">
        <f>ONSV_AUX_2015!S61</f>
        <v>3027</v>
      </c>
      <c r="J93" s="10">
        <f>I93</f>
        <v>3027</v>
      </c>
      <c r="K93" s="11"/>
      <c r="L93" s="11"/>
      <c r="M93" s="11"/>
      <c r="N93" s="28" t="s">
        <v>139</v>
      </c>
      <c r="O93" s="60">
        <f>IF(OR((O82*I80&gt;J88),((O91+O92+(O82*I80))&gt;J88)),(J88-O91-O92),(O82*I80))</f>
        <v>274051.81543648796</v>
      </c>
      <c r="P93" s="76"/>
      <c r="Q93" s="48"/>
      <c r="R93" s="78"/>
      <c r="S93" s="48"/>
      <c r="T93" s="65" t="s">
        <v>150</v>
      </c>
      <c r="U93" s="72">
        <f>R89</f>
        <v>36256.580154902484</v>
      </c>
      <c r="V93" s="48"/>
      <c r="W93" s="48"/>
      <c r="X93" s="48"/>
    </row>
    <row r="94" spans="8:24" ht="15.75">
      <c r="H94" s="37" t="s">
        <v>109</v>
      </c>
      <c r="I94" s="60">
        <f>ONSV_AUX_2015!S62</f>
        <v>470330</v>
      </c>
      <c r="J94" s="10">
        <f>I94</f>
        <v>470330</v>
      </c>
      <c r="K94" s="11"/>
      <c r="L94" s="11"/>
      <c r="M94" s="11"/>
      <c r="N94" s="28" t="s">
        <v>151</v>
      </c>
      <c r="O94" s="60">
        <f>IF((J88-O91-O93-O92)&lt;0,0,(J88-O91-O93-O92))</f>
        <v>0</v>
      </c>
      <c r="P94" s="48"/>
      <c r="Q94" s="48"/>
      <c r="R94" s="48"/>
      <c r="S94" s="48"/>
      <c r="T94" s="48"/>
      <c r="U94" s="62"/>
      <c r="V94" s="48"/>
      <c r="W94" s="48"/>
      <c r="X94" s="48"/>
    </row>
    <row r="95" spans="8:24" ht="15.75">
      <c r="H95" s="37" t="s">
        <v>110</v>
      </c>
      <c r="I95" s="60">
        <f>ONSV_AUX_2015!S63</f>
        <v>83117</v>
      </c>
      <c r="J95" s="10">
        <f>I95</f>
        <v>83117</v>
      </c>
      <c r="K95" s="11"/>
      <c r="L95" s="11"/>
      <c r="M95" s="11"/>
      <c r="O95" s="48"/>
      <c r="P95" s="76"/>
      <c r="Q95" s="48"/>
      <c r="R95" s="48"/>
      <c r="S95" s="48"/>
      <c r="T95" s="79" t="s">
        <v>156</v>
      </c>
      <c r="U95" s="80">
        <f>(SUM(U81:U93,X81:X92)/SUM(I88:I97))-1</f>
        <v>0</v>
      </c>
      <c r="V95" s="48"/>
      <c r="W95" s="79" t="s">
        <v>10</v>
      </c>
      <c r="X95" s="67">
        <f>SUM(U81:U93,X81:X92)</f>
        <v>971543</v>
      </c>
    </row>
    <row r="96" spans="8:24" ht="15.75">
      <c r="H96" s="37" t="s">
        <v>111</v>
      </c>
      <c r="I96" s="60">
        <f>ONSV_AUX_2015!S64</f>
        <v>5976</v>
      </c>
      <c r="J96" s="10">
        <f>I96</f>
        <v>5976</v>
      </c>
      <c r="K96" s="11"/>
      <c r="L96" s="11"/>
      <c r="M96" s="11"/>
      <c r="O96" s="48"/>
      <c r="P96" s="76"/>
      <c r="Q96" s="48"/>
      <c r="R96" s="48"/>
      <c r="S96" s="48"/>
      <c r="T96" s="48"/>
      <c r="U96" s="48"/>
      <c r="V96" s="48"/>
      <c r="W96" s="48"/>
      <c r="X96" s="48"/>
    </row>
    <row r="97" spans="1:24" ht="15.75">
      <c r="H97" s="37" t="s">
        <v>112</v>
      </c>
      <c r="I97" s="60">
        <f>ONSV_AUX_2015!S65</f>
        <v>4624</v>
      </c>
      <c r="J97" s="61">
        <f>I97-(L86*I82)</f>
        <v>4623.5393069888414</v>
      </c>
      <c r="K97" s="12"/>
      <c r="L97" s="12"/>
      <c r="M97" s="12"/>
      <c r="N97" s="12"/>
      <c r="O97" s="12"/>
      <c r="P97" s="12"/>
      <c r="Q97" s="4"/>
      <c r="R97" s="4"/>
    </row>
    <row r="98" spans="1:24" ht="15.75">
      <c r="I98" s="40"/>
      <c r="J98" s="21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4" ht="15.75">
      <c r="I99" s="40"/>
      <c r="J99" s="21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4" s="34" customFormat="1" ht="15.75">
      <c r="A100" s="101" t="str">
        <f>"PIAUÍ/"&amp;ONSV_AUX_2014!A1&amp;""</f>
        <v>PIAUÍ/2014</v>
      </c>
      <c r="B100" s="102"/>
      <c r="C100" s="102"/>
      <c r="D100" s="102"/>
      <c r="E100" s="102"/>
      <c r="F100" s="102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</row>
    <row r="101" spans="1:24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>
      <c r="H102" s="23" t="s">
        <v>118</v>
      </c>
      <c r="N102" s="26"/>
      <c r="O102" s="26"/>
      <c r="P102" s="9"/>
      <c r="Q102" s="26"/>
      <c r="R102" s="26"/>
      <c r="S102" s="26"/>
      <c r="T102" s="25"/>
      <c r="U102" s="25"/>
      <c r="V102" s="25"/>
      <c r="W102" s="25"/>
      <c r="X102" s="25"/>
    </row>
    <row r="103" spans="1:24" ht="15.75">
      <c r="J103" s="9"/>
      <c r="M103" s="25"/>
      <c r="N103" s="9"/>
      <c r="O103" s="9"/>
      <c r="P103" s="9"/>
      <c r="Q103" s="11"/>
      <c r="R103" s="11"/>
      <c r="S103" s="11"/>
    </row>
    <row r="104" spans="1:24" ht="15.75">
      <c r="H104" s="36" t="s">
        <v>81</v>
      </c>
      <c r="I104" s="60">
        <f>ONSV_AUX_2014!S27</f>
        <v>18136</v>
      </c>
      <c r="J104" s="9"/>
      <c r="K104" s="104" t="s">
        <v>119</v>
      </c>
      <c r="L104" s="104"/>
      <c r="M104" s="9"/>
      <c r="N104" s="26" t="s">
        <v>120</v>
      </c>
      <c r="O104" s="26"/>
      <c r="Q104" s="26" t="s">
        <v>121</v>
      </c>
      <c r="R104" s="26"/>
      <c r="S104" s="26"/>
      <c r="T104" s="25" t="s">
        <v>122</v>
      </c>
      <c r="U104" s="25"/>
      <c r="V104" s="25"/>
      <c r="W104" s="25"/>
      <c r="X104" s="25"/>
    </row>
    <row r="105" spans="1:24" ht="15.75">
      <c r="H105" s="36" t="s">
        <v>84</v>
      </c>
      <c r="I105" s="60">
        <f>ONSV_AUX_2014!S28</f>
        <v>266258</v>
      </c>
      <c r="J105" s="9"/>
      <c r="K105" s="9"/>
      <c r="L105" s="9"/>
      <c r="M105" s="9"/>
      <c r="N105" s="9"/>
      <c r="O105" s="9"/>
      <c r="P105" s="20"/>
      <c r="Q105" s="11"/>
      <c r="R105" s="11"/>
      <c r="S105" s="11"/>
    </row>
    <row r="106" spans="1:24" ht="15.75">
      <c r="H106" s="36" t="s">
        <v>85</v>
      </c>
      <c r="I106" s="60">
        <f>ONSV_AUX_2014!S29</f>
        <v>71248</v>
      </c>
      <c r="J106" s="9"/>
      <c r="K106" s="2" t="s">
        <v>123</v>
      </c>
      <c r="L106" s="60">
        <f>I113+I116+I117+I122</f>
        <v>345857</v>
      </c>
      <c r="N106" s="28" t="s">
        <v>124</v>
      </c>
      <c r="O106" s="60">
        <f>J113+J122</f>
        <v>270679.60502172861</v>
      </c>
      <c r="P106" s="64"/>
      <c r="Q106" s="65" t="s">
        <v>125</v>
      </c>
      <c r="R106" s="60">
        <f>J116+J117</f>
        <v>75142.394978271361</v>
      </c>
      <c r="S106" s="66"/>
      <c r="T106" s="65" t="s">
        <v>126</v>
      </c>
      <c r="U106" s="67">
        <f>O110</f>
        <v>3749.3507593080344</v>
      </c>
      <c r="V106" s="48"/>
      <c r="W106" s="65" t="s">
        <v>127</v>
      </c>
      <c r="X106" s="68">
        <f>R112</f>
        <v>6293.7926280771799</v>
      </c>
    </row>
    <row r="107" spans="1:24" ht="15.75">
      <c r="H107" s="36" t="s">
        <v>101</v>
      </c>
      <c r="I107" s="60">
        <f>ONSV_AUX_2014!S30</f>
        <v>35</v>
      </c>
      <c r="J107" s="9"/>
      <c r="K107" s="27"/>
      <c r="L107" s="62"/>
      <c r="M107" s="20"/>
      <c r="N107" s="28" t="s">
        <v>128</v>
      </c>
      <c r="O107" s="69">
        <f>J113/O106</f>
        <v>0.98591835453091359</v>
      </c>
      <c r="P107" s="64"/>
      <c r="Q107" s="70" t="s">
        <v>129</v>
      </c>
      <c r="R107" s="63">
        <f>J116/R106</f>
        <v>0.83071190951430474</v>
      </c>
      <c r="S107" s="71"/>
      <c r="T107" s="65" t="s">
        <v>130</v>
      </c>
      <c r="U107" s="67">
        <f>I122-J122</f>
        <v>0.38576637165078864</v>
      </c>
      <c r="V107" s="48"/>
      <c r="W107" s="65" t="s">
        <v>131</v>
      </c>
      <c r="X107" s="68">
        <f>I117-J117</f>
        <v>1.2874396065417386</v>
      </c>
    </row>
    <row r="108" spans="1:24" ht="15.75">
      <c r="H108" s="36" t="s">
        <v>16</v>
      </c>
      <c r="I108" s="60">
        <f>ONSV_AUX_2014!S31</f>
        <v>560</v>
      </c>
      <c r="J108" s="9"/>
      <c r="K108" s="2" t="s">
        <v>132</v>
      </c>
      <c r="L108" s="63">
        <f>I113/L106</f>
        <v>0.77169176856330801</v>
      </c>
      <c r="M108" s="20"/>
      <c r="N108" s="28" t="s">
        <v>133</v>
      </c>
      <c r="O108" s="69">
        <f>J122/O106</f>
        <v>1.4081645469086504E-2</v>
      </c>
      <c r="P108" s="64"/>
      <c r="Q108" s="70" t="s">
        <v>134</v>
      </c>
      <c r="R108" s="63">
        <f>J117/R106</f>
        <v>0.16928809048569529</v>
      </c>
      <c r="S108" s="71"/>
      <c r="T108" s="65" t="s">
        <v>135</v>
      </c>
      <c r="U108" s="72">
        <f>O112</f>
        <v>62.263474320314799</v>
      </c>
      <c r="V108" s="73"/>
      <c r="W108" s="65" t="s">
        <v>136</v>
      </c>
      <c r="X108" s="72">
        <f>R115</f>
        <v>6426.9199323162784</v>
      </c>
    </row>
    <row r="109" spans="1:24" ht="15.75">
      <c r="H109" s="36" t="s">
        <v>94</v>
      </c>
      <c r="I109" s="60">
        <f>ONSV_AUX_2014!S32</f>
        <v>537403</v>
      </c>
      <c r="J109" s="10"/>
      <c r="K109" s="2" t="s">
        <v>2</v>
      </c>
      <c r="L109" s="63">
        <f>I116/L106</f>
        <v>0.18050234634545492</v>
      </c>
      <c r="M109" s="20"/>
      <c r="N109" s="20"/>
      <c r="O109" s="74"/>
      <c r="P109" s="48"/>
      <c r="Q109" s="48"/>
      <c r="R109" s="48"/>
      <c r="S109" s="48"/>
      <c r="T109" s="48"/>
      <c r="U109" s="62"/>
      <c r="V109" s="75"/>
      <c r="W109" s="48"/>
      <c r="X109" s="62"/>
    </row>
    <row r="110" spans="1:24" ht="15.75">
      <c r="K110" s="2" t="s">
        <v>3</v>
      </c>
      <c r="L110" s="63">
        <f>I117/L106</f>
        <v>3.678398875835967E-2</v>
      </c>
      <c r="M110" s="20"/>
      <c r="N110" s="28" t="s">
        <v>137</v>
      </c>
      <c r="O110" s="60">
        <f>IF(O108*I105&gt;J122,J122,O108*I105)</f>
        <v>3749.3507593080344</v>
      </c>
      <c r="P110" s="76"/>
      <c r="Q110" s="65" t="s">
        <v>138</v>
      </c>
      <c r="R110" s="60">
        <f>I106-I114-I115-I118-I121</f>
        <v>37178</v>
      </c>
      <c r="S110" s="77"/>
      <c r="T110" s="65" t="s">
        <v>139</v>
      </c>
      <c r="U110" s="67">
        <f>O118</f>
        <v>248171.99078810029</v>
      </c>
      <c r="V110" s="76"/>
      <c r="W110" s="65" t="s">
        <v>140</v>
      </c>
      <c r="X110" s="67">
        <f>I114</f>
        <v>23815</v>
      </c>
    </row>
    <row r="111" spans="1:24" ht="15.75">
      <c r="H111" s="24" t="s">
        <v>141</v>
      </c>
      <c r="K111" s="2" t="s">
        <v>0</v>
      </c>
      <c r="L111" s="63">
        <f>I122/L106</f>
        <v>1.1021896332877461E-2</v>
      </c>
      <c r="O111" s="48"/>
      <c r="P111" s="76"/>
      <c r="Q111" s="65" t="s">
        <v>142</v>
      </c>
      <c r="R111" s="60">
        <f>R107*R110</f>
        <v>30884.207371922821</v>
      </c>
      <c r="S111" s="48"/>
      <c r="T111" s="65" t="s">
        <v>143</v>
      </c>
      <c r="U111" s="67">
        <f>O116</f>
        <v>18136</v>
      </c>
      <c r="V111" s="66"/>
      <c r="W111" s="65" t="s">
        <v>144</v>
      </c>
      <c r="X111" s="67">
        <f>I115</f>
        <v>2018</v>
      </c>
    </row>
    <row r="112" spans="1:24" ht="15.75">
      <c r="K112" s="11"/>
      <c r="L112" s="11"/>
      <c r="M112" s="11"/>
      <c r="N112" s="28" t="s">
        <v>145</v>
      </c>
      <c r="O112" s="60">
        <f>J122-O110</f>
        <v>62.263474320314799</v>
      </c>
      <c r="P112" s="76"/>
      <c r="Q112" s="65" t="s">
        <v>127</v>
      </c>
      <c r="R112" s="60">
        <f>R108*R110</f>
        <v>6293.7926280771799</v>
      </c>
      <c r="S112" s="48"/>
      <c r="T112" s="65" t="s">
        <v>146</v>
      </c>
      <c r="U112" s="67">
        <f>O117</f>
        <v>560</v>
      </c>
      <c r="V112" s="71"/>
      <c r="W112" s="48"/>
      <c r="X112" s="62"/>
    </row>
    <row r="113" spans="8:24" ht="15.75">
      <c r="H113" s="37" t="s">
        <v>103</v>
      </c>
      <c r="I113" s="60">
        <f>ONSV_AUX_2014!S56</f>
        <v>266895</v>
      </c>
      <c r="J113" s="61">
        <f>I113-(L108*I107)</f>
        <v>266867.99078810029</v>
      </c>
      <c r="K113" s="11"/>
      <c r="L113" s="11"/>
      <c r="M113" s="11"/>
      <c r="O113" s="76"/>
      <c r="P113" s="76"/>
      <c r="Q113" s="48"/>
      <c r="R113" s="78"/>
      <c r="S113" s="48"/>
      <c r="T113" s="65" t="s">
        <v>147</v>
      </c>
      <c r="U113" s="68">
        <f>I113-J113</f>
        <v>27.009211899712682</v>
      </c>
      <c r="V113" s="71"/>
      <c r="W113" s="65" t="s">
        <v>148</v>
      </c>
      <c r="X113" s="67">
        <f>I121</f>
        <v>5509</v>
      </c>
    </row>
    <row r="114" spans="8:24" ht="15.75">
      <c r="H114" s="37" t="s">
        <v>104</v>
      </c>
      <c r="I114" s="60">
        <f>ONSV_AUX_2014!S57</f>
        <v>23815</v>
      </c>
      <c r="J114" s="10">
        <f>I114</f>
        <v>23815</v>
      </c>
      <c r="K114" s="11"/>
      <c r="L114" s="11"/>
      <c r="M114" s="11"/>
      <c r="N114" s="26" t="s">
        <v>149</v>
      </c>
      <c r="O114" s="76"/>
      <c r="P114" s="76"/>
      <c r="Q114" s="65" t="s">
        <v>150</v>
      </c>
      <c r="R114" s="60">
        <f>J116-R111</f>
        <v>31537.475045955085</v>
      </c>
      <c r="S114" s="48"/>
      <c r="T114" s="65" t="s">
        <v>151</v>
      </c>
      <c r="U114" s="72">
        <f>O119</f>
        <v>0</v>
      </c>
      <c r="V114" s="48"/>
      <c r="W114" s="65" t="s">
        <v>152</v>
      </c>
      <c r="X114" s="67">
        <f>I118</f>
        <v>2728</v>
      </c>
    </row>
    <row r="115" spans="8:24" ht="15.75">
      <c r="H115" s="37" t="s">
        <v>105</v>
      </c>
      <c r="I115" s="60">
        <f>ONSV_AUX_2014!S58</f>
        <v>2018</v>
      </c>
      <c r="J115" s="10">
        <f>I115</f>
        <v>2018</v>
      </c>
      <c r="K115" s="11"/>
      <c r="L115" s="11"/>
      <c r="M115" s="11"/>
      <c r="O115" s="73"/>
      <c r="P115" s="76"/>
      <c r="Q115" s="65" t="s">
        <v>136</v>
      </c>
      <c r="R115" s="60">
        <f>J117-R112</f>
        <v>6426.9199323162784</v>
      </c>
      <c r="S115" s="48"/>
      <c r="T115" s="48"/>
      <c r="U115" s="62"/>
      <c r="V115" s="77"/>
      <c r="W115" s="48"/>
      <c r="X115" s="62"/>
    </row>
    <row r="116" spans="8:24" ht="15.75">
      <c r="H116" s="37" t="s">
        <v>106</v>
      </c>
      <c r="I116" s="60">
        <f>ONSV_AUX_2014!S59</f>
        <v>62428</v>
      </c>
      <c r="J116" s="61">
        <f>I116-(L109*I107)</f>
        <v>62421.682417877906</v>
      </c>
      <c r="K116" s="11"/>
      <c r="L116" s="11"/>
      <c r="M116" s="11"/>
      <c r="N116" s="28" t="s">
        <v>143</v>
      </c>
      <c r="O116" s="60">
        <f>I104</f>
        <v>18136</v>
      </c>
      <c r="P116" s="76"/>
      <c r="Q116" s="48"/>
      <c r="R116" s="48"/>
      <c r="S116" s="77"/>
      <c r="T116" s="65" t="s">
        <v>142</v>
      </c>
      <c r="U116" s="68">
        <f>R111</f>
        <v>30884.207371922821</v>
      </c>
      <c r="V116" s="48"/>
      <c r="W116" s="65" t="s">
        <v>153</v>
      </c>
      <c r="X116" s="67">
        <f>I119</f>
        <v>431796</v>
      </c>
    </row>
    <row r="117" spans="8:24" ht="15.75">
      <c r="H117" s="37" t="s">
        <v>107</v>
      </c>
      <c r="I117" s="60">
        <f>ONSV_AUX_2014!S60</f>
        <v>12722</v>
      </c>
      <c r="J117" s="61">
        <f>I117-(L110*I107)</f>
        <v>12720.712560393458</v>
      </c>
      <c r="K117" s="11"/>
      <c r="L117" s="11"/>
      <c r="M117" s="11"/>
      <c r="N117" s="28" t="s">
        <v>146</v>
      </c>
      <c r="O117" s="60">
        <f>I108</f>
        <v>560</v>
      </c>
      <c r="P117" s="76"/>
      <c r="Q117" s="48"/>
      <c r="R117" s="48"/>
      <c r="S117" s="48"/>
      <c r="T117" s="65" t="s">
        <v>154</v>
      </c>
      <c r="U117" s="68">
        <f>I116-J116</f>
        <v>6.3175821220938815</v>
      </c>
      <c r="V117" s="48"/>
      <c r="W117" s="65" t="s">
        <v>155</v>
      </c>
      <c r="X117" s="67">
        <f>I120</f>
        <v>75178</v>
      </c>
    </row>
    <row r="118" spans="8:24" ht="15.75">
      <c r="H118" s="37" t="s">
        <v>108</v>
      </c>
      <c r="I118" s="60">
        <f>ONSV_AUX_2014!S61</f>
        <v>2728</v>
      </c>
      <c r="J118" s="10">
        <f>I118</f>
        <v>2728</v>
      </c>
      <c r="K118" s="11"/>
      <c r="L118" s="11"/>
      <c r="M118" s="11"/>
      <c r="N118" s="28" t="s">
        <v>139</v>
      </c>
      <c r="O118" s="60">
        <f>IF(OR((O107*I105&gt;J113),((O116+O117+(O107*I105))&gt;J113)),(J113-O116-O117),(O107*I105))</f>
        <v>248171.99078810029</v>
      </c>
      <c r="P118" s="76"/>
      <c r="Q118" s="48"/>
      <c r="R118" s="78"/>
      <c r="S118" s="48"/>
      <c r="T118" s="65" t="s">
        <v>150</v>
      </c>
      <c r="U118" s="72">
        <f>R114</f>
        <v>31537.475045955085</v>
      </c>
      <c r="V118" s="48"/>
      <c r="W118" s="48"/>
      <c r="X118" s="48"/>
    </row>
    <row r="119" spans="8:24" ht="15.75">
      <c r="H119" s="37" t="s">
        <v>109</v>
      </c>
      <c r="I119" s="60">
        <f>ONSV_AUX_2014!S62</f>
        <v>431796</v>
      </c>
      <c r="J119" s="10">
        <f>I119</f>
        <v>431796</v>
      </c>
      <c r="K119" s="11"/>
      <c r="L119" s="11"/>
      <c r="M119" s="11"/>
      <c r="N119" s="28" t="s">
        <v>151</v>
      </c>
      <c r="O119" s="60">
        <f>IF((J113-O116-O118-O117)&lt;0,0,(J113-O116-O118-O117))</f>
        <v>0</v>
      </c>
      <c r="P119" s="48"/>
      <c r="Q119" s="48"/>
      <c r="R119" s="48"/>
      <c r="S119" s="48"/>
      <c r="T119" s="48"/>
      <c r="U119" s="62"/>
      <c r="V119" s="48"/>
      <c r="W119" s="48"/>
      <c r="X119" s="48"/>
    </row>
    <row r="120" spans="8:24" ht="15.75">
      <c r="H120" s="37" t="s">
        <v>110</v>
      </c>
      <c r="I120" s="60">
        <f>ONSV_AUX_2014!S63</f>
        <v>75178</v>
      </c>
      <c r="J120" s="10">
        <f>I120</f>
        <v>75178</v>
      </c>
      <c r="K120" s="11"/>
      <c r="L120" s="11"/>
      <c r="M120" s="11"/>
      <c r="O120" s="48"/>
      <c r="P120" s="76"/>
      <c r="Q120" s="48"/>
      <c r="R120" s="48"/>
      <c r="S120" s="48"/>
      <c r="T120" s="79" t="s">
        <v>156</v>
      </c>
      <c r="U120" s="80">
        <f>(SUM(U106:U118,X106:X117)/SUM(I113:I122))-1</f>
        <v>0</v>
      </c>
      <c r="V120" s="48"/>
      <c r="W120" s="79" t="s">
        <v>10</v>
      </c>
      <c r="X120" s="67">
        <f>SUM(U106:U118,X106:X117)</f>
        <v>886901</v>
      </c>
    </row>
    <row r="121" spans="8:24" ht="15.75">
      <c r="H121" s="37" t="s">
        <v>111</v>
      </c>
      <c r="I121" s="60">
        <f>ONSV_AUX_2014!S64</f>
        <v>5509</v>
      </c>
      <c r="J121" s="10">
        <f>I121</f>
        <v>5509</v>
      </c>
      <c r="K121" s="11"/>
      <c r="L121" s="11"/>
      <c r="M121" s="11"/>
      <c r="O121" s="48"/>
      <c r="P121" s="76"/>
      <c r="Q121" s="48"/>
      <c r="R121" s="48"/>
      <c r="S121" s="48"/>
      <c r="T121" s="48"/>
      <c r="U121" s="48"/>
      <c r="V121" s="48"/>
      <c r="W121" s="48"/>
      <c r="X121" s="48"/>
    </row>
    <row r="122" spans="8:24" ht="15.75">
      <c r="H122" s="37" t="s">
        <v>112</v>
      </c>
      <c r="I122" s="60">
        <f>ONSV_AUX_2014!S65</f>
        <v>3812</v>
      </c>
      <c r="J122" s="61">
        <f>I122-(L111*I107)</f>
        <v>3811.6142336283492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A1:F1"/>
    <mergeCell ref="Q4:R4"/>
    <mergeCell ref="T4:X4"/>
    <mergeCell ref="K5:L5"/>
    <mergeCell ref="A25:F25"/>
    <mergeCell ref="T27:X27"/>
    <mergeCell ref="T52:X52"/>
    <mergeCell ref="K79:L79"/>
    <mergeCell ref="A100:F100"/>
    <mergeCell ref="K104:L104"/>
    <mergeCell ref="K29:L29"/>
    <mergeCell ref="A50:F50"/>
    <mergeCell ref="A75:F75"/>
    <mergeCell ref="K54:L5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X122"/>
  <sheetViews>
    <sheetView showGridLines="0" zoomScale="90" zoomScaleNormal="90" workbookViewId="0">
      <selection activeCell="A101" sqref="A101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9" max="9" width="9.85546875" bestFit="1" customWidth="1"/>
    <col min="10" max="10" width="10.85546875" customWidth="1"/>
    <col min="11" max="11" width="18" customWidth="1"/>
    <col min="12" max="12" width="9.85546875" bestFit="1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  <col min="27" max="28" width="10" bestFit="1" customWidth="1"/>
    <col min="30" max="30" width="10" bestFit="1" customWidth="1"/>
  </cols>
  <sheetData>
    <row r="1" spans="1:24" s="31" customFormat="1" ht="15.75">
      <c r="A1" s="101" t="str">
        <f>"RIO DE JANEIRO/"&amp;ONSV_AUX_2018!A1&amp;""</f>
        <v>RIO DE JANEIRO/2018</v>
      </c>
      <c r="B1" s="102"/>
      <c r="C1" s="102"/>
      <c r="D1" s="102"/>
      <c r="E1" s="102"/>
      <c r="F1" s="102"/>
    </row>
    <row r="2" spans="1:24" s="4" customFormat="1" ht="15.75">
      <c r="A2" s="32"/>
      <c r="B2" s="32"/>
      <c r="C2" s="32"/>
      <c r="D2" s="32"/>
      <c r="E2" s="32"/>
      <c r="F2" s="32"/>
    </row>
    <row r="3" spans="1:24" ht="15.75">
      <c r="A3" s="12"/>
      <c r="H3" s="23" t="s">
        <v>118</v>
      </c>
    </row>
    <row r="4" spans="1:24" ht="15.75">
      <c r="B4" s="5"/>
      <c r="J4" s="9"/>
      <c r="M4" s="25"/>
      <c r="N4" s="25"/>
      <c r="O4" s="25"/>
      <c r="P4" s="25"/>
      <c r="Q4" s="103"/>
      <c r="R4" s="103"/>
      <c r="S4" s="22"/>
      <c r="T4" s="104"/>
      <c r="U4" s="104"/>
      <c r="V4" s="104"/>
      <c r="W4" s="104"/>
      <c r="X4" s="104"/>
    </row>
    <row r="5" spans="1:24" ht="15.75">
      <c r="H5" s="36" t="s">
        <v>81</v>
      </c>
      <c r="I5" s="60">
        <f>ONSV_AUX_2018!T27</f>
        <v>308330</v>
      </c>
      <c r="J5" s="9"/>
      <c r="K5" s="104" t="s">
        <v>119</v>
      </c>
      <c r="L5" s="104"/>
      <c r="M5" s="9"/>
      <c r="N5" s="26" t="s">
        <v>120</v>
      </c>
      <c r="O5" s="26"/>
      <c r="Q5" s="26" t="s">
        <v>121</v>
      </c>
      <c r="R5" s="26"/>
      <c r="S5" s="26"/>
      <c r="T5" s="25" t="s">
        <v>122</v>
      </c>
      <c r="U5" s="25"/>
      <c r="V5" s="25"/>
      <c r="W5" s="25"/>
      <c r="X5" s="25"/>
    </row>
    <row r="6" spans="1:24" ht="15.75">
      <c r="H6" s="36" t="s">
        <v>84</v>
      </c>
      <c r="I6" s="60">
        <f>ONSV_AUX_2018!T28</f>
        <v>1996109</v>
      </c>
      <c r="J6" s="9"/>
      <c r="K6" s="9"/>
      <c r="L6" s="9"/>
      <c r="M6" s="9"/>
      <c r="N6" s="9"/>
      <c r="O6" s="9"/>
      <c r="P6" s="20"/>
      <c r="Q6" s="11"/>
      <c r="R6" s="11"/>
      <c r="S6" s="11"/>
    </row>
    <row r="7" spans="1:24" ht="15.75">
      <c r="H7" s="36" t="s">
        <v>85</v>
      </c>
      <c r="I7" s="60">
        <f>ONSV_AUX_2018!T29</f>
        <v>350521</v>
      </c>
      <c r="J7" s="9"/>
      <c r="K7" s="2" t="s">
        <v>123</v>
      </c>
      <c r="L7" s="60">
        <f>I14+I17+I18+I23</f>
        <v>5159653</v>
      </c>
      <c r="N7" s="28" t="s">
        <v>124</v>
      </c>
      <c r="O7" s="60">
        <f>J14+J23</f>
        <v>4521679.6778643839</v>
      </c>
      <c r="P7" s="64"/>
      <c r="Q7" s="65" t="s">
        <v>125</v>
      </c>
      <c r="R7" s="60">
        <f>J17+J18</f>
        <v>637247.32213561656</v>
      </c>
      <c r="S7" s="66"/>
      <c r="T7" s="65" t="s">
        <v>126</v>
      </c>
      <c r="U7" s="67">
        <f>O11</f>
        <v>26450.789359699764</v>
      </c>
      <c r="V7" s="48"/>
      <c r="W7" s="65" t="s">
        <v>127</v>
      </c>
      <c r="X7" s="68">
        <f>R13</f>
        <v>49227.791576512893</v>
      </c>
    </row>
    <row r="8" spans="1:24" ht="15.75">
      <c r="H8" s="36" t="s">
        <v>101</v>
      </c>
      <c r="I8" s="60">
        <f>ONSV_AUX_2018!T30</f>
        <v>726</v>
      </c>
      <c r="J8" s="9"/>
      <c r="K8" s="27"/>
      <c r="L8" s="62"/>
      <c r="M8" s="20"/>
      <c r="N8" s="28" t="s">
        <v>128</v>
      </c>
      <c r="O8" s="69">
        <f>J14/O7</f>
        <v>0.9867488251594978</v>
      </c>
      <c r="P8" s="64"/>
      <c r="Q8" s="70" t="s">
        <v>129</v>
      </c>
      <c r="R8" s="63">
        <f>J17/R7</f>
        <v>0.53349640770895146</v>
      </c>
      <c r="S8" s="71"/>
      <c r="T8" s="65" t="s">
        <v>130</v>
      </c>
      <c r="U8" s="67">
        <f>I23-J23</f>
        <v>8.4320158739355975</v>
      </c>
      <c r="V8" s="48"/>
      <c r="W8" s="65" t="s">
        <v>131</v>
      </c>
      <c r="X8" s="68">
        <f>I18-J18</f>
        <v>41.835045883897692</v>
      </c>
    </row>
    <row r="9" spans="1:24" ht="15.75">
      <c r="H9" s="36" t="s">
        <v>16</v>
      </c>
      <c r="I9" s="60">
        <f>ONSV_AUX_2018!T31</f>
        <v>1305001</v>
      </c>
      <c r="J9" s="9"/>
      <c r="K9" s="2" t="s">
        <v>132</v>
      </c>
      <c r="L9" s="63">
        <f>I14/L7</f>
        <v>0.86486242388780799</v>
      </c>
      <c r="M9" s="20"/>
      <c r="N9" s="28" t="s">
        <v>133</v>
      </c>
      <c r="O9" s="69">
        <f>J23/O7</f>
        <v>1.3251174840502079E-2</v>
      </c>
      <c r="P9" s="64"/>
      <c r="Q9" s="70" t="s">
        <v>134</v>
      </c>
      <c r="R9" s="63">
        <f>J18/R7</f>
        <v>0.46650359229104849</v>
      </c>
      <c r="S9" s="71"/>
      <c r="T9" s="65" t="s">
        <v>135</v>
      </c>
      <c r="U9" s="72">
        <f>O13</f>
        <v>33466.778624426297</v>
      </c>
      <c r="V9" s="73"/>
      <c r="W9" s="65" t="s">
        <v>136</v>
      </c>
      <c r="X9" s="72">
        <f>R16</f>
        <v>248050.37337760322</v>
      </c>
    </row>
    <row r="10" spans="1:24" ht="15.75">
      <c r="H10" s="36" t="s">
        <v>94</v>
      </c>
      <c r="I10" s="60">
        <f>ONSV_AUX_2018!T32</f>
        <v>2571606</v>
      </c>
      <c r="J10" s="10"/>
      <c r="K10" s="2" t="s">
        <v>2</v>
      </c>
      <c r="L10" s="63">
        <f>I17/L7</f>
        <v>6.5899199035283962E-2</v>
      </c>
      <c r="M10" s="20"/>
      <c r="N10" s="20"/>
      <c r="O10" s="74"/>
      <c r="P10" s="48"/>
      <c r="Q10" s="48"/>
      <c r="R10" s="48"/>
      <c r="S10" s="48"/>
      <c r="T10" s="48"/>
      <c r="U10" s="62"/>
      <c r="V10" s="75"/>
      <c r="W10" s="48"/>
      <c r="X10" s="62"/>
    </row>
    <row r="11" spans="1:24" ht="15.75">
      <c r="K11" s="2" t="s">
        <v>3</v>
      </c>
      <c r="L11" s="63">
        <f>I18/L7</f>
        <v>5.7624030143112334E-2</v>
      </c>
      <c r="M11" s="20"/>
      <c r="N11" s="28" t="s">
        <v>137</v>
      </c>
      <c r="O11" s="60">
        <f>IF(O9*I6&gt;J23,J23,O9*I6)</f>
        <v>26450.789359699764</v>
      </c>
      <c r="P11" s="76"/>
      <c r="Q11" s="65" t="s">
        <v>138</v>
      </c>
      <c r="R11" s="60">
        <f>I7-I15-I16-I19-I22</f>
        <v>105525</v>
      </c>
      <c r="S11" s="77"/>
      <c r="T11" s="65" t="s">
        <v>139</v>
      </c>
      <c r="U11" s="67">
        <f>O19</f>
        <v>1969658.2106403001</v>
      </c>
      <c r="V11" s="76"/>
      <c r="W11" s="65" t="s">
        <v>140</v>
      </c>
      <c r="X11" s="67">
        <f>I15</f>
        <v>144817</v>
      </c>
    </row>
    <row r="12" spans="1:24" ht="15.75">
      <c r="H12" s="24" t="s">
        <v>141</v>
      </c>
      <c r="K12" s="2" t="s">
        <v>0</v>
      </c>
      <c r="L12" s="63">
        <f>I23/L7</f>
        <v>1.1614346933795741E-2</v>
      </c>
      <c r="O12" s="48"/>
      <c r="P12" s="76"/>
      <c r="Q12" s="65" t="s">
        <v>142</v>
      </c>
      <c r="R12" s="60">
        <f>R8*R11</f>
        <v>56297.2084234871</v>
      </c>
      <c r="S12" s="48"/>
      <c r="T12" s="65" t="s">
        <v>143</v>
      </c>
      <c r="U12" s="67">
        <f>O17</f>
        <v>308330</v>
      </c>
      <c r="V12" s="66"/>
      <c r="W12" s="65" t="s">
        <v>144</v>
      </c>
      <c r="X12" s="67">
        <f>I16</f>
        <v>16610</v>
      </c>
    </row>
    <row r="13" spans="1:24" ht="15.75">
      <c r="K13" s="11"/>
      <c r="L13" s="11"/>
      <c r="M13" s="11"/>
      <c r="N13" s="28" t="s">
        <v>145</v>
      </c>
      <c r="O13" s="60">
        <f>J23-O11</f>
        <v>33466.778624426297</v>
      </c>
      <c r="P13" s="76"/>
      <c r="Q13" s="65" t="s">
        <v>127</v>
      </c>
      <c r="R13" s="60">
        <f>R9*R11</f>
        <v>49227.791576512893</v>
      </c>
      <c r="S13" s="48"/>
      <c r="T13" s="65" t="s">
        <v>146</v>
      </c>
      <c r="U13" s="67">
        <f>O18</f>
        <v>1305001</v>
      </c>
      <c r="V13" s="71"/>
      <c r="W13" s="48"/>
      <c r="X13" s="62"/>
    </row>
    <row r="14" spans="1:24" ht="15.75">
      <c r="H14" s="37" t="s">
        <v>103</v>
      </c>
      <c r="I14" s="60">
        <f>ONSV_AUX_2018!T56</f>
        <v>4462390</v>
      </c>
      <c r="J14" s="61">
        <f>I14-(L9*I8)</f>
        <v>4461762.1098802574</v>
      </c>
      <c r="K14" s="11"/>
      <c r="L14" s="11"/>
      <c r="M14" s="11"/>
      <c r="O14" s="76"/>
      <c r="P14" s="76"/>
      <c r="Q14" s="48"/>
      <c r="R14" s="78"/>
      <c r="S14" s="48"/>
      <c r="T14" s="65" t="s">
        <v>147</v>
      </c>
      <c r="U14" s="68">
        <f>I14-J14</f>
        <v>627.89011974260211</v>
      </c>
      <c r="V14" s="71"/>
      <c r="W14" s="65" t="s">
        <v>148</v>
      </c>
      <c r="X14" s="67">
        <f>I22</f>
        <v>45161</v>
      </c>
    </row>
    <row r="15" spans="1:24" ht="15.75">
      <c r="H15" s="37" t="s">
        <v>104</v>
      </c>
      <c r="I15" s="60">
        <f>ONSV_AUX_2018!T57</f>
        <v>144817</v>
      </c>
      <c r="J15" s="10">
        <f>I15</f>
        <v>144817</v>
      </c>
      <c r="K15" s="11"/>
      <c r="L15" s="11"/>
      <c r="M15" s="11"/>
      <c r="N15" s="26" t="s">
        <v>149</v>
      </c>
      <c r="O15" s="76"/>
      <c r="P15" s="76"/>
      <c r="Q15" s="65" t="s">
        <v>150</v>
      </c>
      <c r="R15" s="60">
        <f>J17-R12</f>
        <v>283671.94875801331</v>
      </c>
      <c r="S15" s="48"/>
      <c r="T15" s="65" t="s">
        <v>151</v>
      </c>
      <c r="U15" s="72">
        <f>O20</f>
        <v>878772.89923995733</v>
      </c>
      <c r="V15" s="48"/>
      <c r="W15" s="65" t="s">
        <v>152</v>
      </c>
      <c r="X15" s="67">
        <f>I19</f>
        <v>38408</v>
      </c>
    </row>
    <row r="16" spans="1:24" ht="15.75">
      <c r="H16" s="37" t="s">
        <v>105</v>
      </c>
      <c r="I16" s="60">
        <f>ONSV_AUX_2018!T58</f>
        <v>16610</v>
      </c>
      <c r="J16" s="10">
        <f>I16</f>
        <v>16610</v>
      </c>
      <c r="K16" s="11"/>
      <c r="L16" s="11"/>
      <c r="M16" s="11"/>
      <c r="O16" s="73"/>
      <c r="P16" s="76"/>
      <c r="Q16" s="65" t="s">
        <v>136</v>
      </c>
      <c r="R16" s="60">
        <f>J18-R13</f>
        <v>248050.37337760322</v>
      </c>
      <c r="S16" s="48"/>
      <c r="T16" s="48"/>
      <c r="U16" s="62"/>
      <c r="V16" s="77"/>
      <c r="W16" s="48"/>
      <c r="X16" s="62"/>
    </row>
    <row r="17" spans="1:24" ht="15.75">
      <c r="H17" s="37" t="s">
        <v>106</v>
      </c>
      <c r="I17" s="60">
        <f>ONSV_AUX_2018!T59</f>
        <v>340017</v>
      </c>
      <c r="J17" s="61">
        <f>I17-(L10*I8)</f>
        <v>339969.1571815004</v>
      </c>
      <c r="K17" s="11"/>
      <c r="L17" s="11"/>
      <c r="M17" s="11"/>
      <c r="N17" s="28" t="s">
        <v>143</v>
      </c>
      <c r="O17" s="60">
        <f>I5</f>
        <v>308330</v>
      </c>
      <c r="P17" s="76"/>
      <c r="Q17" s="48"/>
      <c r="R17" s="48"/>
      <c r="S17" s="77"/>
      <c r="T17" s="65" t="s">
        <v>142</v>
      </c>
      <c r="U17" s="68">
        <f>R12</f>
        <v>56297.2084234871</v>
      </c>
      <c r="V17" s="48"/>
      <c r="W17" s="65" t="s">
        <v>153</v>
      </c>
      <c r="X17" s="67">
        <f>I20</f>
        <v>935573</v>
      </c>
    </row>
    <row r="18" spans="1:24" ht="15.75">
      <c r="H18" s="37" t="s">
        <v>107</v>
      </c>
      <c r="I18" s="60">
        <f>ONSV_AUX_2018!T60</f>
        <v>297320</v>
      </c>
      <c r="J18" s="61">
        <f>I18-(L11*I8)</f>
        <v>297278.1649541161</v>
      </c>
      <c r="K18" s="11"/>
      <c r="L18" s="11"/>
      <c r="M18" s="11"/>
      <c r="N18" s="28" t="s">
        <v>146</v>
      </c>
      <c r="O18" s="60">
        <f>I9</f>
        <v>1305001</v>
      </c>
      <c r="P18" s="76"/>
      <c r="Q18" s="48"/>
      <c r="R18" s="48"/>
      <c r="S18" s="48"/>
      <c r="T18" s="65" t="s">
        <v>154</v>
      </c>
      <c r="U18" s="68">
        <f>I17-J17</f>
        <v>47.84281849960098</v>
      </c>
      <c r="V18" s="48"/>
      <c r="W18" s="65" t="s">
        <v>155</v>
      </c>
      <c r="X18" s="67">
        <f>I21</f>
        <v>166738</v>
      </c>
    </row>
    <row r="19" spans="1:24" ht="15.75">
      <c r="H19" s="37" t="s">
        <v>108</v>
      </c>
      <c r="I19" s="60">
        <f>ONSV_AUX_2018!T61</f>
        <v>38408</v>
      </c>
      <c r="J19" s="10">
        <f>I19</f>
        <v>38408</v>
      </c>
      <c r="K19" s="11"/>
      <c r="L19" s="11"/>
      <c r="M19" s="11"/>
      <c r="N19" s="28" t="s">
        <v>139</v>
      </c>
      <c r="O19" s="60">
        <f>IF(OR((O8*I6&gt;J14),((O17+O18+(O8*I6))&gt;J14)),(J14-O17-O18),(O8*I6))</f>
        <v>1969658.2106403001</v>
      </c>
      <c r="P19" s="76"/>
      <c r="Q19" s="48"/>
      <c r="R19" s="78"/>
      <c r="S19" s="48"/>
      <c r="T19" s="65" t="s">
        <v>150</v>
      </c>
      <c r="U19" s="72">
        <f>R15</f>
        <v>283671.94875801331</v>
      </c>
      <c r="V19" s="48"/>
      <c r="W19" s="48"/>
      <c r="X19" s="48"/>
    </row>
    <row r="20" spans="1:24" ht="15.75">
      <c r="H20" s="37" t="s">
        <v>109</v>
      </c>
      <c r="I20" s="60">
        <f>ONSV_AUX_2018!T62</f>
        <v>935573</v>
      </c>
      <c r="J20" s="10">
        <f t="shared" ref="J20:J22" si="0">I20</f>
        <v>935573</v>
      </c>
      <c r="K20" s="11"/>
      <c r="L20" s="11"/>
      <c r="M20" s="11"/>
      <c r="N20" s="28" t="s">
        <v>151</v>
      </c>
      <c r="O20" s="60">
        <f>IF((J14-O17-O19-O18)&lt;0,0,(J14-O17-O19-O18))</f>
        <v>878772.89923995733</v>
      </c>
      <c r="P20" s="48"/>
      <c r="Q20" s="48"/>
      <c r="R20" s="48"/>
      <c r="S20" s="48"/>
      <c r="T20" s="48"/>
      <c r="U20" s="62"/>
      <c r="V20" s="48"/>
      <c r="W20" s="48"/>
      <c r="X20" s="48"/>
    </row>
    <row r="21" spans="1:24" ht="15.75">
      <c r="H21" s="37" t="s">
        <v>110</v>
      </c>
      <c r="I21" s="60">
        <f>ONSV_AUX_2018!T63</f>
        <v>166738</v>
      </c>
      <c r="J21" s="10">
        <f t="shared" si="0"/>
        <v>166738</v>
      </c>
      <c r="K21" s="11"/>
      <c r="L21" s="11"/>
      <c r="M21" s="11"/>
      <c r="O21" s="48"/>
      <c r="P21" s="76"/>
      <c r="Q21" s="48"/>
      <c r="R21" s="48"/>
      <c r="S21" s="48"/>
      <c r="T21" s="79" t="s">
        <v>156</v>
      </c>
      <c r="U21" s="80">
        <f>(SUM(U7:U19,X7:X18)/SUM(I14:I23))-1</f>
        <v>0</v>
      </c>
      <c r="V21" s="48"/>
      <c r="W21" s="79" t="s">
        <v>10</v>
      </c>
      <c r="X21" s="67">
        <f>SUM(U7:U19,X7:X18)</f>
        <v>6506960.0000000009</v>
      </c>
    </row>
    <row r="22" spans="1:24" ht="15.75">
      <c r="H22" s="37" t="s">
        <v>111</v>
      </c>
      <c r="I22" s="60">
        <f>ONSV_AUX_2018!T64</f>
        <v>45161</v>
      </c>
      <c r="J22" s="10">
        <f t="shared" si="0"/>
        <v>45161</v>
      </c>
      <c r="K22" s="11"/>
      <c r="L22" s="11"/>
      <c r="M22" s="11"/>
      <c r="O22" s="48"/>
      <c r="P22" s="76"/>
      <c r="Q22" s="48"/>
      <c r="R22" s="48"/>
      <c r="S22" s="48"/>
      <c r="T22" s="48"/>
      <c r="U22" s="48"/>
      <c r="V22" s="48"/>
      <c r="W22" s="48"/>
      <c r="X22" s="48"/>
    </row>
    <row r="23" spans="1:24" ht="15.75">
      <c r="H23" s="37" t="s">
        <v>112</v>
      </c>
      <c r="I23" s="60">
        <f>ONSV_AUX_2018!T65</f>
        <v>59926</v>
      </c>
      <c r="J23" s="61">
        <f>I23-(L12*I8)</f>
        <v>59917.567984126064</v>
      </c>
      <c r="K23" s="12"/>
      <c r="L23" s="12"/>
      <c r="M23" s="12"/>
      <c r="N23" s="12"/>
      <c r="O23" s="12"/>
      <c r="P23" s="12"/>
      <c r="Q23" s="4"/>
      <c r="R23" s="4"/>
    </row>
    <row r="25" spans="1:24" s="34" customFormat="1" ht="15.75">
      <c r="A25" s="101" t="str">
        <f>"RIO DE JANEIRO/"&amp;ONSV_AUX_2017!A1&amp;""</f>
        <v>RIO DE JANEIRO/2017</v>
      </c>
      <c r="B25" s="102"/>
      <c r="C25" s="102"/>
      <c r="D25" s="102"/>
      <c r="E25" s="102"/>
      <c r="F25" s="102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 spans="1:24" ht="15.75">
      <c r="A26" s="3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>
      <c r="A27" s="12"/>
      <c r="H27" s="23" t="s">
        <v>118</v>
      </c>
      <c r="N27" s="26"/>
      <c r="O27" s="26"/>
      <c r="P27" s="9"/>
      <c r="Q27" s="26"/>
      <c r="R27" s="26"/>
      <c r="S27" s="26"/>
      <c r="T27" s="104"/>
      <c r="U27" s="104"/>
      <c r="V27" s="104"/>
      <c r="W27" s="104"/>
      <c r="X27" s="104"/>
    </row>
    <row r="28" spans="1:24" ht="15.75">
      <c r="B28" s="5"/>
      <c r="J28" s="9"/>
      <c r="M28" s="25"/>
    </row>
    <row r="29" spans="1:24" ht="15.75">
      <c r="H29" s="36" t="s">
        <v>81</v>
      </c>
      <c r="I29" s="60">
        <f>ONSV_AUX_2017!T27</f>
        <v>308584</v>
      </c>
      <c r="J29" s="9"/>
      <c r="K29" s="104" t="s">
        <v>119</v>
      </c>
      <c r="L29" s="104"/>
      <c r="M29" s="9"/>
      <c r="N29" s="26" t="s">
        <v>120</v>
      </c>
      <c r="O29" s="26"/>
      <c r="Q29" s="26" t="s">
        <v>121</v>
      </c>
      <c r="R29" s="26"/>
      <c r="S29" s="26"/>
      <c r="T29" s="25" t="s">
        <v>122</v>
      </c>
      <c r="U29" s="25"/>
      <c r="V29" s="25"/>
      <c r="W29" s="25"/>
      <c r="X29" s="25"/>
    </row>
    <row r="30" spans="1:24" ht="15.75">
      <c r="H30" s="36" t="s">
        <v>84</v>
      </c>
      <c r="I30" s="60">
        <f>ONSV_AUX_2017!T28</f>
        <v>1951177</v>
      </c>
      <c r="J30" s="9"/>
      <c r="K30" s="9"/>
      <c r="L30" s="9"/>
      <c r="M30" s="9"/>
      <c r="N30" s="9"/>
      <c r="O30" s="9"/>
      <c r="P30" s="20"/>
      <c r="Q30" s="11"/>
      <c r="R30" s="11"/>
      <c r="S30" s="11"/>
    </row>
    <row r="31" spans="1:24" ht="15.75">
      <c r="H31" s="36" t="s">
        <v>85</v>
      </c>
      <c r="I31" s="60">
        <f>ONSV_AUX_2017!T29</f>
        <v>346663</v>
      </c>
      <c r="J31" s="9"/>
      <c r="K31" s="2" t="s">
        <v>123</v>
      </c>
      <c r="L31" s="60">
        <f>I38+I41+I42+I47</f>
        <v>5034250</v>
      </c>
      <c r="N31" s="28" t="s">
        <v>124</v>
      </c>
      <c r="O31" s="60">
        <f>J38+J47</f>
        <v>4416111.7470828826</v>
      </c>
      <c r="P31" s="64"/>
      <c r="Q31" s="65" t="s">
        <v>125</v>
      </c>
      <c r="R31" s="60">
        <f>J41+J42</f>
        <v>617700.25291711767</v>
      </c>
      <c r="S31" s="66"/>
      <c r="T31" s="65" t="s">
        <v>126</v>
      </c>
      <c r="U31" s="67">
        <f>O35</f>
        <v>24797.840869775493</v>
      </c>
      <c r="V31" s="48"/>
      <c r="W31" s="65" t="s">
        <v>127</v>
      </c>
      <c r="X31" s="68">
        <f>R37</f>
        <v>47184.136165852433</v>
      </c>
    </row>
    <row r="32" spans="1:24" ht="15.75">
      <c r="H32" s="36" t="s">
        <v>101</v>
      </c>
      <c r="I32" s="60">
        <f>ONSV_AUX_2017!T30</f>
        <v>438</v>
      </c>
      <c r="J32" s="9"/>
      <c r="K32" s="27"/>
      <c r="L32" s="62"/>
      <c r="M32" s="20"/>
      <c r="N32" s="28" t="s">
        <v>128</v>
      </c>
      <c r="O32" s="69">
        <f>J38/O31</f>
        <v>0.98729082965319115</v>
      </c>
      <c r="P32" s="64"/>
      <c r="Q32" s="70" t="s">
        <v>129</v>
      </c>
      <c r="R32" s="63">
        <f>J41/R31</f>
        <v>0.53463190849431985</v>
      </c>
      <c r="S32" s="71"/>
      <c r="T32" s="65" t="s">
        <v>130</v>
      </c>
      <c r="U32" s="67">
        <f>I47-J47</f>
        <v>4.8835357799107442</v>
      </c>
      <c r="V32" s="48"/>
      <c r="W32" s="65" t="s">
        <v>131</v>
      </c>
      <c r="X32" s="68">
        <f>I42-J42</f>
        <v>25.012177384924144</v>
      </c>
    </row>
    <row r="33" spans="8:24" ht="15.75">
      <c r="H33" s="36" t="s">
        <v>16</v>
      </c>
      <c r="I33" s="60">
        <f>ONSV_AUX_2017!T31</f>
        <v>1195547</v>
      </c>
      <c r="J33" s="9"/>
      <c r="K33" s="2" t="s">
        <v>132</v>
      </c>
      <c r="L33" s="63">
        <f>I38/L31</f>
        <v>0.86614014004072104</v>
      </c>
      <c r="M33" s="20"/>
      <c r="N33" s="28" t="s">
        <v>133</v>
      </c>
      <c r="O33" s="69">
        <f>J47/O31</f>
        <v>1.2709170346808872E-2</v>
      </c>
      <c r="P33" s="64"/>
      <c r="Q33" s="70" t="s">
        <v>134</v>
      </c>
      <c r="R33" s="63">
        <f>J42/R31</f>
        <v>0.46536809150568031</v>
      </c>
      <c r="S33" s="71"/>
      <c r="T33" s="65" t="s">
        <v>135</v>
      </c>
      <c r="U33" s="72">
        <f>O37</f>
        <v>31327.275594444596</v>
      </c>
      <c r="V33" s="73"/>
      <c r="W33" s="65" t="s">
        <v>136</v>
      </c>
      <c r="X33" s="72">
        <f>R40</f>
        <v>240273.85165676265</v>
      </c>
    </row>
    <row r="34" spans="8:24" ht="15.75">
      <c r="H34" s="36" t="s">
        <v>94</v>
      </c>
      <c r="I34" s="60">
        <f>ONSV_AUX_2017!T32</f>
        <v>2568213</v>
      </c>
      <c r="J34" s="10"/>
      <c r="K34" s="2" t="s">
        <v>2</v>
      </c>
      <c r="L34" s="63">
        <f>I41/L31</f>
        <v>6.5604807071559815E-2</v>
      </c>
      <c r="M34" s="20"/>
      <c r="N34" s="20"/>
      <c r="O34" s="74"/>
      <c r="P34" s="48"/>
      <c r="Q34" s="48"/>
      <c r="R34" s="48"/>
      <c r="S34" s="48"/>
      <c r="T34" s="48"/>
      <c r="U34" s="62"/>
      <c r="V34" s="75"/>
      <c r="W34" s="48"/>
      <c r="X34" s="62"/>
    </row>
    <row r="35" spans="8:24" ht="15.75">
      <c r="K35" s="2" t="s">
        <v>3</v>
      </c>
      <c r="L35" s="63">
        <f>I42/L31</f>
        <v>5.7105427819436859E-2</v>
      </c>
      <c r="M35" s="20"/>
      <c r="N35" s="28" t="s">
        <v>137</v>
      </c>
      <c r="O35" s="60">
        <f>IF(O33*I30&gt;J47,J47,O33*I30)</f>
        <v>24797.840869775493</v>
      </c>
      <c r="P35" s="76"/>
      <c r="Q35" s="65" t="s">
        <v>138</v>
      </c>
      <c r="R35" s="60">
        <f>I31-I39-I40-I43-I46</f>
        <v>101391</v>
      </c>
      <c r="S35" s="77"/>
      <c r="T35" s="65" t="s">
        <v>139</v>
      </c>
      <c r="U35" s="67">
        <f>O43</f>
        <v>1926379.1591302245</v>
      </c>
      <c r="V35" s="76"/>
      <c r="W35" s="65" t="s">
        <v>140</v>
      </c>
      <c r="X35" s="67">
        <f>I39</f>
        <v>144087</v>
      </c>
    </row>
    <row r="36" spans="8:24" ht="15.75">
      <c r="H36" s="24" t="s">
        <v>141</v>
      </c>
      <c r="K36" s="2" t="s">
        <v>0</v>
      </c>
      <c r="L36" s="63">
        <f>I47/L31</f>
        <v>1.1149625068282267E-2</v>
      </c>
      <c r="O36" s="48"/>
      <c r="P36" s="76"/>
      <c r="Q36" s="65" t="s">
        <v>142</v>
      </c>
      <c r="R36" s="60">
        <f>R32*R35</f>
        <v>54206.863834147582</v>
      </c>
      <c r="S36" s="48"/>
      <c r="T36" s="65" t="s">
        <v>143</v>
      </c>
      <c r="U36" s="67">
        <f>O41</f>
        <v>308584</v>
      </c>
      <c r="V36" s="66"/>
      <c r="W36" s="65" t="s">
        <v>144</v>
      </c>
      <c r="X36" s="67">
        <f>I40</f>
        <v>16285</v>
      </c>
    </row>
    <row r="37" spans="8:24" ht="15.75">
      <c r="K37" s="11"/>
      <c r="L37" s="11"/>
      <c r="M37" s="11"/>
      <c r="N37" s="28" t="s">
        <v>145</v>
      </c>
      <c r="O37" s="60">
        <f>J47-O35</f>
        <v>31327.275594444596</v>
      </c>
      <c r="P37" s="76"/>
      <c r="Q37" s="65" t="s">
        <v>127</v>
      </c>
      <c r="R37" s="60">
        <f>R33*R35</f>
        <v>47184.136165852433</v>
      </c>
      <c r="S37" s="48"/>
      <c r="T37" s="65" t="s">
        <v>146</v>
      </c>
      <c r="U37" s="67">
        <f>O42</f>
        <v>1195547</v>
      </c>
      <c r="V37" s="71"/>
      <c r="W37" s="48"/>
      <c r="X37" s="62"/>
    </row>
    <row r="38" spans="8:24" ht="15.75">
      <c r="H38" s="37" t="s">
        <v>103</v>
      </c>
      <c r="I38" s="60">
        <f>ONSV_AUX_2017!T56</f>
        <v>4360366</v>
      </c>
      <c r="J38" s="61">
        <f>I38-(L33*I32)</f>
        <v>4359986.6306186626</v>
      </c>
      <c r="K38" s="11"/>
      <c r="L38" s="11"/>
      <c r="M38" s="11"/>
      <c r="O38" s="76"/>
      <c r="P38" s="76"/>
      <c r="Q38" s="48"/>
      <c r="R38" s="78"/>
      <c r="S38" s="48"/>
      <c r="T38" s="65" t="s">
        <v>147</v>
      </c>
      <c r="U38" s="68">
        <f>I38-J38</f>
        <v>379.3693813374266</v>
      </c>
      <c r="V38" s="71"/>
      <c r="W38" s="65" t="s">
        <v>148</v>
      </c>
      <c r="X38" s="67">
        <f>I46</f>
        <v>46437</v>
      </c>
    </row>
    <row r="39" spans="8:24" ht="15.75">
      <c r="H39" s="37" t="s">
        <v>104</v>
      </c>
      <c r="I39" s="60">
        <f>ONSV_AUX_2017!T57</f>
        <v>144087</v>
      </c>
      <c r="J39" s="10">
        <f>I39</f>
        <v>144087</v>
      </c>
      <c r="K39" s="11"/>
      <c r="L39" s="11"/>
      <c r="M39" s="11"/>
      <c r="N39" s="26" t="s">
        <v>149</v>
      </c>
      <c r="O39" s="76"/>
      <c r="P39" s="76"/>
      <c r="Q39" s="65" t="s">
        <v>150</v>
      </c>
      <c r="R39" s="60">
        <f>J41-R36</f>
        <v>276035.40126035508</v>
      </c>
      <c r="S39" s="48"/>
      <c r="T39" s="65" t="s">
        <v>151</v>
      </c>
      <c r="U39" s="72">
        <f>O44</f>
        <v>929476.47148843808</v>
      </c>
      <c r="V39" s="48"/>
      <c r="W39" s="65" t="s">
        <v>152</v>
      </c>
      <c r="X39" s="67">
        <f>I43</f>
        <v>38463</v>
      </c>
    </row>
    <row r="40" spans="8:24" ht="15.75">
      <c r="H40" s="37" t="s">
        <v>105</v>
      </c>
      <c r="I40" s="60">
        <f>ONSV_AUX_2017!T58</f>
        <v>16285</v>
      </c>
      <c r="J40" s="10">
        <f>I40</f>
        <v>16285</v>
      </c>
      <c r="K40" s="11"/>
      <c r="L40" s="11"/>
      <c r="M40" s="11"/>
      <c r="O40" s="73"/>
      <c r="P40" s="76"/>
      <c r="Q40" s="65" t="s">
        <v>136</v>
      </c>
      <c r="R40" s="60">
        <f>J42-R37</f>
        <v>240273.85165676265</v>
      </c>
      <c r="S40" s="48"/>
      <c r="T40" s="48"/>
      <c r="U40" s="62"/>
      <c r="V40" s="77"/>
      <c r="W40" s="48"/>
      <c r="X40" s="62"/>
    </row>
    <row r="41" spans="8:24" ht="15.75">
      <c r="H41" s="37" t="s">
        <v>106</v>
      </c>
      <c r="I41" s="60">
        <f>ONSV_AUX_2017!T59</f>
        <v>330271</v>
      </c>
      <c r="J41" s="61">
        <f>I41-(L34*I32)</f>
        <v>330242.26509450265</v>
      </c>
      <c r="K41" s="11"/>
      <c r="L41" s="11"/>
      <c r="M41" s="11"/>
      <c r="N41" s="28" t="s">
        <v>143</v>
      </c>
      <c r="O41" s="60">
        <f>I29</f>
        <v>308584</v>
      </c>
      <c r="P41" s="76"/>
      <c r="Q41" s="48"/>
      <c r="R41" s="48"/>
      <c r="S41" s="77"/>
      <c r="T41" s="65" t="s">
        <v>142</v>
      </c>
      <c r="U41" s="68">
        <f>R36</f>
        <v>54206.863834147582</v>
      </c>
      <c r="V41" s="48"/>
      <c r="W41" s="65" t="s">
        <v>153</v>
      </c>
      <c r="X41" s="67">
        <f>I44</f>
        <v>906669</v>
      </c>
    </row>
    <row r="42" spans="8:24" ht="15.75">
      <c r="H42" s="37" t="s">
        <v>107</v>
      </c>
      <c r="I42" s="60">
        <f>ONSV_AUX_2017!T60</f>
        <v>287483</v>
      </c>
      <c r="J42" s="61">
        <f>I42-(L35*I32)</f>
        <v>287457.98782261508</v>
      </c>
      <c r="K42" s="11"/>
      <c r="L42" s="11"/>
      <c r="M42" s="11"/>
      <c r="N42" s="28" t="s">
        <v>146</v>
      </c>
      <c r="O42" s="60">
        <f>I33</f>
        <v>1195547</v>
      </c>
      <c r="P42" s="76"/>
      <c r="Q42" s="48"/>
      <c r="R42" s="48"/>
      <c r="S42" s="48"/>
      <c r="T42" s="65" t="s">
        <v>154</v>
      </c>
      <c r="U42" s="68">
        <f>I41-J41</f>
        <v>28.734905497345608</v>
      </c>
      <c r="V42" s="48"/>
      <c r="W42" s="65" t="s">
        <v>155</v>
      </c>
      <c r="X42" s="67">
        <f>I45</f>
        <v>160240</v>
      </c>
    </row>
    <row r="43" spans="8:24" ht="15.75">
      <c r="H43" s="37" t="s">
        <v>108</v>
      </c>
      <c r="I43" s="60">
        <f>ONSV_AUX_2017!T61</f>
        <v>38463</v>
      </c>
      <c r="J43" s="10">
        <f>I43</f>
        <v>38463</v>
      </c>
      <c r="K43" s="11"/>
      <c r="L43" s="11"/>
      <c r="M43" s="11"/>
      <c r="N43" s="28" t="s">
        <v>139</v>
      </c>
      <c r="O43" s="60">
        <f>IF(OR((O32*I30&gt;J38),((O41+O42+(O32*I30))&gt;J38)),(J38-O41-O42),(O32*I30))</f>
        <v>1926379.1591302245</v>
      </c>
      <c r="P43" s="76"/>
      <c r="Q43" s="48"/>
      <c r="R43" s="78"/>
      <c r="S43" s="48"/>
      <c r="T43" s="65" t="s">
        <v>150</v>
      </c>
      <c r="U43" s="72">
        <f>R39</f>
        <v>276035.40126035508</v>
      </c>
      <c r="V43" s="48"/>
      <c r="W43" s="48"/>
      <c r="X43" s="48"/>
    </row>
    <row r="44" spans="8:24" ht="15.75">
      <c r="H44" s="37" t="s">
        <v>109</v>
      </c>
      <c r="I44" s="60">
        <f>ONSV_AUX_2017!T62</f>
        <v>906669</v>
      </c>
      <c r="J44" s="10">
        <f>I44</f>
        <v>906669</v>
      </c>
      <c r="K44" s="11"/>
      <c r="L44" s="11"/>
      <c r="M44" s="11"/>
      <c r="N44" s="28" t="s">
        <v>151</v>
      </c>
      <c r="O44" s="60">
        <f>IF((J38-O41-O43-O42)&lt;0,0,(J38-O41-O43-O42))</f>
        <v>929476.47148843808</v>
      </c>
      <c r="P44" s="48"/>
      <c r="Q44" s="48"/>
      <c r="R44" s="48"/>
      <c r="S44" s="48"/>
      <c r="T44" s="48"/>
      <c r="U44" s="62"/>
      <c r="V44" s="48"/>
      <c r="W44" s="48"/>
      <c r="X44" s="48"/>
    </row>
    <row r="45" spans="8:24" ht="15.75">
      <c r="H45" s="37" t="s">
        <v>110</v>
      </c>
      <c r="I45" s="60">
        <f>ONSV_AUX_2017!T63</f>
        <v>160240</v>
      </c>
      <c r="J45" s="10">
        <f>I45</f>
        <v>160240</v>
      </c>
      <c r="K45" s="11"/>
      <c r="L45" s="11"/>
      <c r="M45" s="11"/>
      <c r="O45" s="48"/>
      <c r="P45" s="76"/>
      <c r="Q45" s="48"/>
      <c r="R45" s="48"/>
      <c r="S45" s="48"/>
      <c r="T45" s="79" t="s">
        <v>156</v>
      </c>
      <c r="U45" s="80">
        <f>(SUM(U31:U43,X31:X42)/SUM(I38:I47))-1</f>
        <v>0</v>
      </c>
      <c r="V45" s="48"/>
      <c r="W45" s="79" t="s">
        <v>10</v>
      </c>
      <c r="X45" s="67">
        <f>SUM(U31:U43,X31:X42)</f>
        <v>6346431</v>
      </c>
    </row>
    <row r="46" spans="8:24" ht="15.75">
      <c r="H46" s="37" t="s">
        <v>111</v>
      </c>
      <c r="I46" s="60">
        <f>ONSV_AUX_2017!T64</f>
        <v>46437</v>
      </c>
      <c r="J46" s="10">
        <f>I46</f>
        <v>46437</v>
      </c>
      <c r="K46" s="11"/>
      <c r="L46" s="11"/>
      <c r="M46" s="11"/>
      <c r="O46" s="48"/>
      <c r="P46" s="76"/>
      <c r="Q46" s="48"/>
      <c r="R46" s="48"/>
      <c r="S46" s="48"/>
      <c r="T46" s="48"/>
      <c r="U46" s="48"/>
      <c r="V46" s="48"/>
      <c r="W46" s="48"/>
      <c r="X46" s="48"/>
    </row>
    <row r="47" spans="8:24" ht="15.75">
      <c r="H47" s="37" t="s">
        <v>112</v>
      </c>
      <c r="I47" s="60">
        <f>ONSV_AUX_2017!T65</f>
        <v>56130</v>
      </c>
      <c r="J47" s="61">
        <f>I47-(L36*I32)</f>
        <v>56125.116464220089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39"/>
      <c r="I48" s="40"/>
      <c r="J48" s="40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4" customFormat="1" ht="15.75">
      <c r="A50" s="101" t="str">
        <f>"RIO DE JANEIRO/"&amp;ONSV_AUX_2016!A1&amp;""</f>
        <v>RIO DE JANEIRO/2016</v>
      </c>
      <c r="B50" s="102"/>
      <c r="C50" s="102"/>
      <c r="D50" s="102"/>
      <c r="E50" s="102"/>
      <c r="F50" s="102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</row>
    <row r="52" spans="1:24" ht="15.75">
      <c r="H52" s="23" t="s">
        <v>118</v>
      </c>
      <c r="N52" s="26"/>
      <c r="O52" s="26"/>
      <c r="P52" s="9"/>
      <c r="Q52" s="26"/>
      <c r="R52" s="26"/>
      <c r="S52" s="26"/>
      <c r="T52" s="104"/>
      <c r="U52" s="104"/>
      <c r="V52" s="104"/>
      <c r="W52" s="104"/>
      <c r="X52" s="104"/>
    </row>
    <row r="53" spans="1:24" ht="15.75">
      <c r="J53" s="9"/>
      <c r="M53" s="25"/>
      <c r="N53" s="9"/>
      <c r="O53" s="9"/>
      <c r="P53" s="9"/>
      <c r="Q53" s="11"/>
      <c r="R53" s="11"/>
      <c r="S53" s="11"/>
    </row>
    <row r="54" spans="1:24" ht="15.75">
      <c r="H54" s="36" t="s">
        <v>81</v>
      </c>
      <c r="I54" s="60">
        <f>ONSV_AUX_2016!T27</f>
        <v>308885</v>
      </c>
      <c r="J54" s="9"/>
      <c r="K54" s="104" t="s">
        <v>119</v>
      </c>
      <c r="L54" s="104"/>
      <c r="M54" s="9"/>
      <c r="N54" s="26" t="s">
        <v>120</v>
      </c>
      <c r="O54" s="26"/>
      <c r="Q54" s="26" t="s">
        <v>121</v>
      </c>
      <c r="R54" s="26"/>
      <c r="S54" s="26"/>
      <c r="T54" s="25" t="s">
        <v>122</v>
      </c>
      <c r="U54" s="25"/>
      <c r="V54" s="25"/>
      <c r="W54" s="25"/>
      <c r="X54" s="25"/>
    </row>
    <row r="55" spans="1:24" ht="15.75">
      <c r="H55" s="36" t="s">
        <v>84</v>
      </c>
      <c r="I55" s="60">
        <f>ONSV_AUX_2016!T28</f>
        <v>1893574</v>
      </c>
      <c r="J55" s="9"/>
      <c r="K55" s="9"/>
      <c r="L55" s="9"/>
      <c r="M55" s="9"/>
      <c r="N55" s="9"/>
      <c r="O55" s="9"/>
      <c r="P55" s="20"/>
      <c r="Q55" s="11"/>
      <c r="R55" s="11"/>
      <c r="S55" s="11"/>
    </row>
    <row r="56" spans="1:24" ht="15.75">
      <c r="H56" s="36" t="s">
        <v>85</v>
      </c>
      <c r="I56" s="60">
        <f>ONSV_AUX_2016!T29</f>
        <v>342737</v>
      </c>
      <c r="J56" s="9"/>
      <c r="K56" s="2" t="s">
        <v>123</v>
      </c>
      <c r="L56" s="60">
        <f>I63+I66+I67+I72</f>
        <v>4905486</v>
      </c>
      <c r="N56" s="28" t="s">
        <v>124</v>
      </c>
      <c r="O56" s="60">
        <f>J63+J72</f>
        <v>4307593.0615376337</v>
      </c>
      <c r="P56" s="64"/>
      <c r="Q56" s="65" t="s">
        <v>125</v>
      </c>
      <c r="R56" s="60">
        <f>J66+J67</f>
        <v>597596.93846236635</v>
      </c>
      <c r="S56" s="66"/>
      <c r="T56" s="65" t="s">
        <v>126</v>
      </c>
      <c r="U56" s="67">
        <f>O60</f>
        <v>23139.929817010932</v>
      </c>
      <c r="V56" s="48"/>
      <c r="W56" s="65" t="s">
        <v>127</v>
      </c>
      <c r="X56" s="68">
        <f>R62</f>
        <v>45474.3471495048</v>
      </c>
    </row>
    <row r="57" spans="1:24" ht="15.75">
      <c r="H57" s="36" t="s">
        <v>101</v>
      </c>
      <c r="I57" s="60">
        <f>ONSV_AUX_2016!T30</f>
        <v>296</v>
      </c>
      <c r="J57" s="9"/>
      <c r="K57" s="27"/>
      <c r="L57" s="62"/>
      <c r="M57" s="20"/>
      <c r="N57" s="28" t="s">
        <v>128</v>
      </c>
      <c r="O57" s="69">
        <f>J63/O56</f>
        <v>0.98777975943004559</v>
      </c>
      <c r="P57" s="64"/>
      <c r="Q57" s="70" t="s">
        <v>129</v>
      </c>
      <c r="R57" s="63">
        <f>J66/R56</f>
        <v>0.53440824050880731</v>
      </c>
      <c r="S57" s="71"/>
      <c r="T57" s="65" t="s">
        <v>130</v>
      </c>
      <c r="U57" s="67">
        <f>I72-J72</f>
        <v>3.1765105435042642</v>
      </c>
      <c r="V57" s="48"/>
      <c r="W57" s="65" t="s">
        <v>131</v>
      </c>
      <c r="X57" s="68">
        <f>I67-J67</f>
        <v>16.789954756794032</v>
      </c>
    </row>
    <row r="58" spans="1:24" ht="15.75">
      <c r="H58" s="36" t="s">
        <v>16</v>
      </c>
      <c r="I58" s="60">
        <f>ONSV_AUX_2016!T31</f>
        <v>1101309</v>
      </c>
      <c r="J58" s="9"/>
      <c r="K58" s="2" t="s">
        <v>132</v>
      </c>
      <c r="L58" s="63">
        <f>I63/L56</f>
        <v>0.8674390264287779</v>
      </c>
      <c r="M58" s="20"/>
      <c r="N58" s="28" t="s">
        <v>133</v>
      </c>
      <c r="O58" s="69">
        <f>J72/O56</f>
        <v>1.2220240569954452E-2</v>
      </c>
      <c r="P58" s="64"/>
      <c r="Q58" s="70" t="s">
        <v>134</v>
      </c>
      <c r="R58" s="63">
        <f>J67/R56</f>
        <v>0.4655917594911928</v>
      </c>
      <c r="S58" s="71"/>
      <c r="T58" s="65" t="s">
        <v>135</v>
      </c>
      <c r="U58" s="72">
        <f>O62</f>
        <v>29499.893672445563</v>
      </c>
      <c r="V58" s="73"/>
      <c r="W58" s="65" t="s">
        <v>136</v>
      </c>
      <c r="X58" s="72">
        <f>R65</f>
        <v>232761.86289573839</v>
      </c>
    </row>
    <row r="59" spans="1:24" ht="15.75">
      <c r="H59" s="36" t="s">
        <v>94</v>
      </c>
      <c r="I59" s="60">
        <f>ONSV_AUX_2016!T32</f>
        <v>2557700</v>
      </c>
      <c r="J59" s="10"/>
      <c r="K59" s="2" t="s">
        <v>2</v>
      </c>
      <c r="L59" s="63">
        <f>I66/L56</f>
        <v>6.5106698908120417E-2</v>
      </c>
      <c r="M59" s="20"/>
      <c r="N59" s="20"/>
      <c r="O59" s="74"/>
      <c r="P59" s="48"/>
      <c r="Q59" s="48"/>
      <c r="R59" s="48"/>
      <c r="S59" s="48"/>
      <c r="T59" s="48"/>
      <c r="U59" s="62"/>
      <c r="V59" s="75"/>
      <c r="W59" s="48"/>
      <c r="X59" s="62"/>
    </row>
    <row r="60" spans="1:24" ht="15.75">
      <c r="K60" s="2" t="s">
        <v>3</v>
      </c>
      <c r="L60" s="63">
        <f>I67/L56</f>
        <v>5.6722820124244573E-2</v>
      </c>
      <c r="M60" s="20"/>
      <c r="N60" s="28" t="s">
        <v>137</v>
      </c>
      <c r="O60" s="60">
        <f>IF(O58*I55&gt;J72,J72,O58*I55)</f>
        <v>23139.929817010932</v>
      </c>
      <c r="P60" s="76"/>
      <c r="Q60" s="65" t="s">
        <v>138</v>
      </c>
      <c r="R60" s="60">
        <f>I56-I64-I65-I68-I71</f>
        <v>97670</v>
      </c>
      <c r="S60" s="77"/>
      <c r="T60" s="65" t="s">
        <v>139</v>
      </c>
      <c r="U60" s="67">
        <f>O68</f>
        <v>1870434.0701829891</v>
      </c>
      <c r="V60" s="76"/>
      <c r="W60" s="65" t="s">
        <v>140</v>
      </c>
      <c r="X60" s="67">
        <f>I64</f>
        <v>143139</v>
      </c>
    </row>
    <row r="61" spans="1:24" ht="15.75">
      <c r="H61" s="24" t="s">
        <v>141</v>
      </c>
      <c r="K61" s="2" t="s">
        <v>0</v>
      </c>
      <c r="L61" s="63">
        <f>I72/L56</f>
        <v>1.0731454538857108E-2</v>
      </c>
      <c r="O61" s="48"/>
      <c r="P61" s="76"/>
      <c r="Q61" s="65" t="s">
        <v>142</v>
      </c>
      <c r="R61" s="60">
        <f>R57*R60</f>
        <v>52195.652850495208</v>
      </c>
      <c r="S61" s="48"/>
      <c r="T61" s="65" t="s">
        <v>143</v>
      </c>
      <c r="U61" s="67">
        <f>O66</f>
        <v>308885</v>
      </c>
      <c r="V61" s="66"/>
      <c r="W61" s="65" t="s">
        <v>144</v>
      </c>
      <c r="X61" s="67">
        <f>I65</f>
        <v>16043</v>
      </c>
    </row>
    <row r="62" spans="1:24" ht="15.75">
      <c r="K62" s="11"/>
      <c r="L62" s="11"/>
      <c r="M62" s="11"/>
      <c r="N62" s="28" t="s">
        <v>145</v>
      </c>
      <c r="O62" s="60">
        <f>J72-O60</f>
        <v>29499.893672445563</v>
      </c>
      <c r="P62" s="76"/>
      <c r="Q62" s="65" t="s">
        <v>127</v>
      </c>
      <c r="R62" s="60">
        <f>R58*R60</f>
        <v>45474.3471495048</v>
      </c>
      <c r="S62" s="48"/>
      <c r="T62" s="65" t="s">
        <v>146</v>
      </c>
      <c r="U62" s="67">
        <f>O67</f>
        <v>1101309</v>
      </c>
      <c r="V62" s="71"/>
      <c r="W62" s="48"/>
      <c r="X62" s="62"/>
    </row>
    <row r="63" spans="1:24" ht="15.75">
      <c r="H63" s="37" t="s">
        <v>103</v>
      </c>
      <c r="I63" s="60">
        <f>ONSV_AUX_2016!T56</f>
        <v>4255210</v>
      </c>
      <c r="J63" s="61">
        <f>I63-(L58*I57)</f>
        <v>4254953.2380481772</v>
      </c>
      <c r="K63" s="11"/>
      <c r="L63" s="11"/>
      <c r="M63" s="11"/>
      <c r="O63" s="76"/>
      <c r="P63" s="76"/>
      <c r="Q63" s="48"/>
      <c r="R63" s="78"/>
      <c r="S63" s="48"/>
      <c r="T63" s="65" t="s">
        <v>147</v>
      </c>
      <c r="U63" s="68">
        <f>I63-J63</f>
        <v>256.76195182278752</v>
      </c>
      <c r="V63" s="71"/>
      <c r="W63" s="65" t="s">
        <v>148</v>
      </c>
      <c r="X63" s="67">
        <f>I71</f>
        <v>47104</v>
      </c>
    </row>
    <row r="64" spans="1:24" ht="15.75">
      <c r="H64" s="37" t="s">
        <v>104</v>
      </c>
      <c r="I64" s="60">
        <f>ONSV_AUX_2016!T57</f>
        <v>143139</v>
      </c>
      <c r="J64" s="10">
        <f>I64</f>
        <v>143139</v>
      </c>
      <c r="K64" s="11"/>
      <c r="L64" s="11"/>
      <c r="M64" s="11"/>
      <c r="N64" s="26" t="s">
        <v>149</v>
      </c>
      <c r="O64" s="76"/>
      <c r="P64" s="76"/>
      <c r="Q64" s="65" t="s">
        <v>150</v>
      </c>
      <c r="R64" s="60">
        <f>J66-R61</f>
        <v>267165.07556662802</v>
      </c>
      <c r="S64" s="48"/>
      <c r="T64" s="65" t="s">
        <v>151</v>
      </c>
      <c r="U64" s="72">
        <f>O69</f>
        <v>974325.16786518809</v>
      </c>
      <c r="V64" s="48"/>
      <c r="W64" s="65" t="s">
        <v>152</v>
      </c>
      <c r="X64" s="67">
        <f>I68</f>
        <v>38781</v>
      </c>
    </row>
    <row r="65" spans="1:24" ht="15.75">
      <c r="H65" s="37" t="s">
        <v>105</v>
      </c>
      <c r="I65" s="60">
        <f>ONSV_AUX_2016!T58</f>
        <v>16043</v>
      </c>
      <c r="J65" s="10">
        <f>I65</f>
        <v>16043</v>
      </c>
      <c r="K65" s="11"/>
      <c r="L65" s="11"/>
      <c r="M65" s="11"/>
      <c r="O65" s="73"/>
      <c r="P65" s="76"/>
      <c r="Q65" s="65" t="s">
        <v>136</v>
      </c>
      <c r="R65" s="60">
        <f>J67-R62</f>
        <v>232761.86289573839</v>
      </c>
      <c r="S65" s="48"/>
      <c r="T65" s="48"/>
      <c r="U65" s="62"/>
      <c r="V65" s="77"/>
      <c r="W65" s="48"/>
      <c r="X65" s="62"/>
    </row>
    <row r="66" spans="1:24" ht="15.75">
      <c r="H66" s="37" t="s">
        <v>106</v>
      </c>
      <c r="I66" s="60">
        <f>ONSV_AUX_2016!T59</f>
        <v>319380</v>
      </c>
      <c r="J66" s="61">
        <f>I66-(L59*I57)</f>
        <v>319360.7284171232</v>
      </c>
      <c r="K66" s="11"/>
      <c r="L66" s="11"/>
      <c r="M66" s="11"/>
      <c r="N66" s="28" t="s">
        <v>143</v>
      </c>
      <c r="O66" s="60">
        <f>I54</f>
        <v>308885</v>
      </c>
      <c r="P66" s="76"/>
      <c r="Q66" s="48"/>
      <c r="R66" s="48"/>
      <c r="S66" s="77"/>
      <c r="T66" s="65" t="s">
        <v>142</v>
      </c>
      <c r="U66" s="68">
        <f>R61</f>
        <v>52195.652850495208</v>
      </c>
      <c r="V66" s="48"/>
      <c r="W66" s="65" t="s">
        <v>153</v>
      </c>
      <c r="X66" s="67">
        <f>I69</f>
        <v>877043</v>
      </c>
    </row>
    <row r="67" spans="1:24" ht="15.75">
      <c r="H67" s="37" t="s">
        <v>107</v>
      </c>
      <c r="I67" s="60">
        <f>ONSV_AUX_2016!T60</f>
        <v>278253</v>
      </c>
      <c r="J67" s="61">
        <f>I67-(L60*I57)</f>
        <v>278236.21004524321</v>
      </c>
      <c r="K67" s="11"/>
      <c r="L67" s="11"/>
      <c r="M67" s="11"/>
      <c r="N67" s="28" t="s">
        <v>146</v>
      </c>
      <c r="O67" s="60">
        <f>I58</f>
        <v>1101309</v>
      </c>
      <c r="P67" s="76"/>
      <c r="Q67" s="48"/>
      <c r="R67" s="48"/>
      <c r="S67" s="48"/>
      <c r="T67" s="65" t="s">
        <v>154</v>
      </c>
      <c r="U67" s="68">
        <f>I66-J66</f>
        <v>19.271582876797765</v>
      </c>
      <c r="V67" s="48"/>
      <c r="W67" s="65" t="s">
        <v>155</v>
      </c>
      <c r="X67" s="67">
        <f>I70</f>
        <v>154827</v>
      </c>
    </row>
    <row r="68" spans="1:24" ht="15.75">
      <c r="H68" s="37" t="s">
        <v>108</v>
      </c>
      <c r="I68" s="60">
        <f>ONSV_AUX_2016!T61</f>
        <v>38781</v>
      </c>
      <c r="J68" s="10">
        <f>I68</f>
        <v>38781</v>
      </c>
      <c r="K68" s="11"/>
      <c r="L68" s="11"/>
      <c r="M68" s="11"/>
      <c r="N68" s="28" t="s">
        <v>139</v>
      </c>
      <c r="O68" s="60">
        <f>IF(OR((O57*I55&gt;J63),((O66+O67+(O57*I55))&gt;J63)),(J63-O66-O67),(O57*I55))</f>
        <v>1870434.0701829891</v>
      </c>
      <c r="P68" s="76"/>
      <c r="Q68" s="48"/>
      <c r="R68" s="78"/>
      <c r="S68" s="48"/>
      <c r="T68" s="65" t="s">
        <v>150</v>
      </c>
      <c r="U68" s="72">
        <f>R64</f>
        <v>267165.07556662802</v>
      </c>
      <c r="V68" s="48"/>
      <c r="W68" s="48"/>
      <c r="X68" s="48"/>
    </row>
    <row r="69" spans="1:24" ht="15.75">
      <c r="H69" s="37" t="s">
        <v>109</v>
      </c>
      <c r="I69" s="60">
        <f>ONSV_AUX_2016!T62</f>
        <v>877043</v>
      </c>
      <c r="J69" s="10">
        <f>I69</f>
        <v>877043</v>
      </c>
      <c r="K69" s="11"/>
      <c r="L69" s="11"/>
      <c r="M69" s="11"/>
      <c r="N69" s="28" t="s">
        <v>151</v>
      </c>
      <c r="O69" s="60">
        <f>IF((J63-O66-O68-O67)&lt;0,0,(J63-O66-O68-O67))</f>
        <v>974325.16786518809</v>
      </c>
      <c r="P69" s="48"/>
      <c r="Q69" s="48"/>
      <c r="R69" s="48"/>
      <c r="S69" s="48"/>
      <c r="T69" s="48"/>
      <c r="U69" s="62"/>
      <c r="V69" s="48"/>
      <c r="W69" s="48"/>
      <c r="X69" s="48"/>
    </row>
    <row r="70" spans="1:24" ht="15.75">
      <c r="H70" s="37" t="s">
        <v>110</v>
      </c>
      <c r="I70" s="60">
        <f>ONSV_AUX_2016!T63</f>
        <v>154827</v>
      </c>
      <c r="J70" s="10">
        <f>I70</f>
        <v>154827</v>
      </c>
      <c r="K70" s="11"/>
      <c r="L70" s="11"/>
      <c r="M70" s="11"/>
      <c r="O70" s="48"/>
      <c r="P70" s="76"/>
      <c r="Q70" s="48"/>
      <c r="R70" s="48"/>
      <c r="S70" s="48"/>
      <c r="T70" s="79" t="s">
        <v>156</v>
      </c>
      <c r="U70" s="80">
        <f>(SUM(U56:U68,X56:X67)/SUM(I63:I72))-1</f>
        <v>0</v>
      </c>
      <c r="V70" s="48"/>
      <c r="W70" s="79" t="s">
        <v>10</v>
      </c>
      <c r="X70" s="67">
        <f>SUM(U56:U68,X56:X67)</f>
        <v>6182423</v>
      </c>
    </row>
    <row r="71" spans="1:24" ht="15.75">
      <c r="H71" s="37" t="s">
        <v>111</v>
      </c>
      <c r="I71" s="60">
        <f>ONSV_AUX_2016!T64</f>
        <v>47104</v>
      </c>
      <c r="J71" s="10">
        <f>I71</f>
        <v>47104</v>
      </c>
      <c r="K71" s="11"/>
      <c r="L71" s="11"/>
      <c r="M71" s="11"/>
      <c r="O71" s="48"/>
      <c r="P71" s="76"/>
      <c r="Q71" s="48"/>
      <c r="R71" s="48"/>
      <c r="S71" s="48"/>
      <c r="T71" s="48"/>
      <c r="U71" s="48"/>
      <c r="V71" s="48"/>
      <c r="W71" s="48"/>
      <c r="X71" s="48"/>
    </row>
    <row r="72" spans="1:24" ht="15.75">
      <c r="H72" s="37" t="s">
        <v>112</v>
      </c>
      <c r="I72" s="60">
        <f>ONSV_AUX_2016!T65</f>
        <v>52643</v>
      </c>
      <c r="J72" s="61">
        <f>I72-(L61*I57)</f>
        <v>52639.823489456496</v>
      </c>
      <c r="K72" s="12"/>
      <c r="L72" s="12"/>
      <c r="M72" s="12"/>
      <c r="N72" s="12"/>
      <c r="O72" s="12"/>
      <c r="P72" s="12"/>
      <c r="Q72" s="4"/>
      <c r="R72" s="4"/>
    </row>
    <row r="75" spans="1:24" s="34" customFormat="1" ht="15.75">
      <c r="A75" s="101" t="str">
        <f>"RIO DE JANEIRO/"&amp;ONSV_AUX_2015!A1&amp;""</f>
        <v>RIO DE JANEIRO/2015</v>
      </c>
      <c r="B75" s="102"/>
      <c r="C75" s="102"/>
      <c r="D75" s="102"/>
      <c r="E75" s="102"/>
      <c r="F75" s="102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 spans="1:24"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>
      <c r="H77" s="23" t="s">
        <v>118</v>
      </c>
      <c r="P77" s="9"/>
    </row>
    <row r="78" spans="1:24" ht="15.75">
      <c r="J78" s="9"/>
      <c r="M78" s="25"/>
      <c r="P78" s="9"/>
    </row>
    <row r="79" spans="1:24" ht="15.75">
      <c r="H79" s="36" t="s">
        <v>81</v>
      </c>
      <c r="I79" s="60">
        <f>ONSV_AUX_2015!T27</f>
        <v>309241</v>
      </c>
      <c r="J79" s="9"/>
      <c r="K79" s="104" t="s">
        <v>119</v>
      </c>
      <c r="L79" s="104"/>
      <c r="M79" s="9"/>
      <c r="N79" s="26" t="s">
        <v>120</v>
      </c>
      <c r="O79" s="26"/>
      <c r="Q79" s="26" t="s">
        <v>121</v>
      </c>
      <c r="R79" s="26"/>
      <c r="S79" s="26"/>
      <c r="T79" s="25" t="s">
        <v>122</v>
      </c>
      <c r="U79" s="25"/>
      <c r="V79" s="25"/>
      <c r="W79" s="25"/>
      <c r="X79" s="25"/>
    </row>
    <row r="80" spans="1:24" ht="15.75">
      <c r="H80" s="36" t="s">
        <v>84</v>
      </c>
      <c r="I80" s="60">
        <f>ONSV_AUX_2015!T28</f>
        <v>1769996</v>
      </c>
      <c r="J80" s="9"/>
      <c r="K80" s="9"/>
      <c r="L80" s="9"/>
      <c r="M80" s="9"/>
      <c r="N80" s="9"/>
      <c r="O80" s="9"/>
      <c r="P80" s="20"/>
      <c r="Q80" s="11"/>
      <c r="R80" s="11"/>
      <c r="S80" s="11"/>
    </row>
    <row r="81" spans="8:24" ht="15.75">
      <c r="H81" s="36" t="s">
        <v>85</v>
      </c>
      <c r="I81" s="60">
        <f>ONSV_AUX_2015!T29</f>
        <v>333503</v>
      </c>
      <c r="J81" s="9"/>
      <c r="K81" s="2" t="s">
        <v>123</v>
      </c>
      <c r="L81" s="60">
        <f>I88+I91+I92+I97</f>
        <v>4737948</v>
      </c>
      <c r="N81" s="28" t="s">
        <v>124</v>
      </c>
      <c r="O81" s="60">
        <f>J88+J97</f>
        <v>4167179.6511369478</v>
      </c>
      <c r="P81" s="64"/>
      <c r="Q81" s="65" t="s">
        <v>125</v>
      </c>
      <c r="R81" s="60">
        <f>J91+J92</f>
        <v>570555.34886305209</v>
      </c>
      <c r="S81" s="66"/>
      <c r="T81" s="65" t="s">
        <v>126</v>
      </c>
      <c r="U81" s="67">
        <f>O85</f>
        <v>20201.746029087433</v>
      </c>
      <c r="V81" s="48"/>
      <c r="W81" s="65" t="s">
        <v>127</v>
      </c>
      <c r="X81" s="68">
        <f>R87</f>
        <v>43114.988231294068</v>
      </c>
    </row>
    <row r="82" spans="8:24" ht="15.75">
      <c r="H82" s="36" t="s">
        <v>101</v>
      </c>
      <c r="I82" s="60">
        <f>ONSV_AUX_2015!T30</f>
        <v>213</v>
      </c>
      <c r="J82" s="9"/>
      <c r="K82" s="27"/>
      <c r="L82" s="62"/>
      <c r="M82" s="20"/>
      <c r="N82" s="28" t="s">
        <v>128</v>
      </c>
      <c r="O82" s="69">
        <f>J88/O81</f>
        <v>0.98858655837126896</v>
      </c>
      <c r="P82" s="64"/>
      <c r="Q82" s="70" t="s">
        <v>129</v>
      </c>
      <c r="R82" s="63">
        <f>J91/R81</f>
        <v>0.5369456746719572</v>
      </c>
      <c r="S82" s="71"/>
      <c r="T82" s="65" t="s">
        <v>130</v>
      </c>
      <c r="U82" s="67">
        <f>I97-J97</f>
        <v>2.1382953126521898</v>
      </c>
      <c r="V82" s="48"/>
      <c r="W82" s="65" t="s">
        <v>131</v>
      </c>
      <c r="X82" s="68">
        <f>I92-J92</f>
        <v>11.877869913296308</v>
      </c>
    </row>
    <row r="83" spans="8:24" ht="15.75">
      <c r="H83" s="36" t="s">
        <v>16</v>
      </c>
      <c r="I83" s="60">
        <f>ONSV_AUX_2015!T31</f>
        <v>1036109</v>
      </c>
      <c r="J83" s="9"/>
      <c r="K83" s="2" t="s">
        <v>132</v>
      </c>
      <c r="L83" s="63">
        <f>I88/L81</f>
        <v>0.86953318187536044</v>
      </c>
      <c r="M83" s="20"/>
      <c r="N83" s="28" t="s">
        <v>133</v>
      </c>
      <c r="O83" s="69">
        <f>J97/O81</f>
        <v>1.1413441628731045E-2</v>
      </c>
      <c r="P83" s="64"/>
      <c r="Q83" s="70" t="s">
        <v>134</v>
      </c>
      <c r="R83" s="63">
        <f>J92/R81</f>
        <v>0.46305432532804286</v>
      </c>
      <c r="S83" s="71"/>
      <c r="T83" s="65" t="s">
        <v>135</v>
      </c>
      <c r="U83" s="72">
        <f>O87</f>
        <v>27360.115675599915</v>
      </c>
      <c r="V83" s="73"/>
      <c r="W83" s="65" t="s">
        <v>136</v>
      </c>
      <c r="X83" s="72">
        <f>R90</f>
        <v>221083.13389879264</v>
      </c>
    </row>
    <row r="84" spans="8:24" ht="15.75">
      <c r="H84" s="36" t="s">
        <v>94</v>
      </c>
      <c r="I84" s="60">
        <f>ONSV_AUX_2015!T32</f>
        <v>2530899</v>
      </c>
      <c r="J84" s="10"/>
      <c r="K84" s="2" t="s">
        <v>2</v>
      </c>
      <c r="L84" s="63">
        <f>I91/L81</f>
        <v>6.4663225514505429E-2</v>
      </c>
      <c r="M84" s="20"/>
      <c r="N84" s="20"/>
      <c r="O84" s="74"/>
      <c r="P84" s="48"/>
      <c r="Q84" s="48"/>
      <c r="R84" s="48"/>
      <c r="S84" s="48"/>
      <c r="T84" s="48"/>
      <c r="U84" s="62"/>
      <c r="V84" s="75"/>
      <c r="W84" s="48"/>
      <c r="X84" s="62"/>
    </row>
    <row r="85" spans="8:24" ht="15.75">
      <c r="K85" s="2" t="s">
        <v>3</v>
      </c>
      <c r="L85" s="63">
        <f>I92/L81</f>
        <v>5.5764647480301598E-2</v>
      </c>
      <c r="M85" s="20"/>
      <c r="N85" s="28" t="s">
        <v>137</v>
      </c>
      <c r="O85" s="60">
        <f>IF(O83*I80&gt;J97,J97,O83*I80)</f>
        <v>20201.746029087433</v>
      </c>
      <c r="P85" s="76"/>
      <c r="Q85" s="65" t="s">
        <v>138</v>
      </c>
      <c r="R85" s="60">
        <f>I81-I89-I90-I93-I96</f>
        <v>93110</v>
      </c>
      <c r="S85" s="77"/>
      <c r="T85" s="65" t="s">
        <v>139</v>
      </c>
      <c r="U85" s="67">
        <f>O93</f>
        <v>1749794.2539709127</v>
      </c>
      <c r="V85" s="76"/>
      <c r="W85" s="65" t="s">
        <v>140</v>
      </c>
      <c r="X85" s="67">
        <f>I89</f>
        <v>140576</v>
      </c>
    </row>
    <row r="86" spans="8:24" ht="15.75">
      <c r="H86" s="24" t="s">
        <v>141</v>
      </c>
      <c r="K86" s="2" t="s">
        <v>0</v>
      </c>
      <c r="L86" s="63">
        <f>I97/L81</f>
        <v>1.0038945129832577E-2</v>
      </c>
      <c r="O86" s="48"/>
      <c r="P86" s="76"/>
      <c r="Q86" s="65" t="s">
        <v>142</v>
      </c>
      <c r="R86" s="60">
        <f>R82*R85</f>
        <v>49995.011768705932</v>
      </c>
      <c r="S86" s="48"/>
      <c r="T86" s="65" t="s">
        <v>143</v>
      </c>
      <c r="U86" s="67">
        <f>O91</f>
        <v>309241</v>
      </c>
      <c r="V86" s="66"/>
      <c r="W86" s="65" t="s">
        <v>144</v>
      </c>
      <c r="X86" s="67">
        <f>I90</f>
        <v>15535</v>
      </c>
    </row>
    <row r="87" spans="8:24" ht="15.75">
      <c r="K87" s="11"/>
      <c r="L87" s="11"/>
      <c r="M87" s="11"/>
      <c r="N87" s="28" t="s">
        <v>145</v>
      </c>
      <c r="O87" s="60">
        <f>J97-O85</f>
        <v>27360.115675599915</v>
      </c>
      <c r="P87" s="76"/>
      <c r="Q87" s="65" t="s">
        <v>127</v>
      </c>
      <c r="R87" s="60">
        <f>R83*R85</f>
        <v>43114.988231294068</v>
      </c>
      <c r="S87" s="48"/>
      <c r="T87" s="65" t="s">
        <v>146</v>
      </c>
      <c r="U87" s="67">
        <f>O92</f>
        <v>1036109</v>
      </c>
      <c r="V87" s="71"/>
      <c r="W87" s="48"/>
      <c r="X87" s="62"/>
    </row>
    <row r="88" spans="8:24" ht="15.75">
      <c r="H88" s="37" t="s">
        <v>103</v>
      </c>
      <c r="I88" s="60">
        <f>ONSV_AUX_2015!T56</f>
        <v>4119803</v>
      </c>
      <c r="J88" s="61">
        <f>I88-(L83*I82)</f>
        <v>4119617.7894322607</v>
      </c>
      <c r="K88" s="11"/>
      <c r="L88" s="11"/>
      <c r="M88" s="11"/>
      <c r="O88" s="76"/>
      <c r="P88" s="76"/>
      <c r="Q88" s="48"/>
      <c r="R88" s="78"/>
      <c r="S88" s="48"/>
      <c r="T88" s="65" t="s">
        <v>147</v>
      </c>
      <c r="U88" s="68">
        <f>I88-J88</f>
        <v>185.21056773932651</v>
      </c>
      <c r="V88" s="71"/>
      <c r="W88" s="65" t="s">
        <v>148</v>
      </c>
      <c r="X88" s="67">
        <f>I96</f>
        <v>46330</v>
      </c>
    </row>
    <row r="89" spans="8:24" ht="15.75">
      <c r="H89" s="37" t="s">
        <v>104</v>
      </c>
      <c r="I89" s="60">
        <f>ONSV_AUX_2015!T57</f>
        <v>140576</v>
      </c>
      <c r="J89" s="10">
        <f>I89</f>
        <v>140576</v>
      </c>
      <c r="K89" s="11"/>
      <c r="L89" s="11"/>
      <c r="M89" s="11"/>
      <c r="N89" s="26" t="s">
        <v>149</v>
      </c>
      <c r="O89" s="76"/>
      <c r="P89" s="76"/>
      <c r="Q89" s="65" t="s">
        <v>150</v>
      </c>
      <c r="R89" s="60">
        <f>J91-R86</f>
        <v>256362.21496425944</v>
      </c>
      <c r="S89" s="48"/>
      <c r="T89" s="65" t="s">
        <v>151</v>
      </c>
      <c r="U89" s="72">
        <f>O94</f>
        <v>1024473.535461348</v>
      </c>
      <c r="V89" s="48"/>
      <c r="W89" s="65" t="s">
        <v>152</v>
      </c>
      <c r="X89" s="67">
        <f>I93</f>
        <v>37952</v>
      </c>
    </row>
    <row r="90" spans="8:24" ht="15.75">
      <c r="H90" s="37" t="s">
        <v>105</v>
      </c>
      <c r="I90" s="60">
        <f>ONSV_AUX_2015!T58</f>
        <v>15535</v>
      </c>
      <c r="J90" s="10">
        <f>I90</f>
        <v>15535</v>
      </c>
      <c r="K90" s="11"/>
      <c r="L90" s="11"/>
      <c r="M90" s="11"/>
      <c r="O90" s="73"/>
      <c r="P90" s="76"/>
      <c r="Q90" s="65" t="s">
        <v>136</v>
      </c>
      <c r="R90" s="60">
        <f>J92-R87</f>
        <v>221083.13389879264</v>
      </c>
      <c r="S90" s="48"/>
      <c r="T90" s="48"/>
      <c r="U90" s="62"/>
      <c r="V90" s="77"/>
      <c r="W90" s="48"/>
      <c r="X90" s="62"/>
    </row>
    <row r="91" spans="8:24" ht="15.75">
      <c r="H91" s="37" t="s">
        <v>106</v>
      </c>
      <c r="I91" s="60">
        <f>ONSV_AUX_2015!T59</f>
        <v>306371</v>
      </c>
      <c r="J91" s="61">
        <f>I91-(L84*I82)</f>
        <v>306357.22673296538</v>
      </c>
      <c r="K91" s="11"/>
      <c r="L91" s="11"/>
      <c r="M91" s="11"/>
      <c r="N91" s="28" t="s">
        <v>143</v>
      </c>
      <c r="O91" s="60">
        <f>I79</f>
        <v>309241</v>
      </c>
      <c r="P91" s="76"/>
      <c r="Q91" s="48"/>
      <c r="R91" s="48"/>
      <c r="S91" s="77"/>
      <c r="T91" s="65" t="s">
        <v>142</v>
      </c>
      <c r="U91" s="68">
        <f>R86</f>
        <v>49995.011768705932</v>
      </c>
      <c r="V91" s="48"/>
      <c r="W91" s="65" t="s">
        <v>153</v>
      </c>
      <c r="X91" s="67">
        <f>I94</f>
        <v>835428</v>
      </c>
    </row>
    <row r="92" spans="8:24" ht="15.75">
      <c r="H92" s="37" t="s">
        <v>107</v>
      </c>
      <c r="I92" s="60">
        <f>ONSV_AUX_2015!T60</f>
        <v>264210</v>
      </c>
      <c r="J92" s="61">
        <f>I92-(L85*I82)</f>
        <v>264198.1221300867</v>
      </c>
      <c r="K92" s="11"/>
      <c r="L92" s="11"/>
      <c r="M92" s="11"/>
      <c r="N92" s="28" t="s">
        <v>146</v>
      </c>
      <c r="O92" s="60">
        <f>I83</f>
        <v>1036109</v>
      </c>
      <c r="P92" s="76"/>
      <c r="Q92" s="48"/>
      <c r="R92" s="48"/>
      <c r="S92" s="48"/>
      <c r="T92" s="65" t="s">
        <v>154</v>
      </c>
      <c r="U92" s="68">
        <f>I91-J91</f>
        <v>13.773267034615856</v>
      </c>
      <c r="V92" s="48"/>
      <c r="W92" s="65" t="s">
        <v>155</v>
      </c>
      <c r="X92" s="67">
        <f>I95</f>
        <v>148119</v>
      </c>
    </row>
    <row r="93" spans="8:24" ht="15.75">
      <c r="H93" s="37" t="s">
        <v>108</v>
      </c>
      <c r="I93" s="60">
        <f>ONSV_AUX_2015!T61</f>
        <v>37952</v>
      </c>
      <c r="J93" s="10">
        <f>I93</f>
        <v>37952</v>
      </c>
      <c r="K93" s="11"/>
      <c r="L93" s="11"/>
      <c r="M93" s="11"/>
      <c r="N93" s="28" t="s">
        <v>139</v>
      </c>
      <c r="O93" s="60">
        <f>IF(OR((O82*I80&gt;J88),((O91+O92+(O82*I80))&gt;J88)),(J88-O91-O92),(O82*I80))</f>
        <v>1749794.2539709127</v>
      </c>
      <c r="P93" s="76"/>
      <c r="Q93" s="48"/>
      <c r="R93" s="78"/>
      <c r="S93" s="48"/>
      <c r="T93" s="65" t="s">
        <v>150</v>
      </c>
      <c r="U93" s="72">
        <f>R89</f>
        <v>256362.21496425944</v>
      </c>
      <c r="V93" s="48"/>
      <c r="W93" s="48"/>
      <c r="X93" s="48"/>
    </row>
    <row r="94" spans="8:24" ht="15.75">
      <c r="H94" s="37" t="s">
        <v>109</v>
      </c>
      <c r="I94" s="60">
        <f>ONSV_AUX_2015!T62</f>
        <v>835428</v>
      </c>
      <c r="J94" s="10">
        <f>I94</f>
        <v>835428</v>
      </c>
      <c r="K94" s="11"/>
      <c r="L94" s="11"/>
      <c r="M94" s="11"/>
      <c r="N94" s="28" t="s">
        <v>151</v>
      </c>
      <c r="O94" s="60">
        <f>IF((J88-O91-O93-O92)&lt;0,0,(J88-O91-O93-O92))</f>
        <v>1024473.535461348</v>
      </c>
      <c r="P94" s="48"/>
      <c r="Q94" s="48"/>
      <c r="R94" s="48"/>
      <c r="S94" s="48"/>
      <c r="T94" s="48"/>
      <c r="U94" s="62"/>
      <c r="V94" s="48"/>
      <c r="W94" s="48"/>
      <c r="X94" s="48"/>
    </row>
    <row r="95" spans="8:24" ht="15.75">
      <c r="H95" s="37" t="s">
        <v>110</v>
      </c>
      <c r="I95" s="60">
        <f>ONSV_AUX_2015!T63</f>
        <v>148119</v>
      </c>
      <c r="J95" s="10">
        <f>I95</f>
        <v>148119</v>
      </c>
      <c r="K95" s="11"/>
      <c r="L95" s="11"/>
      <c r="M95" s="11"/>
      <c r="O95" s="48"/>
      <c r="P95" s="76"/>
      <c r="Q95" s="48"/>
      <c r="R95" s="48"/>
      <c r="S95" s="48"/>
      <c r="T95" s="79" t="s">
        <v>156</v>
      </c>
      <c r="U95" s="80">
        <f>(SUM(U81:U93,X81:X92)/SUM(I88:I97))-1</f>
        <v>0</v>
      </c>
      <c r="V95" s="48"/>
      <c r="W95" s="79" t="s">
        <v>10</v>
      </c>
      <c r="X95" s="67">
        <f>SUM(U81:U93,X81:X92)</f>
        <v>5961888</v>
      </c>
    </row>
    <row r="96" spans="8:24" ht="15.75">
      <c r="H96" s="37" t="s">
        <v>111</v>
      </c>
      <c r="I96" s="60">
        <f>ONSV_AUX_2015!T64</f>
        <v>46330</v>
      </c>
      <c r="J96" s="10">
        <f>I96</f>
        <v>46330</v>
      </c>
      <c r="K96" s="11"/>
      <c r="L96" s="11"/>
      <c r="M96" s="11"/>
      <c r="O96" s="48"/>
      <c r="P96" s="76"/>
      <c r="Q96" s="48"/>
      <c r="R96" s="48"/>
      <c r="S96" s="48"/>
      <c r="T96" s="48"/>
      <c r="U96" s="48"/>
      <c r="V96" s="48"/>
      <c r="W96" s="48"/>
      <c r="X96" s="48"/>
    </row>
    <row r="97" spans="1:24" ht="15.75">
      <c r="H97" s="37" t="s">
        <v>112</v>
      </c>
      <c r="I97" s="60">
        <f>ONSV_AUX_2015!T65</f>
        <v>47564</v>
      </c>
      <c r="J97" s="61">
        <f>I97-(L86*I82)</f>
        <v>47561.861704687348</v>
      </c>
      <c r="K97" s="12"/>
      <c r="L97" s="12"/>
      <c r="M97" s="12"/>
      <c r="N97" s="12"/>
      <c r="O97" s="12"/>
      <c r="P97" s="12"/>
      <c r="Q97" s="4"/>
      <c r="R97" s="4"/>
    </row>
    <row r="98" spans="1:24" ht="15.75">
      <c r="I98" s="40"/>
      <c r="J98" s="21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4" ht="15.75">
      <c r="I99" s="40"/>
      <c r="J99" s="21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4" s="34" customFormat="1" ht="15.75">
      <c r="A100" s="101" t="str">
        <f>"RIO DE JANEIRO/"&amp;ONSV_AUX_2014!A1&amp;""</f>
        <v>RIO DE JANEIRO/2014</v>
      </c>
      <c r="B100" s="102"/>
      <c r="C100" s="102"/>
      <c r="D100" s="102"/>
      <c r="E100" s="102"/>
      <c r="F100" s="102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</row>
    <row r="101" spans="1:24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>
      <c r="H102" s="23" t="s">
        <v>118</v>
      </c>
      <c r="N102" s="26"/>
      <c r="O102" s="26"/>
      <c r="P102" s="9"/>
      <c r="Q102" s="26"/>
      <c r="R102" s="26"/>
      <c r="S102" s="26"/>
      <c r="T102" s="25"/>
      <c r="U102" s="25"/>
      <c r="V102" s="25"/>
      <c r="W102" s="25"/>
      <c r="X102" s="25"/>
    </row>
    <row r="103" spans="1:24" ht="15.75">
      <c r="J103" s="9"/>
      <c r="M103" s="25"/>
      <c r="N103" s="9"/>
      <c r="O103" s="9"/>
      <c r="P103" s="9"/>
      <c r="Q103" s="11"/>
      <c r="R103" s="11"/>
      <c r="S103" s="11"/>
    </row>
    <row r="104" spans="1:24" ht="15.75">
      <c r="H104" s="36" t="s">
        <v>81</v>
      </c>
      <c r="I104" s="60">
        <f>ONSV_AUX_2014!T27</f>
        <v>309882</v>
      </c>
      <c r="J104" s="9"/>
      <c r="K104" s="104" t="s">
        <v>119</v>
      </c>
      <c r="L104" s="104"/>
      <c r="M104" s="9"/>
      <c r="N104" s="26" t="s">
        <v>120</v>
      </c>
      <c r="O104" s="26"/>
      <c r="Q104" s="26" t="s">
        <v>121</v>
      </c>
      <c r="R104" s="26"/>
      <c r="S104" s="26"/>
      <c r="T104" s="25" t="s">
        <v>122</v>
      </c>
      <c r="U104" s="25"/>
      <c r="V104" s="25"/>
      <c r="W104" s="25"/>
      <c r="X104" s="25"/>
    </row>
    <row r="105" spans="1:24" ht="15.75">
      <c r="H105" s="36" t="s">
        <v>84</v>
      </c>
      <c r="I105" s="60">
        <f>ONSV_AUX_2014!T28</f>
        <v>1564198</v>
      </c>
      <c r="J105" s="9"/>
      <c r="K105" s="9"/>
      <c r="L105" s="9"/>
      <c r="M105" s="9"/>
      <c r="N105" s="9"/>
      <c r="O105" s="9"/>
      <c r="P105" s="20"/>
      <c r="Q105" s="11"/>
      <c r="R105" s="11"/>
      <c r="S105" s="11"/>
    </row>
    <row r="106" spans="1:24" ht="15.75">
      <c r="H106" s="36" t="s">
        <v>85</v>
      </c>
      <c r="I106" s="60">
        <f>ONSV_AUX_2014!T29</f>
        <v>317859</v>
      </c>
      <c r="J106" s="9"/>
      <c r="K106" s="2" t="s">
        <v>123</v>
      </c>
      <c r="L106" s="60">
        <f>I113+I116+I117+I122</f>
        <v>4509033</v>
      </c>
      <c r="N106" s="28" t="s">
        <v>124</v>
      </c>
      <c r="O106" s="60">
        <f>J113+J122</f>
        <v>3976643.1721710623</v>
      </c>
      <c r="P106" s="64"/>
      <c r="Q106" s="65" t="s">
        <v>125</v>
      </c>
      <c r="R106" s="60">
        <f>J116+J117</f>
        <v>532252.82782893803</v>
      </c>
      <c r="S106" s="66"/>
      <c r="T106" s="65" t="s">
        <v>126</v>
      </c>
      <c r="U106" s="67">
        <f>O110</f>
        <v>16370.183536664481</v>
      </c>
      <c r="V106" s="48"/>
      <c r="W106" s="65" t="s">
        <v>127</v>
      </c>
      <c r="X106" s="68">
        <f>R112</f>
        <v>39995.861134125793</v>
      </c>
    </row>
    <row r="107" spans="1:24" ht="15.75">
      <c r="H107" s="36" t="s">
        <v>101</v>
      </c>
      <c r="I107" s="60">
        <f>ONSV_AUX_2014!T30</f>
        <v>137</v>
      </c>
      <c r="J107" s="9"/>
      <c r="K107" s="27"/>
      <c r="L107" s="62"/>
      <c r="M107" s="20"/>
      <c r="N107" s="28" t="s">
        <v>128</v>
      </c>
      <c r="O107" s="69">
        <f>J113/O106</f>
        <v>0.98953445565288756</v>
      </c>
      <c r="P107" s="64"/>
      <c r="Q107" s="70" t="s">
        <v>129</v>
      </c>
      <c r="R107" s="63">
        <f>J116/R106</f>
        <v>0.53584935436781034</v>
      </c>
      <c r="S107" s="71"/>
      <c r="T107" s="65" t="s">
        <v>130</v>
      </c>
      <c r="U107" s="67">
        <f>I122-J122</f>
        <v>1.2645290021173423</v>
      </c>
      <c r="V107" s="48"/>
      <c r="W107" s="65" t="s">
        <v>131</v>
      </c>
      <c r="X107" s="68">
        <f>I117-J117</f>
        <v>7.5063236396817956</v>
      </c>
    </row>
    <row r="108" spans="1:24" ht="15.75">
      <c r="H108" s="36" t="s">
        <v>16</v>
      </c>
      <c r="I108" s="60">
        <f>ONSV_AUX_2014!T31</f>
        <v>981093</v>
      </c>
      <c r="J108" s="9"/>
      <c r="K108" s="2" t="s">
        <v>132</v>
      </c>
      <c r="L108" s="63">
        <f>I113/L106</f>
        <v>0.87272481705057381</v>
      </c>
      <c r="M108" s="20"/>
      <c r="N108" s="28" t="s">
        <v>133</v>
      </c>
      <c r="O108" s="69">
        <f>J122/O106</f>
        <v>1.0465544347112374E-2</v>
      </c>
      <c r="P108" s="64"/>
      <c r="Q108" s="70" t="s">
        <v>134</v>
      </c>
      <c r="R108" s="63">
        <f>J117/R106</f>
        <v>0.46415064563218977</v>
      </c>
      <c r="S108" s="71"/>
      <c r="T108" s="65" t="s">
        <v>135</v>
      </c>
      <c r="U108" s="72">
        <f>O112</f>
        <v>25247.551934333402</v>
      </c>
      <c r="V108" s="73"/>
      <c r="W108" s="65" t="s">
        <v>136</v>
      </c>
      <c r="X108" s="72">
        <f>R115</f>
        <v>207049.63254223453</v>
      </c>
    </row>
    <row r="109" spans="1:24" ht="15.75">
      <c r="H109" s="36" t="s">
        <v>94</v>
      </c>
      <c r="I109" s="60">
        <f>ONSV_AUX_2014!T32</f>
        <v>2494471</v>
      </c>
      <c r="J109" s="10"/>
      <c r="K109" s="2" t="s">
        <v>2</v>
      </c>
      <c r="L109" s="63">
        <f>I116/L106</f>
        <v>6.325436074652814E-2</v>
      </c>
      <c r="M109" s="20"/>
      <c r="N109" s="20"/>
      <c r="O109" s="74"/>
      <c r="P109" s="48"/>
      <c r="Q109" s="48"/>
      <c r="R109" s="48"/>
      <c r="S109" s="48"/>
      <c r="T109" s="48"/>
      <c r="U109" s="62"/>
      <c r="V109" s="75"/>
      <c r="W109" s="48"/>
      <c r="X109" s="62"/>
    </row>
    <row r="110" spans="1:24" ht="15.75">
      <c r="K110" s="2" t="s">
        <v>3</v>
      </c>
      <c r="L110" s="63">
        <f>I117/L106</f>
        <v>5.4790683501318355E-2</v>
      </c>
      <c r="M110" s="20"/>
      <c r="N110" s="28" t="s">
        <v>137</v>
      </c>
      <c r="O110" s="60">
        <f>IF(O108*I105&gt;J122,J122,O108*I105)</f>
        <v>16370.183536664481</v>
      </c>
      <c r="P110" s="76"/>
      <c r="Q110" s="65" t="s">
        <v>138</v>
      </c>
      <c r="R110" s="60">
        <f>I106-I114-I115-I118-I121</f>
        <v>86170</v>
      </c>
      <c r="S110" s="77"/>
      <c r="T110" s="65" t="s">
        <v>139</v>
      </c>
      <c r="U110" s="67">
        <f>O118</f>
        <v>1547827.8164633354</v>
      </c>
      <c r="V110" s="76"/>
      <c r="W110" s="65" t="s">
        <v>140</v>
      </c>
      <c r="X110" s="67">
        <f>I114</f>
        <v>135642</v>
      </c>
    </row>
    <row r="111" spans="1:24" ht="15.75">
      <c r="H111" s="24" t="s">
        <v>141</v>
      </c>
      <c r="K111" s="2" t="s">
        <v>0</v>
      </c>
      <c r="L111" s="63">
        <f>I122/L106</f>
        <v>9.230138701579696E-3</v>
      </c>
      <c r="O111" s="48"/>
      <c r="P111" s="76"/>
      <c r="Q111" s="65" t="s">
        <v>142</v>
      </c>
      <c r="R111" s="60">
        <f>R107*R110</f>
        <v>46174.138865874214</v>
      </c>
      <c r="S111" s="48"/>
      <c r="T111" s="65" t="s">
        <v>143</v>
      </c>
      <c r="U111" s="67">
        <f>O116</f>
        <v>309882</v>
      </c>
      <c r="V111" s="66"/>
      <c r="W111" s="65" t="s">
        <v>144</v>
      </c>
      <c r="X111" s="67">
        <f>I115</f>
        <v>14787</v>
      </c>
    </row>
    <row r="112" spans="1:24" ht="15.75">
      <c r="K112" s="11"/>
      <c r="L112" s="11"/>
      <c r="M112" s="11"/>
      <c r="N112" s="28" t="s">
        <v>145</v>
      </c>
      <c r="O112" s="60">
        <f>J122-O110</f>
        <v>25247.551934333402</v>
      </c>
      <c r="P112" s="76"/>
      <c r="Q112" s="65" t="s">
        <v>127</v>
      </c>
      <c r="R112" s="60">
        <f>R108*R110</f>
        <v>39995.861134125793</v>
      </c>
      <c r="S112" s="48"/>
      <c r="T112" s="65" t="s">
        <v>146</v>
      </c>
      <c r="U112" s="67">
        <f>O117</f>
        <v>981093</v>
      </c>
      <c r="V112" s="71"/>
      <c r="W112" s="48"/>
      <c r="X112" s="62"/>
    </row>
    <row r="113" spans="8:24" ht="15.75">
      <c r="H113" s="37" t="s">
        <v>103</v>
      </c>
      <c r="I113" s="60">
        <f>ONSV_AUX_2014!T56</f>
        <v>3935145</v>
      </c>
      <c r="J113" s="61">
        <f>I113-(L108*I107)</f>
        <v>3935025.4367000642</v>
      </c>
      <c r="K113" s="11"/>
      <c r="L113" s="11"/>
      <c r="M113" s="11"/>
      <c r="O113" s="76"/>
      <c r="P113" s="76"/>
      <c r="Q113" s="48"/>
      <c r="R113" s="78"/>
      <c r="S113" s="48"/>
      <c r="T113" s="65" t="s">
        <v>147</v>
      </c>
      <c r="U113" s="68">
        <f>I113-J113</f>
        <v>119.56329993577674</v>
      </c>
      <c r="V113" s="71"/>
      <c r="W113" s="65" t="s">
        <v>148</v>
      </c>
      <c r="X113" s="67">
        <f>I121</f>
        <v>44549</v>
      </c>
    </row>
    <row r="114" spans="8:24" ht="15.75">
      <c r="H114" s="37" t="s">
        <v>104</v>
      </c>
      <c r="I114" s="60">
        <f>ONSV_AUX_2014!T57</f>
        <v>135642</v>
      </c>
      <c r="J114" s="10">
        <f>I114</f>
        <v>135642</v>
      </c>
      <c r="K114" s="11"/>
      <c r="L114" s="11"/>
      <c r="M114" s="11"/>
      <c r="N114" s="26" t="s">
        <v>149</v>
      </c>
      <c r="O114" s="76"/>
      <c r="P114" s="76"/>
      <c r="Q114" s="65" t="s">
        <v>150</v>
      </c>
      <c r="R114" s="60">
        <f>J116-R111</f>
        <v>239033.19528670353</v>
      </c>
      <c r="S114" s="48"/>
      <c r="T114" s="65" t="s">
        <v>151</v>
      </c>
      <c r="U114" s="72">
        <f>O119</f>
        <v>1096222.6202367288</v>
      </c>
      <c r="V114" s="48"/>
      <c r="W114" s="65" t="s">
        <v>152</v>
      </c>
      <c r="X114" s="67">
        <f>I118</f>
        <v>36711</v>
      </c>
    </row>
    <row r="115" spans="8:24" ht="15.75">
      <c r="H115" s="37" t="s">
        <v>105</v>
      </c>
      <c r="I115" s="60">
        <f>ONSV_AUX_2014!T58</f>
        <v>14787</v>
      </c>
      <c r="J115" s="10">
        <f>I115</f>
        <v>14787</v>
      </c>
      <c r="K115" s="11"/>
      <c r="L115" s="11"/>
      <c r="M115" s="11"/>
      <c r="O115" s="73"/>
      <c r="P115" s="76"/>
      <c r="Q115" s="65" t="s">
        <v>136</v>
      </c>
      <c r="R115" s="60">
        <f>J117-R112</f>
        <v>207049.63254223453</v>
      </c>
      <c r="S115" s="48"/>
      <c r="T115" s="48"/>
      <c r="U115" s="62"/>
      <c r="V115" s="77"/>
      <c r="W115" s="48"/>
      <c r="X115" s="62"/>
    </row>
    <row r="116" spans="8:24" ht="15.75">
      <c r="H116" s="37" t="s">
        <v>106</v>
      </c>
      <c r="I116" s="60">
        <f>ONSV_AUX_2014!T59</f>
        <v>285216</v>
      </c>
      <c r="J116" s="61">
        <f>I116-(L109*I107)</f>
        <v>285207.33415257774</v>
      </c>
      <c r="K116" s="11"/>
      <c r="L116" s="11"/>
      <c r="M116" s="11"/>
      <c r="N116" s="28" t="s">
        <v>143</v>
      </c>
      <c r="O116" s="60">
        <f>I104</f>
        <v>309882</v>
      </c>
      <c r="P116" s="76"/>
      <c r="Q116" s="48"/>
      <c r="R116" s="48"/>
      <c r="S116" s="77"/>
      <c r="T116" s="65" t="s">
        <v>142</v>
      </c>
      <c r="U116" s="68">
        <f>R111</f>
        <v>46174.138865874214</v>
      </c>
      <c r="V116" s="48"/>
      <c r="W116" s="65" t="s">
        <v>153</v>
      </c>
      <c r="X116" s="67">
        <f>I119</f>
        <v>778416</v>
      </c>
    </row>
    <row r="117" spans="8:24" ht="15.75">
      <c r="H117" s="37" t="s">
        <v>107</v>
      </c>
      <c r="I117" s="60">
        <f>ONSV_AUX_2014!T60</f>
        <v>247053</v>
      </c>
      <c r="J117" s="61">
        <f>I117-(L110*I107)</f>
        <v>247045.49367636032</v>
      </c>
      <c r="K117" s="11"/>
      <c r="L117" s="11"/>
      <c r="M117" s="11"/>
      <c r="N117" s="28" t="s">
        <v>146</v>
      </c>
      <c r="O117" s="60">
        <f>I108</f>
        <v>981093</v>
      </c>
      <c r="P117" s="76"/>
      <c r="Q117" s="48"/>
      <c r="R117" s="48"/>
      <c r="S117" s="48"/>
      <c r="T117" s="65" t="s">
        <v>154</v>
      </c>
      <c r="U117" s="68">
        <f>I116-J116</f>
        <v>8.6658474222640507</v>
      </c>
      <c r="V117" s="48"/>
      <c r="W117" s="65" t="s">
        <v>155</v>
      </c>
      <c r="X117" s="67">
        <f>I120</f>
        <v>137372</v>
      </c>
    </row>
    <row r="118" spans="8:24" ht="15.75">
      <c r="H118" s="37" t="s">
        <v>108</v>
      </c>
      <c r="I118" s="60">
        <f>ONSV_AUX_2014!T61</f>
        <v>36711</v>
      </c>
      <c r="J118" s="10">
        <f>I118</f>
        <v>36711</v>
      </c>
      <c r="K118" s="11"/>
      <c r="L118" s="11"/>
      <c r="M118" s="11"/>
      <c r="N118" s="28" t="s">
        <v>139</v>
      </c>
      <c r="O118" s="60">
        <f>IF(OR((O107*I105&gt;J113),((O116+O117+(O107*I105))&gt;J113)),(J113-O116-O117),(O107*I105))</f>
        <v>1547827.8164633354</v>
      </c>
      <c r="P118" s="76"/>
      <c r="Q118" s="48"/>
      <c r="R118" s="78"/>
      <c r="S118" s="48"/>
      <c r="T118" s="65" t="s">
        <v>150</v>
      </c>
      <c r="U118" s="72">
        <f>R114</f>
        <v>239033.19528670353</v>
      </c>
      <c r="V118" s="48"/>
      <c r="W118" s="48"/>
      <c r="X118" s="48"/>
    </row>
    <row r="119" spans="8:24" ht="15.75">
      <c r="H119" s="37" t="s">
        <v>109</v>
      </c>
      <c r="I119" s="60">
        <f>ONSV_AUX_2014!T62</f>
        <v>778416</v>
      </c>
      <c r="J119" s="10">
        <f>I119</f>
        <v>778416</v>
      </c>
      <c r="K119" s="11"/>
      <c r="L119" s="11"/>
      <c r="M119" s="11"/>
      <c r="N119" s="28" t="s">
        <v>151</v>
      </c>
      <c r="O119" s="60">
        <f>IF((J113-O116-O118-O117)&lt;0,0,(J113-O116-O118-O117))</f>
        <v>1096222.6202367288</v>
      </c>
      <c r="P119" s="48"/>
      <c r="Q119" s="48"/>
      <c r="R119" s="48"/>
      <c r="S119" s="48"/>
      <c r="T119" s="48"/>
      <c r="U119" s="62"/>
      <c r="V119" s="48"/>
      <c r="W119" s="48"/>
      <c r="X119" s="48"/>
    </row>
    <row r="120" spans="8:24" ht="15.75">
      <c r="H120" s="37" t="s">
        <v>110</v>
      </c>
      <c r="I120" s="60">
        <f>ONSV_AUX_2014!T63</f>
        <v>137372</v>
      </c>
      <c r="J120" s="10">
        <f>I120</f>
        <v>137372</v>
      </c>
      <c r="K120" s="11"/>
      <c r="L120" s="11"/>
      <c r="M120" s="11"/>
      <c r="O120" s="48"/>
      <c r="P120" s="76"/>
      <c r="Q120" s="48"/>
      <c r="R120" s="48"/>
      <c r="S120" s="48"/>
      <c r="T120" s="79" t="s">
        <v>156</v>
      </c>
      <c r="U120" s="80">
        <f>(SUM(U106:U118,X106:X117)/SUM(I113:I122))-1</f>
        <v>0</v>
      </c>
      <c r="V120" s="48"/>
      <c r="W120" s="79" t="s">
        <v>10</v>
      </c>
      <c r="X120" s="67">
        <f>SUM(U106:U118,X106:X117)</f>
        <v>5656510</v>
      </c>
    </row>
    <row r="121" spans="8:24" ht="15.75">
      <c r="H121" s="37" t="s">
        <v>111</v>
      </c>
      <c r="I121" s="60">
        <f>ONSV_AUX_2014!T64</f>
        <v>44549</v>
      </c>
      <c r="J121" s="10">
        <f>I121</f>
        <v>44549</v>
      </c>
      <c r="K121" s="11"/>
      <c r="L121" s="11"/>
      <c r="M121" s="11"/>
      <c r="O121" s="48"/>
      <c r="P121" s="76"/>
      <c r="Q121" s="48"/>
      <c r="R121" s="48"/>
      <c r="S121" s="48"/>
      <c r="T121" s="48"/>
      <c r="U121" s="48"/>
      <c r="V121" s="48"/>
      <c r="W121" s="48"/>
      <c r="X121" s="48"/>
    </row>
    <row r="122" spans="8:24" ht="15.75">
      <c r="H122" s="37" t="s">
        <v>112</v>
      </c>
      <c r="I122" s="60">
        <f>ONSV_AUX_2014!T65</f>
        <v>41619</v>
      </c>
      <c r="J122" s="61">
        <f>I122-(L111*I107)</f>
        <v>41617.735470997883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A1:F1"/>
    <mergeCell ref="Q4:R4"/>
    <mergeCell ref="T4:X4"/>
    <mergeCell ref="K5:L5"/>
    <mergeCell ref="A25:F25"/>
    <mergeCell ref="T27:X27"/>
    <mergeCell ref="T52:X52"/>
    <mergeCell ref="K79:L79"/>
    <mergeCell ref="A100:F100"/>
    <mergeCell ref="K104:L104"/>
    <mergeCell ref="K29:L29"/>
    <mergeCell ref="A50:F50"/>
    <mergeCell ref="A75:F75"/>
    <mergeCell ref="K54:L5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</sheetPr>
  <dimension ref="A1:AM36"/>
  <sheetViews>
    <sheetView showGridLines="0" workbookViewId="0">
      <pane xSplit="1" topLeftCell="B1" activePane="topRight" state="frozen"/>
      <selection pane="topRight" activeCell="A4" sqref="A4"/>
    </sheetView>
  </sheetViews>
  <sheetFormatPr defaultRowHeight="15"/>
  <cols>
    <col min="1" max="1" width="28.85546875" style="4" customWidth="1"/>
    <col min="2" max="2" width="2.5703125" customWidth="1"/>
    <col min="7" max="7" width="5.5703125" customWidth="1"/>
    <col min="8" max="8" width="10.140625" bestFit="1" customWidth="1"/>
    <col min="10" max="10" width="10.140625" bestFit="1" customWidth="1"/>
    <col min="11" max="12" width="10.140625" customWidth="1"/>
    <col min="13" max="13" width="10.140625" bestFit="1" customWidth="1"/>
    <col min="14" max="14" width="5.140625" customWidth="1"/>
    <col min="15" max="15" width="10.140625" bestFit="1" customWidth="1"/>
    <col min="18" max="18" width="10.140625" bestFit="1" customWidth="1"/>
    <col min="19" max="19" width="5.140625" customWidth="1"/>
    <col min="24" max="24" width="5.140625" customWidth="1"/>
    <col min="25" max="25" width="10.28515625" bestFit="1" customWidth="1"/>
    <col min="26" max="26" width="5.140625" customWidth="1"/>
    <col min="27" max="27" width="17.28515625" bestFit="1" customWidth="1"/>
    <col min="28" max="28" width="5.140625" customWidth="1"/>
    <col min="29" max="29" width="7.5703125" bestFit="1" customWidth="1"/>
    <col min="30" max="30" width="5.140625" customWidth="1"/>
    <col min="31" max="31" width="13.140625" bestFit="1" customWidth="1"/>
    <col min="32" max="32" width="5.140625" customWidth="1"/>
    <col min="33" max="33" width="12" bestFit="1" customWidth="1"/>
    <col min="34" max="34" width="5.140625" customWidth="1"/>
    <col min="35" max="35" width="10" bestFit="1" customWidth="1"/>
    <col min="37" max="37" width="11.140625" bestFit="1" customWidth="1"/>
  </cols>
  <sheetData>
    <row r="1" spans="1:39" ht="15.75">
      <c r="A1" s="23"/>
    </row>
    <row r="2" spans="1:39" ht="15.75" customHeight="1">
      <c r="A2" s="89" t="str">
        <f>"Frota por tipo de veículo e combustível - Junho/"&amp;ONSV_AUX_2016!A1&amp;""</f>
        <v>Frota por tipo de veículo e combustível - Junho/2016</v>
      </c>
      <c r="C2" s="93" t="s">
        <v>0</v>
      </c>
      <c r="D2" s="93"/>
      <c r="E2" s="93"/>
      <c r="F2" s="93"/>
      <c r="H2" s="93" t="s">
        <v>1</v>
      </c>
      <c r="I2" s="93"/>
      <c r="J2" s="93"/>
      <c r="K2" s="93"/>
      <c r="L2" s="93"/>
      <c r="M2" s="93"/>
      <c r="O2" s="94" t="s">
        <v>2</v>
      </c>
      <c r="P2" s="95"/>
      <c r="Q2" s="95"/>
      <c r="R2" s="96"/>
      <c r="T2" s="94" t="s">
        <v>3</v>
      </c>
      <c r="U2" s="95"/>
      <c r="V2" s="95"/>
      <c r="W2" s="96"/>
      <c r="Y2" s="28" t="s">
        <v>4</v>
      </c>
      <c r="AA2" s="28" t="s">
        <v>5</v>
      </c>
      <c r="AC2" s="28" t="s">
        <v>6</v>
      </c>
      <c r="AE2" s="28" t="s">
        <v>7</v>
      </c>
      <c r="AG2" s="28" t="s">
        <v>8</v>
      </c>
      <c r="AI2" s="28" t="s">
        <v>9</v>
      </c>
      <c r="AK2" s="91" t="s">
        <v>10</v>
      </c>
    </row>
    <row r="3" spans="1:39" ht="15.75">
      <c r="A3" s="90"/>
      <c r="C3" s="28" t="s">
        <v>11</v>
      </c>
      <c r="D3" s="28" t="s">
        <v>12</v>
      </c>
      <c r="E3" s="28" t="s">
        <v>13</v>
      </c>
      <c r="F3" s="28" t="s">
        <v>14</v>
      </c>
      <c r="H3" s="28" t="s">
        <v>11</v>
      </c>
      <c r="I3" s="28" t="s">
        <v>15</v>
      </c>
      <c r="J3" s="28" t="s">
        <v>16</v>
      </c>
      <c r="K3" s="28" t="s">
        <v>12</v>
      </c>
      <c r="L3" s="28" t="s">
        <v>13</v>
      </c>
      <c r="M3" s="28" t="s">
        <v>14</v>
      </c>
      <c r="O3" s="28" t="s">
        <v>17</v>
      </c>
      <c r="P3" s="28" t="s">
        <v>12</v>
      </c>
      <c r="Q3" s="28" t="s">
        <v>13</v>
      </c>
      <c r="R3" s="28" t="s">
        <v>14</v>
      </c>
      <c r="T3" s="28" t="s">
        <v>17</v>
      </c>
      <c r="U3" s="28" t="s">
        <v>12</v>
      </c>
      <c r="V3" s="28" t="s">
        <v>13</v>
      </c>
      <c r="W3" s="28" t="s">
        <v>14</v>
      </c>
      <c r="Y3" s="28" t="s">
        <v>17</v>
      </c>
      <c r="AA3" s="28" t="s">
        <v>17</v>
      </c>
      <c r="AC3" s="28" t="s">
        <v>17</v>
      </c>
      <c r="AE3" s="28" t="s">
        <v>17</v>
      </c>
      <c r="AG3" s="28" t="s">
        <v>13</v>
      </c>
      <c r="AI3" s="28" t="s">
        <v>13</v>
      </c>
      <c r="AK3" s="92"/>
      <c r="AM3" t="s">
        <v>18</v>
      </c>
    </row>
    <row r="4" spans="1:39">
      <c r="A4" s="42" t="s">
        <v>19</v>
      </c>
      <c r="C4" s="46">
        <f>SUM(C5,C13,C32,C28,C23)</f>
        <v>426887.75822784891</v>
      </c>
      <c r="D4" s="46">
        <f t="shared" ref="D4" si="0">SUM(D5,D13,D32,D28,D23)</f>
        <v>62.79639336051639</v>
      </c>
      <c r="E4" s="46">
        <f t="shared" ref="E4" si="1">SUM(E5,E13,E32,E28,E23)</f>
        <v>246003.44537879055</v>
      </c>
      <c r="F4" s="46">
        <f>SUM(F5,F13,F32,F28,F23)</f>
        <v>672954</v>
      </c>
      <c r="H4" s="46">
        <f t="shared" ref="H4:J4" si="2">SUM(H5,H13,H32,H28,H23)</f>
        <v>30744057.48742881</v>
      </c>
      <c r="I4" s="46">
        <f t="shared" si="2"/>
        <v>4156990</v>
      </c>
      <c r="J4" s="46">
        <f t="shared" si="2"/>
        <v>1887033</v>
      </c>
      <c r="K4" s="46">
        <f t="shared" ref="K4:L4" si="3">SUM(K5,K13,K32,K28,K23)</f>
        <v>4677.9353212372225</v>
      </c>
      <c r="L4" s="46">
        <f t="shared" si="3"/>
        <v>13804383.577249954</v>
      </c>
      <c r="M4" s="46">
        <f>SUM(M5,M13,M32,M28,M23)</f>
        <v>50597142</v>
      </c>
      <c r="O4" s="46">
        <f>SUM(O5,O13,O32,O28,O23)</f>
        <v>1889052.898915723</v>
      </c>
      <c r="P4" s="46">
        <f t="shared" ref="P4:R4" si="4">SUM(P5,P13,P32,P28,P23)</f>
        <v>629.29049138214032</v>
      </c>
      <c r="Q4" s="46">
        <f t="shared" ref="Q4" si="5">SUM(Q5,Q13,Q32,Q28,Q23)</f>
        <v>4844045.8105928954</v>
      </c>
      <c r="R4" s="46">
        <f t="shared" si="4"/>
        <v>6733728</v>
      </c>
      <c r="T4" s="46">
        <f>SUM(T5,T13,T32,T28,T23)</f>
        <v>758079.10108427703</v>
      </c>
      <c r="U4" s="46">
        <f t="shared" ref="U4:W4" si="6">SUM(U5,U13,U32,U28,U23)</f>
        <v>280.97779402167725</v>
      </c>
      <c r="V4" s="46">
        <f t="shared" ref="V4" si="7">SUM(V5,V13,V32,V28,V23)</f>
        <v>2222217.9211217011</v>
      </c>
      <c r="W4" s="46">
        <f t="shared" si="6"/>
        <v>2980578</v>
      </c>
      <c r="Y4" s="46">
        <f>SUM(Y5,Y13,Y32,Y28,Y23)</f>
        <v>2668681</v>
      </c>
      <c r="AA4" s="46">
        <f>SUM(AA5,AA13,AA32,AA28,AA23)</f>
        <v>601278</v>
      </c>
      <c r="AC4" s="46">
        <f>SUM(AC5,AC13,AC32,AC28,AC23)</f>
        <v>597100</v>
      </c>
      <c r="AE4" s="46">
        <f>SUM(AE5,AE13,AE32,AE28,AE23)</f>
        <v>380526</v>
      </c>
      <c r="AG4" s="46">
        <f>SUM(AG5,AG13,AG32,AG28,AG23)</f>
        <v>20620212</v>
      </c>
      <c r="AI4" s="46">
        <f>SUM(AI5,AI13,AI32,AI28,AI23)</f>
        <v>3921173</v>
      </c>
      <c r="AK4" s="46">
        <f t="shared" ref="AK4:AK36" si="8">SUM(F4,M4,R4,W4,Y4,AA4,AC4,AE4,AG4,AI4)</f>
        <v>89773372</v>
      </c>
    </row>
    <row r="5" spans="1:39">
      <c r="A5" s="42" t="s">
        <v>20</v>
      </c>
      <c r="C5" s="46">
        <f>SUM(C6:C12)</f>
        <v>25008.234269711738</v>
      </c>
      <c r="D5" s="46">
        <f t="shared" ref="D5:AE5" si="9">SUM(D6:D12)</f>
        <v>3.0837035146195149</v>
      </c>
      <c r="E5" s="46">
        <f t="shared" ref="E5" si="10">SUM(E6:E12)</f>
        <v>451.68202677363934</v>
      </c>
      <c r="F5" s="46">
        <f>SUM(C5:E5)</f>
        <v>25462.999999999996</v>
      </c>
      <c r="H5" s="46">
        <f t="shared" si="9"/>
        <v>1473167.483610935</v>
      </c>
      <c r="I5" s="46">
        <f t="shared" si="9"/>
        <v>67626</v>
      </c>
      <c r="J5" s="46">
        <f t="shared" si="9"/>
        <v>2795</v>
      </c>
      <c r="K5" s="46">
        <f t="shared" ref="K5:L5" si="11">SUM(K6:K12)</f>
        <v>190.54213695300859</v>
      </c>
      <c r="L5" s="46">
        <f t="shared" si="11"/>
        <v>15718.974252111919</v>
      </c>
      <c r="M5" s="46">
        <f>SUM(H5:L5)</f>
        <v>1559498</v>
      </c>
      <c r="O5" s="46">
        <f t="shared" si="9"/>
        <v>168101.31755025688</v>
      </c>
      <c r="P5" s="46">
        <f t="shared" si="9"/>
        <v>50.283468143796199</v>
      </c>
      <c r="Q5" s="46">
        <f t="shared" ref="Q5" si="12">SUM(Q6:Q12)</f>
        <v>244196.39898159931</v>
      </c>
      <c r="R5" s="46">
        <f>SUM(O5:Q5)</f>
        <v>412348</v>
      </c>
      <c r="T5" s="46">
        <f t="shared" si="9"/>
        <v>38061.682449743123</v>
      </c>
      <c r="U5" s="46">
        <f t="shared" si="9"/>
        <v>12.090691388521009</v>
      </c>
      <c r="V5" s="46">
        <f t="shared" ref="V5" si="13">SUM(V6:V12)</f>
        <v>58834.226858868351</v>
      </c>
      <c r="W5" s="46">
        <f>SUM(T5:V5)</f>
        <v>96908</v>
      </c>
      <c r="Y5" s="46">
        <f t="shared" ref="Y5" si="14">SUM(Y6:Y12)</f>
        <v>145196</v>
      </c>
      <c r="AA5" s="46">
        <f t="shared" si="9"/>
        <v>22477</v>
      </c>
      <c r="AC5" s="46">
        <f t="shared" ref="AC5" si="15">SUM(AC6:AC12)</f>
        <v>40105</v>
      </c>
      <c r="AE5" s="46">
        <f t="shared" si="9"/>
        <v>14224</v>
      </c>
      <c r="AG5" s="46">
        <f>SUM(AG6:AG12)</f>
        <v>1810438</v>
      </c>
      <c r="AI5" s="46">
        <f>SUM(AI6:AI12)</f>
        <v>470017</v>
      </c>
      <c r="AK5" s="46">
        <f t="shared" si="8"/>
        <v>4596674</v>
      </c>
    </row>
    <row r="6" spans="1:39">
      <c r="A6" s="43" t="s">
        <v>21</v>
      </c>
      <c r="C6" s="45">
        <f>AC!$U$56</f>
        <v>1093.8376387871142</v>
      </c>
      <c r="D6" s="45">
        <f>AC!$U57</f>
        <v>0.16236121288579852</v>
      </c>
      <c r="E6" s="45">
        <f>AC!$U58</f>
        <v>0</v>
      </c>
      <c r="F6" s="46">
        <f t="shared" ref="F6:F36" si="16">SUM(C6:E6)</f>
        <v>1094</v>
      </c>
      <c r="H6" s="45">
        <f>AC!$U$60</f>
        <v>75512.254338691579</v>
      </c>
      <c r="I6" s="45">
        <f>AC!$U$61</f>
        <v>3605</v>
      </c>
      <c r="J6" s="45">
        <f>AC!$U$62</f>
        <v>14</v>
      </c>
      <c r="K6" s="45">
        <f>AC!$U$63</f>
        <v>11.745661308421404</v>
      </c>
      <c r="L6" s="45">
        <f>AC!$U$64</f>
        <v>0</v>
      </c>
      <c r="M6" s="46">
        <f t="shared" ref="M6:M36" si="17">SUM(H6:L6)</f>
        <v>79143</v>
      </c>
      <c r="O6" s="45">
        <f>AC!$U$66</f>
        <v>12169.167416219354</v>
      </c>
      <c r="P6" s="45">
        <f>AC!$U$67</f>
        <v>3.4978897865657927</v>
      </c>
      <c r="Q6" s="45">
        <f>AC!$U$68</f>
        <v>11396.33469399408</v>
      </c>
      <c r="R6" s="46">
        <f t="shared" ref="R6:R36" si="18">SUM(O6:Q6)</f>
        <v>23569</v>
      </c>
      <c r="T6" s="45">
        <f>AC!$X$56</f>
        <v>2066.8325837806469</v>
      </c>
      <c r="U6" s="45">
        <f>AC!$X$57</f>
        <v>0.59408769212222978</v>
      </c>
      <c r="V6" s="45">
        <f>AC!$X$58</f>
        <v>1935.5733285272308</v>
      </c>
      <c r="W6" s="46">
        <f t="shared" ref="W6:W36" si="19">SUM(T6:V6)</f>
        <v>4003</v>
      </c>
      <c r="Y6" s="45">
        <f>AC!$X$60</f>
        <v>6907</v>
      </c>
      <c r="AA6" s="45">
        <f>AC!$X$61</f>
        <v>775</v>
      </c>
      <c r="AC6" s="45">
        <f>AC!$X$63</f>
        <v>1030</v>
      </c>
      <c r="AE6" s="45">
        <f>AC!$X$64</f>
        <v>344</v>
      </c>
      <c r="AG6" s="45">
        <f>AC!$X$66</f>
        <v>103188</v>
      </c>
      <c r="AI6" s="45">
        <f>AC!$X$67</f>
        <v>21589</v>
      </c>
      <c r="AK6" s="45">
        <f t="shared" si="8"/>
        <v>241642</v>
      </c>
      <c r="AM6" t="str">
        <f>IF((AK6=AC!$X$70),"ok","erro")</f>
        <v>ok</v>
      </c>
    </row>
    <row r="7" spans="1:39">
      <c r="A7" s="43" t="s">
        <v>22</v>
      </c>
      <c r="C7" s="45">
        <f>AP!$U$56</f>
        <v>843.89710976786716</v>
      </c>
      <c r="D7" s="45">
        <f>AP!$U57</f>
        <v>0.10289023213283599</v>
      </c>
      <c r="E7" s="45">
        <f>AP!$U58</f>
        <v>0</v>
      </c>
      <c r="F7" s="46">
        <f t="shared" si="16"/>
        <v>844</v>
      </c>
      <c r="H7" s="45">
        <f>AP!$U$60</f>
        <v>72442.99210646619</v>
      </c>
      <c r="I7" s="45">
        <f>AP!$U$61</f>
        <v>1433</v>
      </c>
      <c r="J7" s="45">
        <f>AP!$U$62</f>
        <v>6</v>
      </c>
      <c r="K7" s="45">
        <f>AP!$U$63</f>
        <v>9.0078935338096926</v>
      </c>
      <c r="L7" s="45">
        <f>AP!$U$64</f>
        <v>0</v>
      </c>
      <c r="M7" s="46">
        <f t="shared" si="17"/>
        <v>73891</v>
      </c>
      <c r="O7" s="45">
        <f>AP!$U$66</f>
        <v>5658.8714767932488</v>
      </c>
      <c r="P7" s="45">
        <f>AP!$U$67</f>
        <v>2.3774470462740283</v>
      </c>
      <c r="Q7" s="45">
        <f>AP!$U$68</f>
        <v>13840.751076160477</v>
      </c>
      <c r="R7" s="46">
        <f t="shared" si="18"/>
        <v>19502</v>
      </c>
      <c r="T7" s="45">
        <f>AP!$X$56</f>
        <v>1218.1285232067512</v>
      </c>
      <c r="U7" s="45">
        <f>AP!$X$57</f>
        <v>0.51176918778855907</v>
      </c>
      <c r="V7" s="45">
        <f>AP!$X$58</f>
        <v>2979.3597076054602</v>
      </c>
      <c r="W7" s="46">
        <f t="shared" si="19"/>
        <v>4198</v>
      </c>
      <c r="Y7" s="45">
        <f>AP!$X$60</f>
        <v>4059</v>
      </c>
      <c r="AA7" s="45">
        <f>AP!$X$61</f>
        <v>301</v>
      </c>
      <c r="AC7" s="45">
        <f>AP!$X$63</f>
        <v>1171</v>
      </c>
      <c r="AE7" s="45">
        <f>AP!$X$64</f>
        <v>457</v>
      </c>
      <c r="AG7" s="45">
        <f>AP!$X$66</f>
        <v>58466</v>
      </c>
      <c r="AI7" s="45">
        <f>AP!$X$67</f>
        <v>11337</v>
      </c>
      <c r="AK7" s="45">
        <f t="shared" si="8"/>
        <v>174226</v>
      </c>
      <c r="AM7" t="str">
        <f>IF((AK7=AP!$X$70),"ok","erro")</f>
        <v>ok</v>
      </c>
    </row>
    <row r="8" spans="1:39">
      <c r="A8" s="43" t="s">
        <v>23</v>
      </c>
      <c r="C8" s="45">
        <f>AM!$U$56</f>
        <v>4378.6192943358155</v>
      </c>
      <c r="D8" s="45">
        <f>AM!$U$57</f>
        <v>0.69867889054512489</v>
      </c>
      <c r="E8" s="45">
        <f>AM!$U$58</f>
        <v>451.68202677363934</v>
      </c>
      <c r="F8" s="46">
        <f t="shared" si="16"/>
        <v>4831</v>
      </c>
      <c r="H8" s="45">
        <f>AM!$U$60</f>
        <v>329926.38070566417</v>
      </c>
      <c r="I8" s="45">
        <f>AM!$U$61</f>
        <v>16201</v>
      </c>
      <c r="J8" s="45">
        <f>AM!$U$62</f>
        <v>2114</v>
      </c>
      <c r="K8" s="45">
        <f>AM!$U$63</f>
        <v>52.645042223914061</v>
      </c>
      <c r="L8" s="45">
        <f>AM!$U$64</f>
        <v>15718.974252111919</v>
      </c>
      <c r="M8" s="46">
        <f t="shared" si="17"/>
        <v>364013</v>
      </c>
      <c r="O8" s="45">
        <f>AM!$U$66</f>
        <v>20643.051304789617</v>
      </c>
      <c r="P8" s="45">
        <f>AM!$U$67</f>
        <v>11.755478422710439</v>
      </c>
      <c r="Q8" s="45">
        <f>AM!$U$68</f>
        <v>60628.193216787673</v>
      </c>
      <c r="R8" s="46">
        <f t="shared" si="18"/>
        <v>81283</v>
      </c>
      <c r="T8" s="45">
        <f>AM!$X$56</f>
        <v>6849.9486952103825</v>
      </c>
      <c r="U8" s="45">
        <f>AM!$X$57</f>
        <v>3.9008004627976334</v>
      </c>
      <c r="V8" s="45">
        <f>AM!$X$58</f>
        <v>20118.150504326819</v>
      </c>
      <c r="W8" s="46">
        <f t="shared" si="19"/>
        <v>26972</v>
      </c>
      <c r="Y8" s="45">
        <f>AM!$X$60</f>
        <v>19943</v>
      </c>
      <c r="AA8" s="45">
        <f>AM!$X$61</f>
        <v>2990</v>
      </c>
      <c r="AC8" s="45">
        <f>AM!$X$63</f>
        <v>8774</v>
      </c>
      <c r="AE8" s="45">
        <f>AM!$X$64</f>
        <v>3486</v>
      </c>
      <c r="AG8" s="45">
        <f>AM!$X$66</f>
        <v>227822</v>
      </c>
      <c r="AI8" s="45">
        <f>AM!$X$67</f>
        <v>51107</v>
      </c>
      <c r="AK8" s="45">
        <f t="shared" si="8"/>
        <v>791221</v>
      </c>
      <c r="AM8" t="str">
        <f>IF((AK8=AM!$X$70),"ok","erro")</f>
        <v>ok</v>
      </c>
    </row>
    <row r="9" spans="1:39">
      <c r="A9" s="43" t="s">
        <v>24</v>
      </c>
      <c r="C9" s="45">
        <f>PA!$U$56</f>
        <v>11842.685074503113</v>
      </c>
      <c r="D9" s="45">
        <f>PA!$U$57</f>
        <v>1.3149254968866444</v>
      </c>
      <c r="E9" s="45">
        <f>PA!$U$58</f>
        <v>0</v>
      </c>
      <c r="F9" s="46">
        <f t="shared" si="16"/>
        <v>11844</v>
      </c>
      <c r="H9" s="45">
        <f>PA!$U$60</f>
        <v>512498.42312821734</v>
      </c>
      <c r="I9" s="45">
        <f>PA!$U$61</f>
        <v>23772</v>
      </c>
      <c r="J9" s="45">
        <f>PA!$U$62</f>
        <v>300</v>
      </c>
      <c r="K9" s="45">
        <f>PA!$U$63</f>
        <v>59.57687178265769</v>
      </c>
      <c r="L9" s="45">
        <f>PA!$U$64</f>
        <v>0</v>
      </c>
      <c r="M9" s="46">
        <f t="shared" si="17"/>
        <v>536630</v>
      </c>
      <c r="O9" s="45">
        <f>PA!$U$66</f>
        <v>58666.144800652335</v>
      </c>
      <c r="P9" s="45">
        <f>PA!$U$67</f>
        <v>14.072944612067658</v>
      </c>
      <c r="Q9" s="45">
        <f>PA!$U$68</f>
        <v>68079.78225473559</v>
      </c>
      <c r="R9" s="46">
        <f t="shared" si="18"/>
        <v>126760</v>
      </c>
      <c r="T9" s="45">
        <f>PA!$X$56</f>
        <v>16821.855199347669</v>
      </c>
      <c r="U9" s="45">
        <f>PA!$X$57</f>
        <v>4.035258108349808</v>
      </c>
      <c r="V9" s="45">
        <f>PA!$X$58</f>
        <v>19521.109542543982</v>
      </c>
      <c r="W9" s="46">
        <f t="shared" si="19"/>
        <v>36347</v>
      </c>
      <c r="Y9" s="45">
        <f>PA!$X$60</f>
        <v>57719</v>
      </c>
      <c r="AA9" s="45">
        <f>PA!$X$61</f>
        <v>7246</v>
      </c>
      <c r="AC9" s="45">
        <f>PA!$X$63</f>
        <v>17270</v>
      </c>
      <c r="AE9" s="45">
        <f>PA!$X$64</f>
        <v>6487</v>
      </c>
      <c r="AG9" s="45">
        <f>PA!$X$66</f>
        <v>768161</v>
      </c>
      <c r="AI9" s="45">
        <f>PA!$X$67</f>
        <v>169256</v>
      </c>
      <c r="AK9" s="45">
        <f t="shared" si="8"/>
        <v>1737720</v>
      </c>
      <c r="AM9" t="str">
        <f>IF((AK9=PA!$X$70),"ok","erro")</f>
        <v>ok</v>
      </c>
    </row>
    <row r="10" spans="1:39">
      <c r="A10" s="43" t="s">
        <v>25</v>
      </c>
      <c r="C10" s="45">
        <f>RO!$U$56</f>
        <v>2893.714985864578</v>
      </c>
      <c r="D10" s="45">
        <f>RO!$U$57</f>
        <v>0.28501413542198861</v>
      </c>
      <c r="E10" s="45">
        <f>RO!$U$58</f>
        <v>0</v>
      </c>
      <c r="F10" s="46">
        <f t="shared" si="16"/>
        <v>2894</v>
      </c>
      <c r="H10" s="45">
        <f>RO!$U$60</f>
        <v>240167.32106525465</v>
      </c>
      <c r="I10" s="45">
        <f>RO!$U$61</f>
        <v>10312</v>
      </c>
      <c r="J10" s="45">
        <f>RO!$U$62</f>
        <v>83</v>
      </c>
      <c r="K10" s="45">
        <f>RO!$U$63</f>
        <v>24.678934745345032</v>
      </c>
      <c r="L10" s="45">
        <f>RO!$U$64</f>
        <v>0</v>
      </c>
      <c r="M10" s="46">
        <f t="shared" si="17"/>
        <v>250587</v>
      </c>
      <c r="O10" s="45">
        <f>RO!$U$66</f>
        <v>35702.60694706325</v>
      </c>
      <c r="P10" s="45">
        <f>RO!$U$67</f>
        <v>7.9392292719130637</v>
      </c>
      <c r="Q10" s="45">
        <f>RO!$U$68</f>
        <v>44903.453823664837</v>
      </c>
      <c r="R10" s="46">
        <f t="shared" si="18"/>
        <v>80614</v>
      </c>
      <c r="T10" s="45">
        <f>RO!$X$56</f>
        <v>4932.3930529367535</v>
      </c>
      <c r="U10" s="45">
        <f>RO!$X$57</f>
        <v>1.0968218473371962</v>
      </c>
      <c r="V10" s="45">
        <f>RO!$X$58</f>
        <v>6203.5101252159093</v>
      </c>
      <c r="W10" s="46">
        <f t="shared" si="19"/>
        <v>11137</v>
      </c>
      <c r="Y10" s="45">
        <f>RO!$X$60</f>
        <v>29692</v>
      </c>
      <c r="AA10" s="45">
        <f>RO!$X$61</f>
        <v>6020</v>
      </c>
      <c r="AC10" s="45">
        <f>RO!$X$63</f>
        <v>5615</v>
      </c>
      <c r="AE10" s="45">
        <f>RO!$X$64</f>
        <v>1185</v>
      </c>
      <c r="AG10" s="45">
        <f>RO!$X$66</f>
        <v>364315</v>
      </c>
      <c r="AI10" s="45">
        <f>RO!$X$67</f>
        <v>110365</v>
      </c>
      <c r="AK10" s="45">
        <f t="shared" si="8"/>
        <v>862424</v>
      </c>
      <c r="AM10" t="str">
        <f>IF((AK10=RO!$X$70),"ok","erro")</f>
        <v>ok</v>
      </c>
    </row>
    <row r="11" spans="1:39">
      <c r="A11" s="43" t="s">
        <v>26</v>
      </c>
      <c r="C11" s="45">
        <f>RR!$U$56</f>
        <v>1082.7551883745964</v>
      </c>
      <c r="D11" s="45">
        <f>RR!$U$57</f>
        <v>0.24481162540359946</v>
      </c>
      <c r="E11" s="45">
        <f>RR!$U$58</f>
        <v>0</v>
      </c>
      <c r="F11" s="46">
        <f t="shared" si="16"/>
        <v>1083</v>
      </c>
      <c r="H11" s="45">
        <f>RR!$U$60</f>
        <v>63385.334359526372</v>
      </c>
      <c r="I11" s="45">
        <f>RR!$U$61</f>
        <v>1440</v>
      </c>
      <c r="J11" s="45">
        <f>RR!$U$62</f>
        <v>38</v>
      </c>
      <c r="K11" s="45">
        <f>RR!$U$63</f>
        <v>14.665640473627718</v>
      </c>
      <c r="L11" s="45">
        <f>RR!$U$64</f>
        <v>0</v>
      </c>
      <c r="M11" s="46">
        <f t="shared" si="17"/>
        <v>64878</v>
      </c>
      <c r="O11" s="45">
        <f>RR!$U$66</f>
        <v>8011.9628419763167</v>
      </c>
      <c r="P11" s="45">
        <f>RR!$U$67</f>
        <v>5.0700645855758921</v>
      </c>
      <c r="Q11" s="45">
        <f>RR!$U$68</f>
        <v>14411.967093438107</v>
      </c>
      <c r="R11" s="46">
        <f t="shared" si="18"/>
        <v>22429</v>
      </c>
      <c r="T11" s="45">
        <f>RR!$X$56</f>
        <v>1611.0371580236833</v>
      </c>
      <c r="U11" s="45">
        <f>RR!$X$57</f>
        <v>1.0194833153927902</v>
      </c>
      <c r="V11" s="45">
        <f>RR!$X$58</f>
        <v>2897.9433586609239</v>
      </c>
      <c r="W11" s="46">
        <f t="shared" si="19"/>
        <v>4510</v>
      </c>
      <c r="Y11" s="45">
        <f>RR!$X$60</f>
        <v>4514</v>
      </c>
      <c r="AA11" s="45">
        <f>RR!$X$61</f>
        <v>603</v>
      </c>
      <c r="AC11" s="45">
        <f>RR!$X$63</f>
        <v>1009</v>
      </c>
      <c r="AE11" s="45">
        <f>RR!$X$64</f>
        <v>643</v>
      </c>
      <c r="AG11" s="45">
        <f>RR!$X$66</f>
        <v>74218</v>
      </c>
      <c r="AI11" s="45">
        <f>RR!$X$67</f>
        <v>18835</v>
      </c>
      <c r="AK11" s="45">
        <f t="shared" si="8"/>
        <v>192722</v>
      </c>
      <c r="AM11" t="str">
        <f>IF((AK11=RR!$X$70),"ok","erro")</f>
        <v>ok</v>
      </c>
    </row>
    <row r="12" spans="1:39">
      <c r="A12" s="43" t="s">
        <v>27</v>
      </c>
      <c r="C12" s="45">
        <f>TO!$U$56</f>
        <v>2872.7249780786565</v>
      </c>
      <c r="D12" s="45">
        <f>TO!$U$57</f>
        <v>0.27502192134352299</v>
      </c>
      <c r="E12" s="45">
        <f>TO!$U$58</f>
        <v>0</v>
      </c>
      <c r="F12" s="46">
        <f t="shared" si="16"/>
        <v>2873</v>
      </c>
      <c r="H12" s="45">
        <f>TO!$U$60</f>
        <v>179234.77790711477</v>
      </c>
      <c r="I12" s="45">
        <f>TO!$U$61</f>
        <v>10863</v>
      </c>
      <c r="J12" s="45">
        <f>TO!$U$62</f>
        <v>240</v>
      </c>
      <c r="K12" s="45">
        <f>TO!$U$63</f>
        <v>18.222092885232996</v>
      </c>
      <c r="L12" s="45">
        <f>TO!$U$64</f>
        <v>0</v>
      </c>
      <c r="M12" s="46">
        <f t="shared" si="17"/>
        <v>190356</v>
      </c>
      <c r="O12" s="45">
        <f>TO!$U$66</f>
        <v>27249.512762762763</v>
      </c>
      <c r="P12" s="45">
        <f>TO!$U$67</f>
        <v>5.5704144186893245</v>
      </c>
      <c r="Q12" s="45">
        <f>TO!$U$68</f>
        <v>30935.916822818548</v>
      </c>
      <c r="R12" s="46">
        <f t="shared" si="18"/>
        <v>58191</v>
      </c>
      <c r="T12" s="45">
        <f>TO!$X$56</f>
        <v>4561.4872372372365</v>
      </c>
      <c r="U12" s="45">
        <f>TO!$X$57</f>
        <v>0.93247077473279205</v>
      </c>
      <c r="V12" s="45">
        <f>TO!$X$58</f>
        <v>5178.5802919880307</v>
      </c>
      <c r="W12" s="46">
        <f t="shared" si="19"/>
        <v>9741</v>
      </c>
      <c r="Y12" s="45">
        <f>TO!$X$60</f>
        <v>22362</v>
      </c>
      <c r="AA12" s="45">
        <f>TO!$X$61</f>
        <v>4542</v>
      </c>
      <c r="AC12" s="45">
        <f>TO!$X$63</f>
        <v>5236</v>
      </c>
      <c r="AE12" s="45">
        <f>TO!$X$64</f>
        <v>1622</v>
      </c>
      <c r="AG12" s="45">
        <f>TO!$X$66</f>
        <v>214268</v>
      </c>
      <c r="AI12" s="45">
        <f>TO!$X$67</f>
        <v>87528</v>
      </c>
      <c r="AK12" s="45">
        <f t="shared" si="8"/>
        <v>596719</v>
      </c>
      <c r="AM12" t="str">
        <f>IF((AK12=TO!$X$70),"ok","erro")</f>
        <v>ok</v>
      </c>
    </row>
    <row r="13" spans="1:39">
      <c r="A13" s="42" t="s">
        <v>28</v>
      </c>
      <c r="C13" s="46">
        <f>SUM(C14:C22)</f>
        <v>99016.280759151457</v>
      </c>
      <c r="D13" s="46">
        <f t="shared" ref="D13:AI13" si="20">SUM(D14:D22)</f>
        <v>6.7547702935949019</v>
      </c>
      <c r="E13" s="46">
        <f t="shared" ref="E13" si="21">SUM(E14:E22)</f>
        <v>11362.964470554947</v>
      </c>
      <c r="F13" s="46">
        <f t="shared" si="16"/>
        <v>110386</v>
      </c>
      <c r="H13" s="46">
        <f>SUM(H14:H22)</f>
        <v>5406847.074644045</v>
      </c>
      <c r="I13" s="46">
        <f t="shared" si="20"/>
        <v>388635</v>
      </c>
      <c r="J13" s="46">
        <f t="shared" si="20"/>
        <v>241957</v>
      </c>
      <c r="K13" s="46">
        <f t="shared" ref="K13:L13" si="22">SUM(K14:K22)</f>
        <v>404.54391089605633</v>
      </c>
      <c r="L13" s="46">
        <f t="shared" si="22"/>
        <v>172433.3814450588</v>
      </c>
      <c r="M13" s="46">
        <f t="shared" si="17"/>
        <v>6210277</v>
      </c>
      <c r="O13" s="46">
        <f t="shared" si="20"/>
        <v>392611.48341695796</v>
      </c>
      <c r="P13" s="46">
        <f t="shared" si="20"/>
        <v>75.707142142287921</v>
      </c>
      <c r="Q13" s="46">
        <f t="shared" ref="Q13" si="23">SUM(Q14:Q22)</f>
        <v>676190.80944089976</v>
      </c>
      <c r="R13" s="46">
        <f t="shared" si="18"/>
        <v>1068878</v>
      </c>
      <c r="T13" s="46">
        <f t="shared" si="20"/>
        <v>129169.516583042</v>
      </c>
      <c r="U13" s="46">
        <f t="shared" si="20"/>
        <v>23.994176668022192</v>
      </c>
      <c r="V13" s="46">
        <f t="shared" ref="V13" si="24">SUM(V14:V22)</f>
        <v>232598.48924028999</v>
      </c>
      <c r="W13" s="46">
        <f t="shared" si="19"/>
        <v>361792</v>
      </c>
      <c r="Y13" s="46">
        <f t="shared" ref="Y13" si="25">SUM(Y14:Y22)</f>
        <v>440897</v>
      </c>
      <c r="AA13" s="46">
        <f t="shared" si="20"/>
        <v>55614</v>
      </c>
      <c r="AC13" s="46">
        <f t="shared" ref="AC13" si="26">SUM(AC14:AC22)</f>
        <v>115085</v>
      </c>
      <c r="AE13" s="46">
        <f t="shared" si="20"/>
        <v>82937</v>
      </c>
      <c r="AG13" s="46">
        <f t="shared" ref="AG13" si="27">SUM(AG14:AG22)</f>
        <v>5977342</v>
      </c>
      <c r="AI13" s="46">
        <f t="shared" si="20"/>
        <v>835281</v>
      </c>
      <c r="AK13" s="46">
        <f t="shared" si="8"/>
        <v>15258489</v>
      </c>
    </row>
    <row r="14" spans="1:39">
      <c r="A14" s="43" t="s">
        <v>29</v>
      </c>
      <c r="C14" s="45">
        <f>AL!$U$56</f>
        <v>4586.9305193001946</v>
      </c>
      <c r="D14" s="45">
        <f>AL!$U$57</f>
        <v>2.5555254812388739E-2</v>
      </c>
      <c r="E14" s="45">
        <f>AL!$U$58</f>
        <v>417.04392544499296</v>
      </c>
      <c r="F14" s="46">
        <f t="shared" si="16"/>
        <v>5004</v>
      </c>
      <c r="H14" s="45">
        <f>AL!$U$60</f>
        <v>276577.37043884152</v>
      </c>
      <c r="I14" s="45">
        <f>AL!$U$61</f>
        <v>24005</v>
      </c>
      <c r="J14" s="45">
        <f>AL!$U$62</f>
        <v>18502</v>
      </c>
      <c r="K14" s="45">
        <f>AL!$U$63</f>
        <v>1.6295611584791914</v>
      </c>
      <c r="L14" s="45">
        <f>AL!$U$64</f>
        <v>0</v>
      </c>
      <c r="M14" s="46">
        <f t="shared" si="17"/>
        <v>319086</v>
      </c>
      <c r="O14" s="45">
        <f>AL!$U$66</f>
        <v>16779.790677012377</v>
      </c>
      <c r="P14" s="45">
        <f>AL!$U$67</f>
        <v>0.24798913237464149</v>
      </c>
      <c r="Q14" s="45">
        <f>AL!$U$68</f>
        <v>31778.961333855248</v>
      </c>
      <c r="R14" s="46">
        <f t="shared" si="18"/>
        <v>48559</v>
      </c>
      <c r="T14" s="45">
        <f>AL!$X$56</f>
        <v>6556.20932298762</v>
      </c>
      <c r="U14" s="45">
        <f>AL!$X$57</f>
        <v>9.6894454345601844E-2</v>
      </c>
      <c r="V14" s="45">
        <f>AL!$X$58</f>
        <v>12416.693782558035</v>
      </c>
      <c r="W14" s="46">
        <f t="shared" si="19"/>
        <v>18973</v>
      </c>
      <c r="Y14" s="45">
        <f>AL!$X$60</f>
        <v>20489</v>
      </c>
      <c r="AA14" s="45">
        <f>AL!$X$61</f>
        <v>2243</v>
      </c>
      <c r="AC14" s="45">
        <f>AL!$X$63</f>
        <v>7042</v>
      </c>
      <c r="AE14" s="45">
        <f>AL!$X$64</f>
        <v>6113</v>
      </c>
      <c r="AG14" s="45">
        <f>AL!$X$66</f>
        <v>251317</v>
      </c>
      <c r="AI14" s="45">
        <f>AL!$X$67</f>
        <v>35992</v>
      </c>
      <c r="AK14" s="45">
        <f t="shared" si="8"/>
        <v>714818</v>
      </c>
      <c r="AM14" t="str">
        <f>IF((AK14=AL!$X$70),"ok","erro")</f>
        <v>ok</v>
      </c>
    </row>
    <row r="15" spans="1:39">
      <c r="A15" s="43" t="s">
        <v>30</v>
      </c>
      <c r="C15" s="45">
        <f>BA!$U$56</f>
        <v>20347.600382273358</v>
      </c>
      <c r="D15" s="45">
        <f>BA!$U$57</f>
        <v>1.9433240633588866</v>
      </c>
      <c r="E15" s="45">
        <f>BA!$U$58</f>
        <v>3528.4562936632828</v>
      </c>
      <c r="F15" s="46">
        <f t="shared" si="16"/>
        <v>23878</v>
      </c>
      <c r="H15" s="45">
        <f>BA!$U$60</f>
        <v>1407206.3996177267</v>
      </c>
      <c r="I15" s="45">
        <f>BA!$U$61</f>
        <v>98291</v>
      </c>
      <c r="J15" s="45">
        <f>BA!$U$62</f>
        <v>48735</v>
      </c>
      <c r="K15" s="45">
        <f>BA!$U$63</f>
        <v>134.39707912062295</v>
      </c>
      <c r="L15" s="45">
        <f>BA!$U$64</f>
        <v>96996.203303152695</v>
      </c>
      <c r="M15" s="46">
        <f t="shared" si="17"/>
        <v>1651363</v>
      </c>
      <c r="O15" s="45">
        <f>BA!$U$66</f>
        <v>90781.089926544199</v>
      </c>
      <c r="P15" s="45">
        <f>BA!$U$67</f>
        <v>25.390581202926114</v>
      </c>
      <c r="Q15" s="45">
        <f>BA!$U$68</f>
        <v>221172.51949225288</v>
      </c>
      <c r="R15" s="46">
        <f t="shared" si="18"/>
        <v>311979</v>
      </c>
      <c r="T15" s="45">
        <f>BA!$X$56</f>
        <v>29564.910073455812</v>
      </c>
      <c r="U15" s="45">
        <f>BA!$X$57</f>
        <v>8.2690156130993273</v>
      </c>
      <c r="V15" s="45">
        <f>BA!$X$58</f>
        <v>72029.820910931085</v>
      </c>
      <c r="W15" s="46">
        <f t="shared" si="19"/>
        <v>101603</v>
      </c>
      <c r="Y15" s="45">
        <f>BA!$X$60</f>
        <v>114451</v>
      </c>
      <c r="AA15" s="45">
        <f>BA!$X$61</f>
        <v>19958</v>
      </c>
      <c r="AC15" s="45">
        <f>BA!$X$63</f>
        <v>38101</v>
      </c>
      <c r="AE15" s="45">
        <f>BA!$X$64</f>
        <v>26937</v>
      </c>
      <c r="AG15" s="45">
        <f>BA!$X$66</f>
        <v>1185541</v>
      </c>
      <c r="AI15" s="45">
        <f>BA!$X$67</f>
        <v>171298</v>
      </c>
      <c r="AK15" s="45">
        <f t="shared" si="8"/>
        <v>3645109</v>
      </c>
      <c r="AM15" t="str">
        <f>IF((AK15=BA!$X$70),"ok","erro")</f>
        <v>ok</v>
      </c>
    </row>
    <row r="16" spans="1:39">
      <c r="A16" s="43" t="s">
        <v>31</v>
      </c>
      <c r="C16" s="45">
        <f>CE!$U$56</f>
        <v>25867.79918426487</v>
      </c>
      <c r="D16" s="45">
        <f>CE!$U$57</f>
        <v>0.90598299858174869</v>
      </c>
      <c r="E16" s="45">
        <f>CE!$U$58</f>
        <v>739.29483273654841</v>
      </c>
      <c r="F16" s="46">
        <f t="shared" si="16"/>
        <v>26608</v>
      </c>
      <c r="H16" s="45">
        <f>CE!$U$60</f>
        <v>934900.71688572993</v>
      </c>
      <c r="I16" s="45">
        <f>CE!$U$61</f>
        <v>62709</v>
      </c>
      <c r="J16" s="45">
        <f>CE!$U$62</f>
        <v>38592</v>
      </c>
      <c r="K16" s="45">
        <f>CE!$U$63</f>
        <v>35.283114270074293</v>
      </c>
      <c r="L16" s="45">
        <f>CE!$U$64</f>
        <v>0</v>
      </c>
      <c r="M16" s="46">
        <f t="shared" si="17"/>
        <v>1036237</v>
      </c>
      <c r="O16" s="45">
        <f>CE!$U$66</f>
        <v>81620.985143853541</v>
      </c>
      <c r="P16" s="45">
        <f>CE!$U$67</f>
        <v>5.9226663674344309</v>
      </c>
      <c r="Q16" s="45">
        <f>CE!$U$68</f>
        <v>92317.092189779025</v>
      </c>
      <c r="R16" s="46">
        <f t="shared" si="18"/>
        <v>173944</v>
      </c>
      <c r="T16" s="45">
        <f>CE!$X$56</f>
        <v>26022.014856146467</v>
      </c>
      <c r="U16" s="45">
        <f>CE!$X$57</f>
        <v>1.8882363638476818</v>
      </c>
      <c r="V16" s="45">
        <f>CE!$X$58</f>
        <v>29432.096907489686</v>
      </c>
      <c r="W16" s="46">
        <f t="shared" si="19"/>
        <v>55456</v>
      </c>
      <c r="Y16" s="45">
        <f>CE!$X$60</f>
        <v>69434</v>
      </c>
      <c r="AA16" s="45">
        <f>CE!$X$61</f>
        <v>7767</v>
      </c>
      <c r="AC16" s="45">
        <f>CE!$X$63</f>
        <v>16326</v>
      </c>
      <c r="AE16" s="45">
        <f>CE!$X$64</f>
        <v>11304</v>
      </c>
      <c r="AG16" s="45">
        <f>CE!$X$66</f>
        <v>1253683</v>
      </c>
      <c r="AI16" s="45">
        <f>CE!$X$67</f>
        <v>146679</v>
      </c>
      <c r="AK16" s="45">
        <f t="shared" si="8"/>
        <v>2797438</v>
      </c>
      <c r="AM16" t="str">
        <f>IF((AK16=CE!$X$70),"ok","erro")</f>
        <v>ok</v>
      </c>
    </row>
    <row r="17" spans="1:39">
      <c r="A17" s="43" t="s">
        <v>32</v>
      </c>
      <c r="C17" s="45">
        <f>MA!$U$56</f>
        <v>8015.5605035194785</v>
      </c>
      <c r="D17" s="45">
        <f>MA!$U$57</f>
        <v>1.439496480521484</v>
      </c>
      <c r="E17" s="45">
        <f>MA!$U$58</f>
        <v>0</v>
      </c>
      <c r="F17" s="46">
        <f t="shared" si="16"/>
        <v>8017</v>
      </c>
      <c r="H17" s="45">
        <f>MA!$U$60</f>
        <v>377072.77979236509</v>
      </c>
      <c r="I17" s="45">
        <f>MA!$U$61</f>
        <v>13712</v>
      </c>
      <c r="J17" s="45">
        <f>MA!$U$62</f>
        <v>223</v>
      </c>
      <c r="K17" s="45">
        <f>MA!$U$63</f>
        <v>70.220207634905819</v>
      </c>
      <c r="L17" s="45">
        <f>MA!$U$64</f>
        <v>0</v>
      </c>
      <c r="M17" s="46">
        <f t="shared" si="17"/>
        <v>391078</v>
      </c>
      <c r="O17" s="45">
        <f>MA!$U$66</f>
        <v>45865.113599099823</v>
      </c>
      <c r="P17" s="45">
        <f>MA!$U$67</f>
        <v>18.519713857298484</v>
      </c>
      <c r="Q17" s="45">
        <f>MA!$U$68</f>
        <v>57258.366687042879</v>
      </c>
      <c r="R17" s="46">
        <f t="shared" si="18"/>
        <v>103142</v>
      </c>
      <c r="T17" s="45">
        <f>MA!$X$56</f>
        <v>9461.8864009001773</v>
      </c>
      <c r="U17" s="45">
        <f>MA!$X$57</f>
        <v>3.8205820272596611</v>
      </c>
      <c r="V17" s="45">
        <f>MA!$X$58</f>
        <v>11812.293017072563</v>
      </c>
      <c r="W17" s="46">
        <f t="shared" si="19"/>
        <v>21278</v>
      </c>
      <c r="Y17" s="45">
        <f>MA!$X$60</f>
        <v>38314</v>
      </c>
      <c r="AA17" s="45">
        <f>MA!$X$61</f>
        <v>4030</v>
      </c>
      <c r="AC17" s="45">
        <f>MA!$X$63</f>
        <v>8200</v>
      </c>
      <c r="AE17" s="45">
        <f>MA!$X$64</f>
        <v>4583</v>
      </c>
      <c r="AG17" s="45">
        <f>MA!$X$66</f>
        <v>760569</v>
      </c>
      <c r="AI17" s="45">
        <f>MA!$X$67</f>
        <v>138727</v>
      </c>
      <c r="AK17" s="45">
        <f t="shared" si="8"/>
        <v>1477938</v>
      </c>
      <c r="AM17" t="str">
        <f>IF((AK17=MA!$X$70),"ok","erro")</f>
        <v>ok</v>
      </c>
    </row>
    <row r="18" spans="1:39">
      <c r="A18" s="43" t="s">
        <v>33</v>
      </c>
      <c r="C18" s="45">
        <f>PB!$U$56</f>
        <v>7180.6285674015835</v>
      </c>
      <c r="D18" s="45">
        <f>PB!$U$57</f>
        <v>0.10904368017236266</v>
      </c>
      <c r="E18" s="45">
        <f>PB!$U$58</f>
        <v>732.26238891824414</v>
      </c>
      <c r="F18" s="46">
        <f t="shared" si="16"/>
        <v>7913</v>
      </c>
      <c r="H18" s="45">
        <f>PB!$U$60</f>
        <v>423166.46060378477</v>
      </c>
      <c r="I18" s="45">
        <f>PB!$U$61</f>
        <v>29250</v>
      </c>
      <c r="J18" s="45">
        <f>PB!$U$62</f>
        <v>22123</v>
      </c>
      <c r="K18" s="45">
        <f>PB!$U$63</f>
        <v>6.5393962152302265</v>
      </c>
      <c r="L18" s="45">
        <f>PB!$U$64</f>
        <v>0</v>
      </c>
      <c r="M18" s="46">
        <f t="shared" si="17"/>
        <v>474546</v>
      </c>
      <c r="O18" s="45">
        <f>PB!$U$66</f>
        <v>27765.650067802486</v>
      </c>
      <c r="P18" s="45">
        <f>PB!$U$67</f>
        <v>1.0088159603619715</v>
      </c>
      <c r="Q18" s="45">
        <f>PB!$U$68</f>
        <v>45440.341116237149</v>
      </c>
      <c r="R18" s="46">
        <f t="shared" si="18"/>
        <v>73207</v>
      </c>
      <c r="T18" s="45">
        <f>PB!$X$56</f>
        <v>9433.3499321975123</v>
      </c>
      <c r="U18" s="45">
        <f>PB!$X$57</f>
        <v>0.34274414422543487</v>
      </c>
      <c r="V18" s="45">
        <f>PB!$X$58</f>
        <v>15438.307323658262</v>
      </c>
      <c r="W18" s="46">
        <f t="shared" si="19"/>
        <v>24872</v>
      </c>
      <c r="Y18" s="45">
        <f>PB!$X$60</f>
        <v>28197</v>
      </c>
      <c r="AA18" s="45">
        <f>PB!$X$61</f>
        <v>2644</v>
      </c>
      <c r="AC18" s="45">
        <f>PB!$X$63</f>
        <v>7043</v>
      </c>
      <c r="AE18" s="45">
        <f>PB!$X$64</f>
        <v>4472</v>
      </c>
      <c r="AG18" s="45">
        <f>PB!$X$66</f>
        <v>438315</v>
      </c>
      <c r="AI18" s="45">
        <f>PB!$X$67</f>
        <v>61163</v>
      </c>
      <c r="AK18" s="45">
        <f t="shared" si="8"/>
        <v>1122372</v>
      </c>
      <c r="AM18" t="str">
        <f>IF((AK18=PB!$X$70),"ok","erro")</f>
        <v>ok</v>
      </c>
    </row>
    <row r="19" spans="1:39">
      <c r="A19" s="43" t="s">
        <v>34</v>
      </c>
      <c r="C19" s="45">
        <f>PE!$U$56</f>
        <v>14205.564442377743</v>
      </c>
      <c r="D19" s="45">
        <f>PE!$U$57</f>
        <v>1.3038831550074974</v>
      </c>
      <c r="E19" s="45">
        <f>PE!$U$58</f>
        <v>2257.1316744672495</v>
      </c>
      <c r="F19" s="46">
        <f t="shared" si="16"/>
        <v>16464</v>
      </c>
      <c r="H19" s="45">
        <f>PE!$U$60</f>
        <v>1054566.4355576222</v>
      </c>
      <c r="I19" s="45">
        <f>PE!$U$61</f>
        <v>93915</v>
      </c>
      <c r="J19" s="45">
        <f>PE!$U$62</f>
        <v>45673</v>
      </c>
      <c r="K19" s="45">
        <f>PE!$U$63</f>
        <v>96.79526756843552</v>
      </c>
      <c r="L19" s="45">
        <f>PE!$U$64</f>
        <v>27972.769174809335</v>
      </c>
      <c r="M19" s="46">
        <f t="shared" si="17"/>
        <v>1222224</v>
      </c>
      <c r="O19" s="45">
        <f>PE!$U$66</f>
        <v>52394.050822568701</v>
      </c>
      <c r="P19" s="45">
        <f>PE!$U$67</f>
        <v>13.230881881172536</v>
      </c>
      <c r="Q19" s="45">
        <f>PE!$U$68</f>
        <v>114657.71829555012</v>
      </c>
      <c r="R19" s="46">
        <f t="shared" si="18"/>
        <v>167065</v>
      </c>
      <c r="T19" s="45">
        <f>PE!$X$56</f>
        <v>26412.949177431296</v>
      </c>
      <c r="U19" s="45">
        <f>PE!$X$57</f>
        <v>6.6699673953989986</v>
      </c>
      <c r="V19" s="45">
        <f>PE!$X$58</f>
        <v>57801.380855173309</v>
      </c>
      <c r="W19" s="46">
        <f t="shared" si="19"/>
        <v>84221</v>
      </c>
      <c r="Y19" s="45">
        <f>PE!$X$60</f>
        <v>91236</v>
      </c>
      <c r="AA19" s="45">
        <f>PE!$X$61</f>
        <v>11283</v>
      </c>
      <c r="AC19" s="45">
        <f>PE!$X$63</f>
        <v>19052</v>
      </c>
      <c r="AE19" s="45">
        <f>PE!$X$64</f>
        <v>18012</v>
      </c>
      <c r="AG19" s="45">
        <f>PE!$X$66</f>
        <v>960406</v>
      </c>
      <c r="AI19" s="45">
        <f>PE!$X$67</f>
        <v>98090</v>
      </c>
      <c r="AK19" s="45">
        <f t="shared" si="8"/>
        <v>2688053</v>
      </c>
      <c r="AM19" t="str">
        <f>IF((AK19=PE!$X$70),"ok","erro")</f>
        <v>ok</v>
      </c>
    </row>
    <row r="20" spans="1:39">
      <c r="A20" s="43" t="s">
        <v>35</v>
      </c>
      <c r="C20" s="45">
        <f>PI!$U$56</f>
        <v>5467.4524240448045</v>
      </c>
      <c r="D20" s="45">
        <f>PI!$U$57</f>
        <v>0.54757595519549795</v>
      </c>
      <c r="E20" s="45">
        <f>PI!$U$58</f>
        <v>0</v>
      </c>
      <c r="F20" s="46">
        <f t="shared" si="16"/>
        <v>5468</v>
      </c>
      <c r="H20" s="45">
        <f>PI!$U$60</f>
        <v>294012.65648394433</v>
      </c>
      <c r="I20" s="45">
        <f>PI!$U$61</f>
        <v>18306</v>
      </c>
      <c r="J20" s="45">
        <f>PI!$U$62</f>
        <v>641</v>
      </c>
      <c r="K20" s="45">
        <f>PI!$U$63</f>
        <v>31.34351605566917</v>
      </c>
      <c r="L20" s="45">
        <f>PI!$U$64</f>
        <v>0</v>
      </c>
      <c r="M20" s="46">
        <f t="shared" si="17"/>
        <v>312991</v>
      </c>
      <c r="O20" s="45">
        <f>PI!$U$66</f>
        <v>35676.308828056288</v>
      </c>
      <c r="P20" s="45">
        <f>PI!$U$67</f>
        <v>7.5538042934058467</v>
      </c>
      <c r="Q20" s="45">
        <f>PI!$U$68</f>
        <v>39747.137367650306</v>
      </c>
      <c r="R20" s="46">
        <f t="shared" si="18"/>
        <v>75431</v>
      </c>
      <c r="T20" s="45">
        <f>PI!$X$56</f>
        <v>7344.6911719437121</v>
      </c>
      <c r="U20" s="45">
        <f>PI!$X$57</f>
        <v>1.5551036957240285</v>
      </c>
      <c r="V20" s="45">
        <f>PI!$X$58</f>
        <v>8182.7537243605639</v>
      </c>
      <c r="W20" s="46">
        <f t="shared" si="19"/>
        <v>15529</v>
      </c>
      <c r="Y20" s="45">
        <f>PI!$X$60</f>
        <v>26891</v>
      </c>
      <c r="AA20" s="45">
        <f>PI!$X$61</f>
        <v>2362</v>
      </c>
      <c r="AC20" s="45">
        <f>PI!$X$63</f>
        <v>6310</v>
      </c>
      <c r="AE20" s="45">
        <f>PI!$X$64</f>
        <v>3256</v>
      </c>
      <c r="AG20" s="45">
        <f>PI!$X$66</f>
        <v>502264</v>
      </c>
      <c r="AI20" s="45">
        <f>PI!$X$67</f>
        <v>89058</v>
      </c>
      <c r="AK20" s="45">
        <f t="shared" si="8"/>
        <v>1039560</v>
      </c>
      <c r="AM20" t="str">
        <f>IF((AK20=PI!$X$70),"ok","erro")</f>
        <v>ok</v>
      </c>
    </row>
    <row r="21" spans="1:39">
      <c r="A21" s="43" t="s">
        <v>36</v>
      </c>
      <c r="C21" s="45">
        <f>RN!$U$56</f>
        <v>10115.615163951998</v>
      </c>
      <c r="D21" s="45">
        <f>RN!$U$57</f>
        <v>0.23610151289540227</v>
      </c>
      <c r="E21" s="45">
        <f>RN!$U$58</f>
        <v>3115.148734535107</v>
      </c>
      <c r="F21" s="46">
        <f t="shared" si="16"/>
        <v>13231</v>
      </c>
      <c r="H21" s="45">
        <f>RN!$U$60</f>
        <v>382198.384836048</v>
      </c>
      <c r="I21" s="45">
        <f>RN!$U$61</f>
        <v>30022</v>
      </c>
      <c r="J21" s="45">
        <f>RN!$U$62</f>
        <v>46737</v>
      </c>
      <c r="K21" s="45">
        <f>RN!$U$63</f>
        <v>8.9206257279729471</v>
      </c>
      <c r="L21" s="45">
        <f>RN!$U$64</f>
        <v>40940.694538224023</v>
      </c>
      <c r="M21" s="46">
        <f t="shared" si="17"/>
        <v>499907</v>
      </c>
      <c r="O21" s="45">
        <f>RN!$U$66</f>
        <v>28748.456435873602</v>
      </c>
      <c r="P21" s="45">
        <f>RN!$U$67</f>
        <v>1.3789748780836817</v>
      </c>
      <c r="Q21" s="45">
        <f>RN!$U$68</f>
        <v>48527.164589248314</v>
      </c>
      <c r="R21" s="46">
        <f t="shared" si="18"/>
        <v>77277</v>
      </c>
      <c r="T21" s="45">
        <f>RN!$X$56</f>
        <v>9679.5435641263939</v>
      </c>
      <c r="U21" s="45">
        <f>RN!$X$57</f>
        <v>0.46429788103705505</v>
      </c>
      <c r="V21" s="45">
        <f>RN!$X$58</f>
        <v>16338.992137992569</v>
      </c>
      <c r="W21" s="46">
        <f t="shared" si="19"/>
        <v>26019</v>
      </c>
      <c r="Y21" s="45">
        <f>RN!$X$60</f>
        <v>31045</v>
      </c>
      <c r="AA21" s="45">
        <f>RN!$X$61</f>
        <v>2993</v>
      </c>
      <c r="AC21" s="45">
        <f>RN!$X$63</f>
        <v>6486</v>
      </c>
      <c r="AE21" s="45">
        <f>RN!$X$64</f>
        <v>4864</v>
      </c>
      <c r="AG21" s="45">
        <f>RN!$X$66</f>
        <v>399069</v>
      </c>
      <c r="AI21" s="45">
        <f>RN!$X$67</f>
        <v>55171</v>
      </c>
      <c r="AK21" s="45">
        <f t="shared" si="8"/>
        <v>1116062</v>
      </c>
      <c r="AM21" t="str">
        <f>IF((AK21=RN!$X$70),"ok","erro")</f>
        <v>ok</v>
      </c>
    </row>
    <row r="22" spans="1:39">
      <c r="A22" s="43" t="s">
        <v>37</v>
      </c>
      <c r="C22" s="45">
        <f>SE!$U$56</f>
        <v>3229.1295720174271</v>
      </c>
      <c r="D22" s="45">
        <f>SE!$U$57</f>
        <v>0.2438071930496335</v>
      </c>
      <c r="E22" s="45">
        <f>SE!$U$58</f>
        <v>573.62662078952326</v>
      </c>
      <c r="F22" s="46">
        <f t="shared" si="16"/>
        <v>3803</v>
      </c>
      <c r="H22" s="45">
        <f>SE!$U$60</f>
        <v>257145.87042798259</v>
      </c>
      <c r="I22" s="45">
        <f>SE!$U$61</f>
        <v>18425</v>
      </c>
      <c r="J22" s="45">
        <f>SE!$U$62</f>
        <v>20731</v>
      </c>
      <c r="K22" s="45">
        <f>SE!$U$63</f>
        <v>19.415143144666217</v>
      </c>
      <c r="L22" s="45">
        <f>SE!$U$64</f>
        <v>6523.7144288727432</v>
      </c>
      <c r="M22" s="46">
        <f t="shared" si="17"/>
        <v>302845</v>
      </c>
      <c r="O22" s="45">
        <f>SE!$U$66</f>
        <v>12980.037916146981</v>
      </c>
      <c r="P22" s="45">
        <f>SE!$U$67</f>
        <v>2.4537145692302147</v>
      </c>
      <c r="Q22" s="45">
        <f>SE!$U$68</f>
        <v>25291.508369283787</v>
      </c>
      <c r="R22" s="46">
        <f t="shared" si="18"/>
        <v>38274</v>
      </c>
      <c r="T22" s="45">
        <f>SE!$X$56</f>
        <v>4693.9620838530163</v>
      </c>
      <c r="U22" s="45">
        <f>SE!$X$57</f>
        <v>0.88733509308440262</v>
      </c>
      <c r="V22" s="45">
        <f>SE!$X$58</f>
        <v>9146.1505810538983</v>
      </c>
      <c r="W22" s="46">
        <f t="shared" si="19"/>
        <v>13841</v>
      </c>
      <c r="Y22" s="45">
        <f>SE!$X$60</f>
        <v>20840</v>
      </c>
      <c r="AA22" s="45">
        <f>SE!$X$61</f>
        <v>2334</v>
      </c>
      <c r="AC22" s="45">
        <f>SE!$X$63</f>
        <v>6525</v>
      </c>
      <c r="AE22" s="45">
        <f>SE!$X$64</f>
        <v>3396</v>
      </c>
      <c r="AG22" s="45">
        <f>SE!$X$66</f>
        <v>226178</v>
      </c>
      <c r="AI22" s="45">
        <f>SE!$X$67</f>
        <v>39103</v>
      </c>
      <c r="AK22" s="45">
        <f t="shared" si="8"/>
        <v>657139</v>
      </c>
      <c r="AM22" t="str">
        <f>IF((AK22=SE!X$70),"ok","erro")</f>
        <v>ok</v>
      </c>
    </row>
    <row r="23" spans="1:39">
      <c r="A23" s="44" t="s">
        <v>38</v>
      </c>
      <c r="C23" s="46">
        <f>SUM(C24:C27)</f>
        <v>182369.60540318239</v>
      </c>
      <c r="D23" s="46">
        <f t="shared" ref="D23:AI23" si="28">SUM(D24:D27)</f>
        <v>33.501585944550243</v>
      </c>
      <c r="E23" s="46">
        <f t="shared" ref="E23" si="29">SUM(E24:E27)</f>
        <v>154469.89301087306</v>
      </c>
      <c r="F23" s="46">
        <f t="shared" si="16"/>
        <v>336873</v>
      </c>
      <c r="H23" s="46">
        <f t="shared" si="28"/>
        <v>15064949.394596817</v>
      </c>
      <c r="I23" s="46">
        <f t="shared" si="28"/>
        <v>2632919</v>
      </c>
      <c r="J23" s="46">
        <f t="shared" si="28"/>
        <v>1440210</v>
      </c>
      <c r="K23" s="46">
        <f t="shared" ref="K23:L23" si="30">SUM(K24:K27)</f>
        <v>2695.7162510890048</v>
      </c>
      <c r="L23" s="46">
        <f t="shared" si="30"/>
        <v>8603612.8891520947</v>
      </c>
      <c r="M23" s="46">
        <f t="shared" si="17"/>
        <v>27744387</v>
      </c>
      <c r="O23" s="46">
        <f t="shared" si="28"/>
        <v>632533.09152603312</v>
      </c>
      <c r="P23" s="46">
        <f t="shared" si="28"/>
        <v>289.73712206652272</v>
      </c>
      <c r="Q23" s="46">
        <f t="shared" ref="Q23" si="31">SUM(Q24:Q27)</f>
        <v>2433293.1713519003</v>
      </c>
      <c r="R23" s="46">
        <f t="shared" si="18"/>
        <v>3066116</v>
      </c>
      <c r="T23" s="46">
        <f t="shared" si="28"/>
        <v>335310.90847396688</v>
      </c>
      <c r="U23" s="46">
        <f t="shared" si="28"/>
        <v>168.04504090149567</v>
      </c>
      <c r="V23" s="46">
        <f t="shared" ref="V23" si="32">SUM(V24:V27)</f>
        <v>1357380.0464851316</v>
      </c>
      <c r="W23" s="46">
        <f t="shared" si="19"/>
        <v>1692859</v>
      </c>
      <c r="Y23" s="46">
        <f t="shared" ref="Y23" si="33">SUM(Y24:Y27)</f>
        <v>1202979</v>
      </c>
      <c r="AA23" s="46">
        <f t="shared" si="28"/>
        <v>258552</v>
      </c>
      <c r="AC23" s="46">
        <f t="shared" ref="AC23" si="34">SUM(AC24:AC27)</f>
        <v>288484</v>
      </c>
      <c r="AE23" s="46">
        <f t="shared" si="28"/>
        <v>208398</v>
      </c>
      <c r="AG23" s="46">
        <f t="shared" ref="AG23" si="35">SUM(AG24:AG27)</f>
        <v>7973372</v>
      </c>
      <c r="AI23" s="46">
        <f t="shared" si="28"/>
        <v>1330742</v>
      </c>
      <c r="AK23" s="46">
        <f t="shared" si="8"/>
        <v>44102762</v>
      </c>
    </row>
    <row r="24" spans="1:39">
      <c r="A24" s="43" t="s">
        <v>39</v>
      </c>
      <c r="C24" s="45">
        <f>ES!$U$56</f>
        <v>10858.109304937077</v>
      </c>
      <c r="D24" s="45">
        <f>ES!$U$57</f>
        <v>1.1900918452538463</v>
      </c>
      <c r="E24" s="45">
        <f>ES!$U$58</f>
        <v>4106.7006032176687</v>
      </c>
      <c r="F24" s="46">
        <f t="shared" si="16"/>
        <v>14966</v>
      </c>
      <c r="H24" s="45">
        <f>ES!$U$60</f>
        <v>644919.89069506293</v>
      </c>
      <c r="I24" s="45">
        <f>ES!$U$61</f>
        <v>53677</v>
      </c>
      <c r="J24" s="45">
        <f>ES!$U$62</f>
        <v>28930</v>
      </c>
      <c r="K24" s="45">
        <f>ES!$U$63</f>
        <v>70.685777901438996</v>
      </c>
      <c r="L24" s="45">
        <f>ES!$U$64</f>
        <v>161311.42352703563</v>
      </c>
      <c r="M24" s="46">
        <f t="shared" si="17"/>
        <v>888909</v>
      </c>
      <c r="O24" s="45">
        <f>ES!$U$66</f>
        <v>47372.641128574876</v>
      </c>
      <c r="P24" s="45">
        <f>ES!$U$67</f>
        <v>11.946801320038503</v>
      </c>
      <c r="Q24" s="45">
        <f>ES!$U$68</f>
        <v>102852.41207010509</v>
      </c>
      <c r="R24" s="46">
        <f t="shared" si="18"/>
        <v>150237</v>
      </c>
      <c r="T24" s="45">
        <f>ES!$X$56</f>
        <v>16564.35887142512</v>
      </c>
      <c r="U24" s="45">
        <f>ES!$X$57</f>
        <v>4.1773289332413697</v>
      </c>
      <c r="V24" s="45">
        <f>ES!$X$58</f>
        <v>35963.463799641642</v>
      </c>
      <c r="W24" s="46">
        <f t="shared" si="19"/>
        <v>52532</v>
      </c>
      <c r="Y24" s="45">
        <f>ES!$X$60</f>
        <v>70295</v>
      </c>
      <c r="AA24" s="45">
        <f>ES!$X$61</f>
        <v>17251</v>
      </c>
      <c r="AC24" s="45">
        <f>ES!$X$63</f>
        <v>14544</v>
      </c>
      <c r="AE24" s="45">
        <f>ES!$X$64</f>
        <v>7811</v>
      </c>
      <c r="AG24" s="45">
        <f>ES!$X$66</f>
        <v>415983</v>
      </c>
      <c r="AI24" s="45">
        <f>ES!$X$67</f>
        <v>97749</v>
      </c>
      <c r="AK24" s="45">
        <f t="shared" si="8"/>
        <v>1730277</v>
      </c>
      <c r="AM24" t="str">
        <f>IF((AK24=ES!$X$70),"ok","erro")</f>
        <v>ok</v>
      </c>
    </row>
    <row r="25" spans="1:39">
      <c r="A25" s="43" t="s">
        <v>40</v>
      </c>
      <c r="C25" s="45">
        <f>MG!$U$56</f>
        <v>34558.350025553329</v>
      </c>
      <c r="D25" s="45">
        <f>MG!$U$57</f>
        <v>2.3601914320897777</v>
      </c>
      <c r="E25" s="45">
        <f>MG!$U$58</f>
        <v>20105.289783014581</v>
      </c>
      <c r="F25" s="46">
        <f t="shared" si="16"/>
        <v>54666</v>
      </c>
      <c r="H25" s="45">
        <f>MG!$U$60</f>
        <v>3498219.6499744467</v>
      </c>
      <c r="I25" s="45">
        <f>MG!$U$61</f>
        <v>433944</v>
      </c>
      <c r="J25" s="45">
        <f>MG!$U$62</f>
        <v>32175</v>
      </c>
      <c r="K25" s="45">
        <f>MG!$U$63</f>
        <v>238.91383817046881</v>
      </c>
      <c r="L25" s="45">
        <f>MG!$U$64</f>
        <v>1569068.4361873828</v>
      </c>
      <c r="M25" s="46">
        <f t="shared" si="17"/>
        <v>5533646</v>
      </c>
      <c r="O25" s="45">
        <f>MG!$U$66</f>
        <v>189523.58561129941</v>
      </c>
      <c r="P25" s="45">
        <f>MG!$U$67</f>
        <v>34.627236917265691</v>
      </c>
      <c r="Q25" s="45">
        <f>MG!$U$68</f>
        <v>612466.78715178336</v>
      </c>
      <c r="R25" s="46">
        <f t="shared" si="18"/>
        <v>802025</v>
      </c>
      <c r="T25" s="45">
        <f>MG!$X$56</f>
        <v>66219.414388700607</v>
      </c>
      <c r="U25" s="45">
        <f>MG!$X$57</f>
        <v>12.098733480379451</v>
      </c>
      <c r="V25" s="45">
        <f>MG!$X$58</f>
        <v>213995.486877819</v>
      </c>
      <c r="W25" s="46">
        <f t="shared" si="19"/>
        <v>280227</v>
      </c>
      <c r="Y25" s="45">
        <f>MG!$X$60</f>
        <v>321338</v>
      </c>
      <c r="AA25" s="45">
        <f>MG!$X$61</f>
        <v>63973</v>
      </c>
      <c r="AC25" s="45">
        <f>MG!$X$63</f>
        <v>72591</v>
      </c>
      <c r="AE25" s="45">
        <f>MG!$X$64</f>
        <v>44040</v>
      </c>
      <c r="AG25" s="45">
        <f>MG!$X$66</f>
        <v>2349065</v>
      </c>
      <c r="AI25" s="45">
        <f>MG!$X$67</f>
        <v>263874</v>
      </c>
      <c r="AK25" s="45">
        <f t="shared" si="8"/>
        <v>9785445</v>
      </c>
      <c r="AM25" t="str">
        <f>IF((AK25=MG!$X$70),"ok","erro")</f>
        <v>ok</v>
      </c>
    </row>
    <row r="26" spans="1:39">
      <c r="A26" s="43" t="s">
        <v>41</v>
      </c>
      <c r="C26" s="45">
        <f>RJ!$U$56</f>
        <v>23139.929817010932</v>
      </c>
      <c r="D26" s="45">
        <f>RJ!$U$57</f>
        <v>3.1765105435042642</v>
      </c>
      <c r="E26" s="45">
        <f>RJ!$U$58</f>
        <v>29499.893672445563</v>
      </c>
      <c r="F26" s="46">
        <f t="shared" si="16"/>
        <v>52643</v>
      </c>
      <c r="H26" s="45">
        <f>RJ!$U$60</f>
        <v>1870434.0701829891</v>
      </c>
      <c r="I26" s="45">
        <f>RJ!$U$61</f>
        <v>308885</v>
      </c>
      <c r="J26" s="45">
        <f>RJ!$U$62</f>
        <v>1101309</v>
      </c>
      <c r="K26" s="45">
        <f>RJ!$U$63</f>
        <v>256.76195182278752</v>
      </c>
      <c r="L26" s="45">
        <f>RJ!$U$64</f>
        <v>974325.16786518809</v>
      </c>
      <c r="M26" s="46">
        <f t="shared" si="17"/>
        <v>4255210</v>
      </c>
      <c r="O26" s="45">
        <f>RJ!$U$66</f>
        <v>52195.652850495208</v>
      </c>
      <c r="P26" s="45">
        <f>RJ!$U$67</f>
        <v>19.271582876797765</v>
      </c>
      <c r="Q26" s="45">
        <f>RJ!$U$68</f>
        <v>267165.07556662802</v>
      </c>
      <c r="R26" s="46">
        <f t="shared" si="18"/>
        <v>319380</v>
      </c>
      <c r="T26" s="45">
        <f>RJ!$X$56</f>
        <v>45474.3471495048</v>
      </c>
      <c r="U26" s="45">
        <f>RJ!$X$57</f>
        <v>16.789954756794032</v>
      </c>
      <c r="V26" s="45">
        <f>RJ!$X$58</f>
        <v>232761.86289573839</v>
      </c>
      <c r="W26" s="46">
        <f t="shared" si="19"/>
        <v>278253</v>
      </c>
      <c r="Y26" s="45">
        <f>RJ!$X$60</f>
        <v>143139</v>
      </c>
      <c r="AA26" s="45">
        <f>RJ!$X$61</f>
        <v>16043</v>
      </c>
      <c r="AC26" s="45">
        <f>RJ!$X$63</f>
        <v>47104</v>
      </c>
      <c r="AE26" s="45">
        <f>RJ!$X$64</f>
        <v>38781</v>
      </c>
      <c r="AG26" s="45">
        <f>RJ!$X$66</f>
        <v>877043</v>
      </c>
      <c r="AI26" s="45">
        <f>RJ!$X$67</f>
        <v>154827</v>
      </c>
      <c r="AK26" s="45">
        <f t="shared" si="8"/>
        <v>6182423</v>
      </c>
      <c r="AM26" t="str">
        <f>IF((AK26=RJ!$X$70),"ok","erro")</f>
        <v>ok</v>
      </c>
    </row>
    <row r="27" spans="1:39">
      <c r="A27" s="43" t="s">
        <v>42</v>
      </c>
      <c r="C27" s="45">
        <f>SP!$U$56</f>
        <v>113813.21625568104</v>
      </c>
      <c r="D27" s="45">
        <f>SP!$U$57</f>
        <v>26.774792123702355</v>
      </c>
      <c r="E27" s="45">
        <f>SP!$U$58</f>
        <v>100758.00895219526</v>
      </c>
      <c r="F27" s="46">
        <f t="shared" si="16"/>
        <v>214598</v>
      </c>
      <c r="H27" s="45">
        <f>SP!$U$60</f>
        <v>9051375.7837443184</v>
      </c>
      <c r="I27" s="45">
        <f>SP!$U$61</f>
        <v>1836413</v>
      </c>
      <c r="J27" s="45">
        <f>SP!$U$62</f>
        <v>277796</v>
      </c>
      <c r="K27" s="45">
        <f>SP!$U$63</f>
        <v>2129.3546831943095</v>
      </c>
      <c r="L27" s="45">
        <f>SP!$U$64</f>
        <v>5898907.8615724873</v>
      </c>
      <c r="M27" s="46">
        <f t="shared" si="17"/>
        <v>17066622</v>
      </c>
      <c r="O27" s="45">
        <f>SP!$U$66</f>
        <v>343441.21193566365</v>
      </c>
      <c r="P27" s="45">
        <f>SP!$U$67</f>
        <v>223.89150095242076</v>
      </c>
      <c r="Q27" s="45">
        <f>SP!$U$68</f>
        <v>1450808.896563384</v>
      </c>
      <c r="R27" s="46">
        <f t="shared" si="18"/>
        <v>1794474</v>
      </c>
      <c r="T27" s="45">
        <f>SP!$X$56</f>
        <v>207052.78806433638</v>
      </c>
      <c r="U27" s="45">
        <f>SP!$X$57</f>
        <v>134.97902373108082</v>
      </c>
      <c r="V27" s="45">
        <f>SP!$X$58</f>
        <v>874659.23291193251</v>
      </c>
      <c r="W27" s="46">
        <f t="shared" si="19"/>
        <v>1081847</v>
      </c>
      <c r="Y27" s="45">
        <f>SP!$X$60</f>
        <v>668207</v>
      </c>
      <c r="AA27" s="45">
        <f>SP!$X$61</f>
        <v>161285</v>
      </c>
      <c r="AC27" s="45">
        <f>SP!$X$63</f>
        <v>154245</v>
      </c>
      <c r="AE27" s="45">
        <f>SP!$X$64</f>
        <v>117766</v>
      </c>
      <c r="AG27" s="45">
        <f>SP!$X$66</f>
        <v>4331281</v>
      </c>
      <c r="AI27" s="45">
        <f>SP!$X$67</f>
        <v>814292</v>
      </c>
      <c r="AK27" s="45">
        <f t="shared" si="8"/>
        <v>26404617</v>
      </c>
      <c r="AM27" t="str">
        <f>IF((AK27=SP!$X$70),"ok","erro")</f>
        <v>ok</v>
      </c>
    </row>
    <row r="28" spans="1:39">
      <c r="A28" s="42" t="s">
        <v>43</v>
      </c>
      <c r="C28" s="46">
        <f>SUM(C29:C31)</f>
        <v>72414.007895513394</v>
      </c>
      <c r="D28" s="46">
        <f t="shared" ref="D28:AI28" si="36">SUM(D29:D31)</f>
        <v>11.722523503020057</v>
      </c>
      <c r="E28" s="46">
        <f t="shared" ref="E28" si="37">SUM(E29:E31)</f>
        <v>63021.269580983586</v>
      </c>
      <c r="F28" s="46">
        <f t="shared" si="16"/>
        <v>135447</v>
      </c>
      <c r="H28" s="46">
        <f t="shared" si="36"/>
        <v>5740701.9921044875</v>
      </c>
      <c r="I28" s="46">
        <f t="shared" si="36"/>
        <v>749407</v>
      </c>
      <c r="J28" s="46">
        <f t="shared" si="36"/>
        <v>189243</v>
      </c>
      <c r="K28" s="46">
        <f t="shared" ref="K28:L28" si="38">SUM(K29:K31)</f>
        <v>930.41676493827254</v>
      </c>
      <c r="L28" s="46">
        <f t="shared" si="38"/>
        <v>4193568.5911305742</v>
      </c>
      <c r="M28" s="46">
        <f t="shared" si="17"/>
        <v>10873851</v>
      </c>
      <c r="O28" s="46">
        <f t="shared" si="36"/>
        <v>416781.63725022518</v>
      </c>
      <c r="P28" s="46">
        <f t="shared" si="36"/>
        <v>122.146796122659</v>
      </c>
      <c r="Q28" s="46">
        <f t="shared" ref="Q28" si="39">SUM(Q29:Q31)</f>
        <v>998351.21595365216</v>
      </c>
      <c r="R28" s="46">
        <f t="shared" si="18"/>
        <v>1415255</v>
      </c>
      <c r="T28" s="46">
        <f t="shared" si="36"/>
        <v>175327.36274977485</v>
      </c>
      <c r="U28" s="46">
        <f t="shared" si="36"/>
        <v>50.713915436237585</v>
      </c>
      <c r="V28" s="46">
        <f t="shared" ref="V28" si="40">SUM(V29:V31)</f>
        <v>419284.92333478888</v>
      </c>
      <c r="W28" s="46">
        <f t="shared" si="19"/>
        <v>594663</v>
      </c>
      <c r="Y28" s="46">
        <f t="shared" ref="Y28" si="41">SUM(Y29:Y31)</f>
        <v>631963</v>
      </c>
      <c r="AA28" s="46">
        <f t="shared" si="36"/>
        <v>189211</v>
      </c>
      <c r="AC28" s="46">
        <f t="shared" ref="AC28" si="42">SUM(AC29:AC31)</f>
        <v>99571</v>
      </c>
      <c r="AE28" s="46">
        <f t="shared" si="36"/>
        <v>53534</v>
      </c>
      <c r="AG28" s="46">
        <f t="shared" ref="AG28" si="43">SUM(AG29:AG31)</f>
        <v>2948312</v>
      </c>
      <c r="AI28" s="46">
        <f t="shared" si="36"/>
        <v>712427</v>
      </c>
      <c r="AK28" s="46">
        <f t="shared" si="8"/>
        <v>17654234</v>
      </c>
    </row>
    <row r="29" spans="1:39">
      <c r="A29" s="43" t="s">
        <v>44</v>
      </c>
      <c r="C29" s="45">
        <f>PR!$U$56</f>
        <v>24997.386352590675</v>
      </c>
      <c r="D29" s="45">
        <f>PR!$U$57</f>
        <v>4.2958008206478553</v>
      </c>
      <c r="E29" s="45">
        <f>PR!$U$58</f>
        <v>21592.317846588678</v>
      </c>
      <c r="F29" s="46">
        <f t="shared" si="16"/>
        <v>46594</v>
      </c>
      <c r="H29" s="45">
        <f>PR!$U$60</f>
        <v>2232422.6136474097</v>
      </c>
      <c r="I29" s="45">
        <f>PR!$U$61</f>
        <v>419274</v>
      </c>
      <c r="J29" s="45">
        <f>PR!$U$62</f>
        <v>36293</v>
      </c>
      <c r="K29" s="45">
        <f>PR!$U$63</f>
        <v>383.64182400796562</v>
      </c>
      <c r="L29" s="45">
        <f>PR!$U$64</f>
        <v>1472761.7445285823</v>
      </c>
      <c r="M29" s="46">
        <f t="shared" si="17"/>
        <v>4161135</v>
      </c>
      <c r="O29" s="45">
        <f>PR!$U$66</f>
        <v>175328.52691065727</v>
      </c>
      <c r="P29" s="45">
        <f>PR!$U$67</f>
        <v>55.172745458548889</v>
      </c>
      <c r="Q29" s="45">
        <f>PR!$U$68</f>
        <v>423042.30034388416</v>
      </c>
      <c r="R29" s="46">
        <f t="shared" si="18"/>
        <v>598426</v>
      </c>
      <c r="T29" s="45">
        <f>PR!$X$56</f>
        <v>63205.473089342719</v>
      </c>
      <c r="U29" s="45">
        <f>PR!$X$57</f>
        <v>19.88962971282308</v>
      </c>
      <c r="V29" s="45">
        <f>PR!$X$58</f>
        <v>152505.63728094444</v>
      </c>
      <c r="W29" s="46">
        <f t="shared" si="19"/>
        <v>215731</v>
      </c>
      <c r="Y29" s="45">
        <f>PR!$X$60</f>
        <v>262945</v>
      </c>
      <c r="AA29" s="45">
        <f>PR!$X$61</f>
        <v>85404</v>
      </c>
      <c r="AC29" s="45">
        <f>PR!$X$63</f>
        <v>40800</v>
      </c>
      <c r="AE29" s="45">
        <f>PR!$X$64</f>
        <v>21753</v>
      </c>
      <c r="AG29" s="45">
        <f>PR!$X$66</f>
        <v>1090805</v>
      </c>
      <c r="AI29" s="45">
        <f>PR!$X$67</f>
        <v>275116</v>
      </c>
      <c r="AK29" s="45">
        <f t="shared" si="8"/>
        <v>6798709</v>
      </c>
      <c r="AM29" t="str">
        <f>IF((AK29=PR!$X$70),"ok","erro")</f>
        <v>ok</v>
      </c>
    </row>
    <row r="30" spans="1:39">
      <c r="A30" s="43" t="s">
        <v>45</v>
      </c>
      <c r="C30" s="45">
        <f>RS!$U$56</f>
        <v>21516.458693462588</v>
      </c>
      <c r="D30" s="45">
        <f>RS!$U$57</f>
        <v>3.2597851786194951</v>
      </c>
      <c r="E30" s="45">
        <f>RS!$U$58</f>
        <v>24427.281521358793</v>
      </c>
      <c r="F30" s="46">
        <f t="shared" si="16"/>
        <v>45947</v>
      </c>
      <c r="H30" s="45">
        <f>RS!$U$60</f>
        <v>1881469.5413065376</v>
      </c>
      <c r="I30" s="45">
        <f>RS!$U$61</f>
        <v>197351</v>
      </c>
      <c r="J30" s="45">
        <f>RS!$U$62</f>
        <v>62153</v>
      </c>
      <c r="K30" s="45">
        <f>RS!$U$63</f>
        <v>285.04628071701154</v>
      </c>
      <c r="L30" s="45">
        <f>RS!$U$64</f>
        <v>1876497.4124127454</v>
      </c>
      <c r="M30" s="46">
        <f t="shared" si="17"/>
        <v>4017756</v>
      </c>
      <c r="O30" s="45">
        <f>RS!$U$66</f>
        <v>141886.71189008068</v>
      </c>
      <c r="P30" s="45">
        <f>RS!$U$67</f>
        <v>33.491708479006775</v>
      </c>
      <c r="Q30" s="45">
        <f>RS!$U$68</f>
        <v>330148.79640144028</v>
      </c>
      <c r="R30" s="46">
        <f t="shared" si="18"/>
        <v>472069</v>
      </c>
      <c r="T30" s="45">
        <f>RS!$X$56</f>
        <v>68640.288109919318</v>
      </c>
      <c r="U30" s="45">
        <f>RS!$X$57</f>
        <v>16.202225625427673</v>
      </c>
      <c r="V30" s="45">
        <f>RS!$X$58</f>
        <v>159715.50966445525</v>
      </c>
      <c r="W30" s="46">
        <f t="shared" si="19"/>
        <v>228372</v>
      </c>
      <c r="Y30" s="45">
        <f>RS!$X$60</f>
        <v>221265</v>
      </c>
      <c r="AA30" s="45">
        <f>RS!$X$61</f>
        <v>55214</v>
      </c>
      <c r="AC30" s="45">
        <f>RS!$X$63</f>
        <v>39896</v>
      </c>
      <c r="AE30" s="45">
        <f>RS!$X$64</f>
        <v>20232</v>
      </c>
      <c r="AG30" s="45">
        <f>RS!$X$66</f>
        <v>1031449</v>
      </c>
      <c r="AI30" s="45">
        <f>RS!$X$67</f>
        <v>179608</v>
      </c>
      <c r="AK30" s="45">
        <f t="shared" si="8"/>
        <v>6311808</v>
      </c>
      <c r="AM30" t="str">
        <f>IF((AK30=RS!$X$70),"ok","erro")</f>
        <v>ok</v>
      </c>
    </row>
    <row r="31" spans="1:39">
      <c r="A31" s="43" t="s">
        <v>46</v>
      </c>
      <c r="C31" s="45">
        <f>SC!$U$56</f>
        <v>25900.162849460128</v>
      </c>
      <c r="D31" s="45">
        <f>SC!$U$57</f>
        <v>4.1669375037527061</v>
      </c>
      <c r="E31" s="45">
        <f>SC!$U$58</f>
        <v>17001.670213036119</v>
      </c>
      <c r="F31" s="46">
        <f t="shared" si="16"/>
        <v>42906</v>
      </c>
      <c r="H31" s="45">
        <f>SC!$U$60</f>
        <v>1626809.83715054</v>
      </c>
      <c r="I31" s="45">
        <f>SC!$U$61</f>
        <v>132782</v>
      </c>
      <c r="J31" s="45">
        <f>SC!$U$62</f>
        <v>90797</v>
      </c>
      <c r="K31" s="45">
        <f>SC!$U$63</f>
        <v>261.72866021329537</v>
      </c>
      <c r="L31" s="45">
        <f>SC!$U$64</f>
        <v>844309.43418924673</v>
      </c>
      <c r="M31" s="46">
        <f t="shared" si="17"/>
        <v>2694960</v>
      </c>
      <c r="O31" s="45">
        <f>SC!$U$66</f>
        <v>99566.398449487198</v>
      </c>
      <c r="P31" s="45">
        <f>SC!$U$67</f>
        <v>33.482342185103334</v>
      </c>
      <c r="Q31" s="45">
        <f>SC!$U$68</f>
        <v>245160.1192083277</v>
      </c>
      <c r="R31" s="46">
        <f t="shared" si="18"/>
        <v>344760</v>
      </c>
      <c r="T31" s="45">
        <f>SC!$X$56</f>
        <v>43481.601550512802</v>
      </c>
      <c r="U31" s="45">
        <f>SC!$X$57</f>
        <v>14.622060097986832</v>
      </c>
      <c r="V31" s="45">
        <f>SC!$X$58</f>
        <v>107063.77638938921</v>
      </c>
      <c r="W31" s="46">
        <f t="shared" si="19"/>
        <v>150560</v>
      </c>
      <c r="Y31" s="45">
        <f>SC!$X$60</f>
        <v>147753</v>
      </c>
      <c r="AA31" s="45">
        <f>SC!$X$61</f>
        <v>48593</v>
      </c>
      <c r="AC31" s="45">
        <f>SC!$X$63</f>
        <v>18875</v>
      </c>
      <c r="AE31" s="45">
        <f>SC!$X$64</f>
        <v>11549</v>
      </c>
      <c r="AG31" s="45">
        <f>SC!$X$66</f>
        <v>826058</v>
      </c>
      <c r="AI31" s="45">
        <f>SC!$X$67</f>
        <v>257703</v>
      </c>
      <c r="AK31" s="45">
        <f t="shared" si="8"/>
        <v>4543717</v>
      </c>
      <c r="AM31" t="str">
        <f>IF((AK31=SC!$X$70),"ok","erro")</f>
        <v>ok</v>
      </c>
    </row>
    <row r="32" spans="1:39">
      <c r="A32" s="42" t="s">
        <v>47</v>
      </c>
      <c r="C32" s="46">
        <f>SUM(C33:C36)</f>
        <v>48079.629900289954</v>
      </c>
      <c r="D32" s="46">
        <f t="shared" ref="D32:AI32" si="44">SUM(D33:D36)</f>
        <v>7.7338101047316741</v>
      </c>
      <c r="E32" s="46">
        <f t="shared" ref="E32" si="45">SUM(E33:E36)</f>
        <v>16697.636289605318</v>
      </c>
      <c r="F32" s="46">
        <f t="shared" si="16"/>
        <v>64785</v>
      </c>
      <c r="H32" s="46">
        <f t="shared" si="44"/>
        <v>3058391.5424725255</v>
      </c>
      <c r="I32" s="46">
        <f t="shared" si="44"/>
        <v>318403</v>
      </c>
      <c r="J32" s="46">
        <f t="shared" si="44"/>
        <v>12828</v>
      </c>
      <c r="K32" s="46">
        <f t="shared" ref="K32:L32" si="46">SUM(K33:K36)</f>
        <v>456.71625736088026</v>
      </c>
      <c r="L32" s="46">
        <f t="shared" si="46"/>
        <v>819049.74127011374</v>
      </c>
      <c r="M32" s="46">
        <f t="shared" si="17"/>
        <v>4209129</v>
      </c>
      <c r="O32" s="46">
        <f t="shared" si="44"/>
        <v>279025.3691722498</v>
      </c>
      <c r="P32" s="46">
        <f t="shared" si="44"/>
        <v>91.415962906874483</v>
      </c>
      <c r="Q32" s="46">
        <f t="shared" ref="Q32" si="47">SUM(Q33:Q36)</f>
        <v>492014.21486484329</v>
      </c>
      <c r="R32" s="46">
        <f t="shared" si="18"/>
        <v>771131</v>
      </c>
      <c r="T32" s="46">
        <f t="shared" si="44"/>
        <v>80209.630827750167</v>
      </c>
      <c r="U32" s="46">
        <f t="shared" si="44"/>
        <v>26.133969627400802</v>
      </c>
      <c r="V32" s="46">
        <f t="shared" ref="V32" si="48">SUM(V33:V36)</f>
        <v>154120.23520262245</v>
      </c>
      <c r="W32" s="46">
        <f t="shared" si="19"/>
        <v>234356.00000000003</v>
      </c>
      <c r="Y32" s="46">
        <f t="shared" ref="Y32" si="49">SUM(Y33:Y36)</f>
        <v>247646</v>
      </c>
      <c r="AA32" s="46">
        <f t="shared" si="44"/>
        <v>75424</v>
      </c>
      <c r="AC32" s="46">
        <f t="shared" ref="AC32" si="50">SUM(AC33:AC36)</f>
        <v>53855</v>
      </c>
      <c r="AE32" s="46">
        <f t="shared" si="44"/>
        <v>21433</v>
      </c>
      <c r="AG32" s="46">
        <f t="shared" ref="AG32" si="51">SUM(AG33:AG36)</f>
        <v>1910748</v>
      </c>
      <c r="AI32" s="46">
        <f t="shared" si="44"/>
        <v>572706</v>
      </c>
      <c r="AK32" s="46">
        <f t="shared" si="8"/>
        <v>8161213</v>
      </c>
    </row>
    <row r="33" spans="1:39">
      <c r="A33" s="43" t="s">
        <v>48</v>
      </c>
      <c r="C33" s="45">
        <f>DF!$U$56</f>
        <v>15086.338643513009</v>
      </c>
      <c r="D33" s="45">
        <f>DF!$U$57</f>
        <v>2.8392183837750053</v>
      </c>
      <c r="E33" s="45">
        <f>DF!$U$58</f>
        <v>7199.8221381032163</v>
      </c>
      <c r="F33" s="46">
        <f t="shared" si="16"/>
        <v>22289</v>
      </c>
      <c r="H33" s="45">
        <f>DF!$U$60</f>
        <v>812870.66135648708</v>
      </c>
      <c r="I33" s="45">
        <f>DF!$U$61</f>
        <v>58035</v>
      </c>
      <c r="J33" s="45">
        <f>DF!$U$62</f>
        <v>1676</v>
      </c>
      <c r="K33" s="45">
        <f>DF!$U$63</f>
        <v>152.98061245284043</v>
      </c>
      <c r="L33" s="45">
        <f>DF!$U$64</f>
        <v>328224.35803106008</v>
      </c>
      <c r="M33" s="46">
        <f t="shared" si="17"/>
        <v>1200959</v>
      </c>
      <c r="O33" s="45">
        <f>DF!$U$66</f>
        <v>32589.862388317593</v>
      </c>
      <c r="P33" s="45">
        <f>DF!$U$67</f>
        <v>14.570722510950873</v>
      </c>
      <c r="Q33" s="45">
        <f>DF!$U$68</f>
        <v>81781.566889171459</v>
      </c>
      <c r="R33" s="46">
        <f t="shared" si="18"/>
        <v>114386</v>
      </c>
      <c r="T33" s="45">
        <f>DF!$X$56</f>
        <v>21493.137611682399</v>
      </c>
      <c r="U33" s="45">
        <f>DF!$X$57</f>
        <v>9.6094466523936717</v>
      </c>
      <c r="V33" s="45">
        <f>DF!$X$58</f>
        <v>53935.252941665211</v>
      </c>
      <c r="W33" s="46">
        <f t="shared" si="19"/>
        <v>75438</v>
      </c>
      <c r="Y33" s="45">
        <f>DF!$X$60</f>
        <v>23412</v>
      </c>
      <c r="AA33" s="45">
        <f>DF!$X$61</f>
        <v>3154</v>
      </c>
      <c r="AC33" s="45">
        <f>DF!$X$63</f>
        <v>12096</v>
      </c>
      <c r="AE33" s="45">
        <f>DF!$X$64</f>
        <v>5409</v>
      </c>
      <c r="AG33" s="45">
        <f>DF!$X$66</f>
        <v>174696</v>
      </c>
      <c r="AI33" s="45">
        <f>DF!$X$67</f>
        <v>17588</v>
      </c>
      <c r="AK33" s="45">
        <f t="shared" si="8"/>
        <v>1649427</v>
      </c>
      <c r="AM33" t="str">
        <f>IF((AK33=DF!$X$70),"ok","erro")</f>
        <v>ok</v>
      </c>
    </row>
    <row r="34" spans="1:39">
      <c r="A34" s="43" t="s">
        <v>49</v>
      </c>
      <c r="C34" s="45">
        <f>GO!$U$56</f>
        <v>14433.306622142227</v>
      </c>
      <c r="D34" s="45">
        <f>GO!$U$57</f>
        <v>1.1253026928461622</v>
      </c>
      <c r="E34" s="45">
        <f>GO!$U$58</f>
        <v>6155.568075164927</v>
      </c>
      <c r="F34" s="46">
        <f t="shared" si="16"/>
        <v>20590</v>
      </c>
      <c r="H34" s="45">
        <f>GO!$U$60</f>
        <v>1197213.6933778578</v>
      </c>
      <c r="I34" s="45">
        <f>GO!$U$61</f>
        <v>159272</v>
      </c>
      <c r="J34" s="45">
        <f>GO!$U$62</f>
        <v>4210</v>
      </c>
      <c r="K34" s="45">
        <f>GO!$U$63</f>
        <v>93.341590277152136</v>
      </c>
      <c r="L34" s="45">
        <f>GO!$U$64</f>
        <v>347109.96503186505</v>
      </c>
      <c r="M34" s="46">
        <f t="shared" si="17"/>
        <v>1707899</v>
      </c>
      <c r="O34" s="45">
        <f>GO!$U$66</f>
        <v>107236.34651645061</v>
      </c>
      <c r="P34" s="45">
        <f>GO!$U$67</f>
        <v>17.738847543718293</v>
      </c>
      <c r="Q34" s="45">
        <f>GO!$U$68</f>
        <v>217318.91463600568</v>
      </c>
      <c r="R34" s="46">
        <f t="shared" si="18"/>
        <v>324573</v>
      </c>
      <c r="T34" s="45">
        <f>GO!$X$56</f>
        <v>28982.653483549402</v>
      </c>
      <c r="U34" s="45">
        <f>GO!$X$57</f>
        <v>4.7942594862397527</v>
      </c>
      <c r="V34" s="45">
        <f>GO!$X$58</f>
        <v>58734.552256964358</v>
      </c>
      <c r="W34" s="46">
        <f t="shared" si="19"/>
        <v>87722</v>
      </c>
      <c r="Y34" s="45">
        <f>GO!$X$60</f>
        <v>108356</v>
      </c>
      <c r="AA34" s="45">
        <f>GO!$X$61</f>
        <v>28169</v>
      </c>
      <c r="AC34" s="45">
        <f>GO!$X$63</f>
        <v>21848</v>
      </c>
      <c r="AE34" s="45">
        <f>GO!$X$64</f>
        <v>9104</v>
      </c>
      <c r="AG34" s="45">
        <f>GO!$X$66</f>
        <v>823305</v>
      </c>
      <c r="AI34" s="45">
        <f>GO!$X$67</f>
        <v>256008</v>
      </c>
      <c r="AK34" s="45">
        <f t="shared" si="8"/>
        <v>3387574</v>
      </c>
      <c r="AM34" t="str">
        <f>IF((AK34=GO!$X$70),"ok","erro")</f>
        <v>ok</v>
      </c>
    </row>
    <row r="35" spans="1:39">
      <c r="A35" s="43" t="s">
        <v>50</v>
      </c>
      <c r="C35" s="45">
        <f>MT!$U$56</f>
        <v>11580.314176588696</v>
      </c>
      <c r="D35" s="45">
        <f>MT!$U$57</f>
        <v>3.0865391113893565</v>
      </c>
      <c r="E35" s="45">
        <f>MT!$U$58</f>
        <v>286.59928429991487</v>
      </c>
      <c r="F35" s="46">
        <f t="shared" si="16"/>
        <v>11870</v>
      </c>
      <c r="H35" s="45">
        <f>MT!$U$60</f>
        <v>585698.85819622653</v>
      </c>
      <c r="I35" s="45">
        <f>MT!$U$61</f>
        <v>47773</v>
      </c>
      <c r="J35" s="45">
        <f>MT!$U$62</f>
        <v>1454</v>
      </c>
      <c r="K35" s="45">
        <f>MT!$U$63</f>
        <v>165.14180377346929</v>
      </c>
      <c r="L35" s="45">
        <f>MT!$U$64</f>
        <v>0</v>
      </c>
      <c r="M35" s="46">
        <f t="shared" si="17"/>
        <v>635091</v>
      </c>
      <c r="O35" s="45">
        <f>MT!$U$66</f>
        <v>81370.696044597818</v>
      </c>
      <c r="P35" s="45">
        <f>MT!$U$67</f>
        <v>49.444692381628556</v>
      </c>
      <c r="Q35" s="45">
        <f>MT!$U$68</f>
        <v>108730.85926302055</v>
      </c>
      <c r="R35" s="46">
        <f t="shared" si="18"/>
        <v>190151</v>
      </c>
      <c r="T35" s="45">
        <f>MT!$X$56</f>
        <v>15349.303955402178</v>
      </c>
      <c r="U35" s="45">
        <f>MT!$X$57</f>
        <v>9.3269647334818728</v>
      </c>
      <c r="V35" s="45">
        <f>MT!$X$58</f>
        <v>20510.36907986434</v>
      </c>
      <c r="W35" s="46">
        <f t="shared" si="19"/>
        <v>35869</v>
      </c>
      <c r="Y35" s="45">
        <f>MT!$X$60</f>
        <v>66752</v>
      </c>
      <c r="AA35" s="45">
        <f>MT!$X$61</f>
        <v>29011</v>
      </c>
      <c r="AC35" s="45">
        <f>MT!$X$63</f>
        <v>10943</v>
      </c>
      <c r="AE35" s="45">
        <f>MT!$X$64</f>
        <v>3353</v>
      </c>
      <c r="AG35" s="45">
        <f>MT!$X$66</f>
        <v>566772</v>
      </c>
      <c r="AI35" s="45">
        <f>MT!$X$67</f>
        <v>197032</v>
      </c>
      <c r="AK35" s="45">
        <f t="shared" si="8"/>
        <v>1746844</v>
      </c>
      <c r="AM35" t="str">
        <f>IF((AK35=MT!$X$70),"ok","erro")</f>
        <v>ok</v>
      </c>
    </row>
    <row r="36" spans="1:39">
      <c r="A36" s="43" t="s">
        <v>51</v>
      </c>
      <c r="C36" s="45">
        <f>MS!$U$56</f>
        <v>6979.6704580460182</v>
      </c>
      <c r="D36" s="45">
        <f>MS!$U$57</f>
        <v>0.68274991672114993</v>
      </c>
      <c r="E36" s="45">
        <f>MS!$U$58</f>
        <v>3055.6467920372606</v>
      </c>
      <c r="F36" s="46">
        <f t="shared" si="16"/>
        <v>10036</v>
      </c>
      <c r="H36" s="45">
        <f>MS!$U$60</f>
        <v>462608.32954195398</v>
      </c>
      <c r="I36" s="45">
        <f>MS!$U$61</f>
        <v>53323</v>
      </c>
      <c r="J36" s="45">
        <f>MS!$U$62</f>
        <v>5488</v>
      </c>
      <c r="K36" s="45">
        <f>MS!$U$63</f>
        <v>45.252250857418403</v>
      </c>
      <c r="L36" s="45">
        <f>MS!$U$64</f>
        <v>143715.4182071886</v>
      </c>
      <c r="M36" s="46">
        <f t="shared" si="17"/>
        <v>665180</v>
      </c>
      <c r="O36" s="45">
        <f>MS!$U$66</f>
        <v>57828.464222883827</v>
      </c>
      <c r="P36" s="45">
        <f>MS!$U$67</f>
        <v>9.6617004705767613</v>
      </c>
      <c r="Q36" s="45">
        <f>MS!$U$68</f>
        <v>84182.874076645589</v>
      </c>
      <c r="R36" s="46">
        <f t="shared" si="18"/>
        <v>142021</v>
      </c>
      <c r="T36" s="45">
        <f>MS!$X$56</f>
        <v>14384.535777116178</v>
      </c>
      <c r="U36" s="45">
        <f>MS!$X$57</f>
        <v>2.4032987552855047</v>
      </c>
      <c r="V36" s="45">
        <f>MS!$X$58</f>
        <v>20940.060924128535</v>
      </c>
      <c r="W36" s="46">
        <f t="shared" si="19"/>
        <v>35327</v>
      </c>
      <c r="Y36" s="45">
        <f>MS!$X$60</f>
        <v>49126</v>
      </c>
      <c r="AA36" s="45">
        <f>MS!$X$61</f>
        <v>15090</v>
      </c>
      <c r="AC36" s="45">
        <f>MS!$X$63</f>
        <v>8968</v>
      </c>
      <c r="AE36" s="45">
        <f>MS!$X$64</f>
        <v>3567</v>
      </c>
      <c r="AG36" s="45">
        <f>MS!$X$66</f>
        <v>345975</v>
      </c>
      <c r="AI36" s="45">
        <f>MS!$X$67</f>
        <v>102078</v>
      </c>
      <c r="AK36" s="45">
        <f t="shared" si="8"/>
        <v>1377368</v>
      </c>
      <c r="AM36" t="str">
        <f>IF((AK36=MS!$X$70),"ok","erro")</f>
        <v>ok</v>
      </c>
    </row>
  </sheetData>
  <mergeCells count="6">
    <mergeCell ref="AK2:AK3"/>
    <mergeCell ref="A2:A3"/>
    <mergeCell ref="C2:F2"/>
    <mergeCell ref="H2:M2"/>
    <mergeCell ref="O2:R2"/>
    <mergeCell ref="T2:W2"/>
  </mergeCells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9" tint="0.39997558519241921"/>
  </sheetPr>
  <dimension ref="A1:X122"/>
  <sheetViews>
    <sheetView showGridLines="0" topLeftCell="A79" zoomScale="90" zoomScaleNormal="90" workbookViewId="0">
      <selection activeCell="K18" sqref="K18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  <col min="27" max="28" width="10" bestFit="1" customWidth="1"/>
    <col min="30" max="30" width="10" bestFit="1" customWidth="1"/>
  </cols>
  <sheetData>
    <row r="1" spans="1:24" s="31" customFormat="1" ht="15.75">
      <c r="A1" s="101" t="str">
        <f>"RIO GRANDE DO NORTE/"&amp;ONSV_AUX_2018!A1&amp;""</f>
        <v>RIO GRANDE DO NORTE/2018</v>
      </c>
      <c r="B1" s="102"/>
      <c r="C1" s="102"/>
      <c r="D1" s="102"/>
      <c r="E1" s="102"/>
      <c r="F1" s="102"/>
    </row>
    <row r="2" spans="1:24" s="4" customFormat="1" ht="15.75">
      <c r="A2" s="32"/>
      <c r="B2" s="32"/>
      <c r="C2" s="32"/>
      <c r="D2" s="32"/>
      <c r="E2" s="32"/>
      <c r="F2" s="32"/>
    </row>
    <row r="3" spans="1:24" ht="15.75">
      <c r="A3" s="12"/>
      <c r="H3" s="23" t="s">
        <v>118</v>
      </c>
    </row>
    <row r="4" spans="1:24" ht="15.75">
      <c r="B4" s="5"/>
      <c r="J4" s="9"/>
      <c r="M4" s="25"/>
      <c r="N4" s="25"/>
      <c r="O4" s="25"/>
      <c r="P4" s="25"/>
      <c r="Q4" s="103"/>
      <c r="R4" s="103"/>
      <c r="S4" s="22"/>
      <c r="T4" s="104"/>
      <c r="U4" s="104"/>
      <c r="V4" s="104"/>
      <c r="W4" s="104"/>
      <c r="X4" s="104"/>
    </row>
    <row r="5" spans="1:24" ht="15.75">
      <c r="H5" s="36" t="s">
        <v>81</v>
      </c>
      <c r="I5" s="60">
        <f>ONSV_AUX_2018!U27</f>
        <v>30116</v>
      </c>
      <c r="J5" s="9"/>
      <c r="K5" s="104" t="s">
        <v>119</v>
      </c>
      <c r="L5" s="104"/>
      <c r="M5" s="9"/>
      <c r="N5" s="26" t="s">
        <v>120</v>
      </c>
      <c r="O5" s="26"/>
      <c r="Q5" s="26" t="s">
        <v>121</v>
      </c>
      <c r="R5" s="26"/>
      <c r="S5" s="26"/>
      <c r="T5" s="25" t="s">
        <v>122</v>
      </c>
      <c r="U5" s="25"/>
      <c r="V5" s="25"/>
      <c r="W5" s="25"/>
      <c r="X5" s="25"/>
    </row>
    <row r="6" spans="1:24" ht="15.75">
      <c r="H6" s="36" t="s">
        <v>84</v>
      </c>
      <c r="I6" s="60">
        <f>ONSV_AUX_2018!U28</f>
        <v>458330</v>
      </c>
      <c r="J6" s="9"/>
      <c r="K6" s="9"/>
      <c r="L6" s="9"/>
      <c r="M6" s="9"/>
      <c r="N6" s="9"/>
      <c r="O6" s="9"/>
      <c r="P6" s="20"/>
      <c r="Q6" s="11"/>
      <c r="R6" s="11"/>
      <c r="S6" s="11"/>
    </row>
    <row r="7" spans="1:24" ht="15.75">
      <c r="H7" s="36" t="s">
        <v>85</v>
      </c>
      <c r="I7" s="60">
        <f>ONSV_AUX_2018!U29</f>
        <v>92956</v>
      </c>
      <c r="J7" s="9"/>
      <c r="K7" s="2" t="s">
        <v>123</v>
      </c>
      <c r="L7" s="60">
        <f>I14+I17+I18+I23</f>
        <v>676090</v>
      </c>
      <c r="N7" s="28" t="s">
        <v>124</v>
      </c>
      <c r="O7" s="60">
        <f>J14+J23</f>
        <v>561363.68565131852</v>
      </c>
      <c r="P7" s="64"/>
      <c r="Q7" s="65" t="s">
        <v>125</v>
      </c>
      <c r="R7" s="60">
        <f>J17+J18</f>
        <v>114663.31434868139</v>
      </c>
      <c r="S7" s="66"/>
      <c r="T7" s="65" t="s">
        <v>126</v>
      </c>
      <c r="U7" s="67">
        <f>O11</f>
        <v>13050.685017883356</v>
      </c>
      <c r="V7" s="48"/>
      <c r="W7" s="65" t="s">
        <v>127</v>
      </c>
      <c r="X7" s="68">
        <f>R13</f>
        <v>11273.883059804315</v>
      </c>
    </row>
    <row r="8" spans="1:24" ht="15.75">
      <c r="H8" s="36" t="s">
        <v>101</v>
      </c>
      <c r="I8" s="60">
        <f>ONSV_AUX_2018!U30</f>
        <v>63</v>
      </c>
      <c r="J8" s="9"/>
      <c r="K8" s="27"/>
      <c r="L8" s="62"/>
      <c r="M8" s="20"/>
      <c r="N8" s="28" t="s">
        <v>128</v>
      </c>
      <c r="O8" s="69">
        <f>J14/O7</f>
        <v>0.97152557105604409</v>
      </c>
      <c r="P8" s="64"/>
      <c r="Q8" s="70" t="s">
        <v>129</v>
      </c>
      <c r="R8" s="63">
        <f>J17/R7</f>
        <v>0.74364720860875178</v>
      </c>
      <c r="S8" s="71"/>
      <c r="T8" s="65" t="s">
        <v>130</v>
      </c>
      <c r="U8" s="67">
        <f>I23-J23</f>
        <v>1.4896212042767729</v>
      </c>
      <c r="V8" s="48"/>
      <c r="W8" s="65" t="s">
        <v>131</v>
      </c>
      <c r="X8" s="68">
        <f>I18-J18</f>
        <v>2.7392965433609788</v>
      </c>
    </row>
    <row r="9" spans="1:24" ht="15.75">
      <c r="H9" s="36" t="s">
        <v>16</v>
      </c>
      <c r="I9" s="60">
        <f>ONSV_AUX_2018!U31</f>
        <v>49262</v>
      </c>
      <c r="J9" s="9"/>
      <c r="K9" s="2" t="s">
        <v>132</v>
      </c>
      <c r="L9" s="63">
        <f>I14/L7</f>
        <v>0.80674170598588946</v>
      </c>
      <c r="M9" s="20"/>
      <c r="N9" s="28" t="s">
        <v>133</v>
      </c>
      <c r="O9" s="69">
        <f>J23/O7</f>
        <v>2.8474428943956003E-2</v>
      </c>
      <c r="P9" s="64"/>
      <c r="Q9" s="70" t="s">
        <v>134</v>
      </c>
      <c r="R9" s="63">
        <f>J18/R7</f>
        <v>0.25635279139124822</v>
      </c>
      <c r="S9" s="71"/>
      <c r="T9" s="65" t="s">
        <v>135</v>
      </c>
      <c r="U9" s="72">
        <f>O13</f>
        <v>2933.8253609123676</v>
      </c>
      <c r="V9" s="73"/>
      <c r="W9" s="65" t="s">
        <v>136</v>
      </c>
      <c r="X9" s="72">
        <f>R16</f>
        <v>18120.377643652326</v>
      </c>
    </row>
    <row r="10" spans="1:24" ht="15.75">
      <c r="H10" s="36" t="s">
        <v>94</v>
      </c>
      <c r="I10" s="60">
        <f>ONSV_AUX_2018!U32</f>
        <v>610051</v>
      </c>
      <c r="J10" s="10"/>
      <c r="K10" s="2" t="s">
        <v>2</v>
      </c>
      <c r="L10" s="63">
        <f>I17/L7</f>
        <v>0.12613261548018756</v>
      </c>
      <c r="M10" s="20"/>
      <c r="N10" s="20"/>
      <c r="O10" s="74"/>
      <c r="P10" s="48"/>
      <c r="Q10" s="48"/>
      <c r="R10" s="48"/>
      <c r="S10" s="48"/>
      <c r="T10" s="48"/>
      <c r="U10" s="62"/>
      <c r="V10" s="75"/>
      <c r="W10" s="48"/>
      <c r="X10" s="62"/>
    </row>
    <row r="11" spans="1:24" ht="15.75">
      <c r="K11" s="2" t="s">
        <v>3</v>
      </c>
      <c r="L11" s="63">
        <f>I18/L7</f>
        <v>4.3480897513644631E-2</v>
      </c>
      <c r="M11" s="20"/>
      <c r="N11" s="28" t="s">
        <v>137</v>
      </c>
      <c r="O11" s="60">
        <f>IF(O9*I6&gt;J23,J23,O9*I6)</f>
        <v>13050.685017883356</v>
      </c>
      <c r="P11" s="76"/>
      <c r="Q11" s="65" t="s">
        <v>138</v>
      </c>
      <c r="R11" s="60">
        <f>I7-I15-I16-I19-I22</f>
        <v>43978</v>
      </c>
      <c r="S11" s="77"/>
      <c r="T11" s="65" t="s">
        <v>139</v>
      </c>
      <c r="U11" s="67">
        <f>O19</f>
        <v>445279.31498211669</v>
      </c>
      <c r="V11" s="76"/>
      <c r="W11" s="65" t="s">
        <v>140</v>
      </c>
      <c r="X11" s="67">
        <f>I15</f>
        <v>33494</v>
      </c>
    </row>
    <row r="12" spans="1:24" ht="15.75">
      <c r="H12" s="24" t="s">
        <v>141</v>
      </c>
      <c r="K12" s="2" t="s">
        <v>0</v>
      </c>
      <c r="L12" s="63">
        <f>I23/L7</f>
        <v>2.3644781020278366E-2</v>
      </c>
      <c r="O12" s="48"/>
      <c r="P12" s="76"/>
      <c r="Q12" s="65" t="s">
        <v>142</v>
      </c>
      <c r="R12" s="60">
        <f>R8*R11</f>
        <v>32704.116940195687</v>
      </c>
      <c r="S12" s="48"/>
      <c r="T12" s="65" t="s">
        <v>143</v>
      </c>
      <c r="U12" s="67">
        <f>O17</f>
        <v>30116</v>
      </c>
      <c r="V12" s="66"/>
      <c r="W12" s="65" t="s">
        <v>144</v>
      </c>
      <c r="X12" s="67">
        <f>I16</f>
        <v>3375</v>
      </c>
    </row>
    <row r="13" spans="1:24" ht="15.75">
      <c r="K13" s="11"/>
      <c r="L13" s="11"/>
      <c r="M13" s="11"/>
      <c r="N13" s="28" t="s">
        <v>145</v>
      </c>
      <c r="O13" s="60">
        <f>J23-O11</f>
        <v>2933.8253609123676</v>
      </c>
      <c r="P13" s="76"/>
      <c r="Q13" s="65" t="s">
        <v>127</v>
      </c>
      <c r="R13" s="60">
        <f>R9*R11</f>
        <v>11273.883059804315</v>
      </c>
      <c r="S13" s="48"/>
      <c r="T13" s="65" t="s">
        <v>146</v>
      </c>
      <c r="U13" s="67">
        <f>O18</f>
        <v>49262</v>
      </c>
      <c r="V13" s="71"/>
      <c r="W13" s="48"/>
      <c r="X13" s="62"/>
    </row>
    <row r="14" spans="1:24" ht="15.75">
      <c r="H14" s="37" t="s">
        <v>103</v>
      </c>
      <c r="I14" s="60">
        <f>ONSV_AUX_2018!U56</f>
        <v>545430</v>
      </c>
      <c r="J14" s="61">
        <f>I14-(L9*I8)</f>
        <v>545379.17527252284</v>
      </c>
      <c r="K14" s="11"/>
      <c r="L14" s="11"/>
      <c r="M14" s="11"/>
      <c r="O14" s="76"/>
      <c r="P14" s="76"/>
      <c r="Q14" s="48"/>
      <c r="R14" s="78"/>
      <c r="S14" s="48"/>
      <c r="T14" s="65" t="s">
        <v>147</v>
      </c>
      <c r="U14" s="68">
        <f>I14-J14</f>
        <v>50.824727477156557</v>
      </c>
      <c r="V14" s="71"/>
      <c r="W14" s="65" t="s">
        <v>148</v>
      </c>
      <c r="X14" s="67">
        <f>I22</f>
        <v>7023</v>
      </c>
    </row>
    <row r="15" spans="1:24" ht="15.75">
      <c r="H15" s="37" t="s">
        <v>104</v>
      </c>
      <c r="I15" s="60">
        <f>ONSV_AUX_2018!U57</f>
        <v>33494</v>
      </c>
      <c r="J15" s="10">
        <f>I15</f>
        <v>33494</v>
      </c>
      <c r="K15" s="11"/>
      <c r="L15" s="11"/>
      <c r="M15" s="11"/>
      <c r="N15" s="26" t="s">
        <v>149</v>
      </c>
      <c r="O15" s="76"/>
      <c r="P15" s="76"/>
      <c r="Q15" s="65" t="s">
        <v>150</v>
      </c>
      <c r="R15" s="60">
        <f>J17-R12</f>
        <v>52564.93670502906</v>
      </c>
      <c r="S15" s="48"/>
      <c r="T15" s="65" t="s">
        <v>151</v>
      </c>
      <c r="U15" s="72">
        <f>O20</f>
        <v>20721.860290406155</v>
      </c>
      <c r="V15" s="48"/>
      <c r="W15" s="65" t="s">
        <v>152</v>
      </c>
      <c r="X15" s="67">
        <f>I19</f>
        <v>5086</v>
      </c>
    </row>
    <row r="16" spans="1:24" ht="15.75">
      <c r="H16" s="37" t="s">
        <v>105</v>
      </c>
      <c r="I16" s="60">
        <f>ONSV_AUX_2018!U58</f>
        <v>3375</v>
      </c>
      <c r="J16" s="10">
        <f>I16</f>
        <v>3375</v>
      </c>
      <c r="K16" s="11"/>
      <c r="L16" s="11"/>
      <c r="M16" s="11"/>
      <c r="O16" s="73"/>
      <c r="P16" s="76"/>
      <c r="Q16" s="65" t="s">
        <v>136</v>
      </c>
      <c r="R16" s="60">
        <f>J18-R13</f>
        <v>18120.377643652326</v>
      </c>
      <c r="S16" s="48"/>
      <c r="T16" s="48"/>
      <c r="U16" s="62"/>
      <c r="V16" s="77"/>
      <c r="W16" s="48"/>
      <c r="X16" s="62"/>
    </row>
    <row r="17" spans="1:24" ht="15.75">
      <c r="H17" s="37" t="s">
        <v>106</v>
      </c>
      <c r="I17" s="60">
        <f>ONSV_AUX_2018!U59</f>
        <v>85277</v>
      </c>
      <c r="J17" s="61">
        <f>I17-(L10*I8)</f>
        <v>85269.053645224747</v>
      </c>
      <c r="K17" s="11"/>
      <c r="L17" s="11"/>
      <c r="M17" s="11"/>
      <c r="N17" s="28" t="s">
        <v>143</v>
      </c>
      <c r="O17" s="60">
        <f>I5</f>
        <v>30116</v>
      </c>
      <c r="P17" s="76"/>
      <c r="Q17" s="48"/>
      <c r="R17" s="48"/>
      <c r="S17" s="77"/>
      <c r="T17" s="65" t="s">
        <v>142</v>
      </c>
      <c r="U17" s="68">
        <f>R12</f>
        <v>32704.116940195687</v>
      </c>
      <c r="V17" s="48"/>
      <c r="W17" s="65" t="s">
        <v>153</v>
      </c>
      <c r="X17" s="67">
        <f>I20</f>
        <v>431978</v>
      </c>
    </row>
    <row r="18" spans="1:24" ht="15.75">
      <c r="H18" s="37" t="s">
        <v>107</v>
      </c>
      <c r="I18" s="60">
        <f>ONSV_AUX_2018!U60</f>
        <v>29397</v>
      </c>
      <c r="J18" s="61">
        <f>I18-(L11*I8)</f>
        <v>29394.260703456639</v>
      </c>
      <c r="K18" s="11"/>
      <c r="L18" s="11"/>
      <c r="M18" s="11"/>
      <c r="N18" s="28" t="s">
        <v>146</v>
      </c>
      <c r="O18" s="60">
        <f>I9</f>
        <v>49262</v>
      </c>
      <c r="P18" s="76"/>
      <c r="Q18" s="48"/>
      <c r="R18" s="48"/>
      <c r="S18" s="48"/>
      <c r="T18" s="65" t="s">
        <v>154</v>
      </c>
      <c r="U18" s="68">
        <f>I17-J17</f>
        <v>7.9463547752529848</v>
      </c>
      <c r="V18" s="48"/>
      <c r="W18" s="65" t="s">
        <v>155</v>
      </c>
      <c r="X18" s="67">
        <f>I21</f>
        <v>60652</v>
      </c>
    </row>
    <row r="19" spans="1:24" ht="15.75">
      <c r="H19" s="37" t="s">
        <v>108</v>
      </c>
      <c r="I19" s="60">
        <f>ONSV_AUX_2018!U61</f>
        <v>5086</v>
      </c>
      <c r="J19" s="10">
        <f>I19</f>
        <v>5086</v>
      </c>
      <c r="K19" s="11"/>
      <c r="L19" s="11"/>
      <c r="M19" s="11"/>
      <c r="N19" s="28" t="s">
        <v>139</v>
      </c>
      <c r="O19" s="60">
        <f>IF(OR((O8*I6&gt;J14),((O17+O18+(O8*I6))&gt;J14)),(J14-O17-O18),(O8*I6))</f>
        <v>445279.31498211669</v>
      </c>
      <c r="P19" s="76"/>
      <c r="Q19" s="48"/>
      <c r="R19" s="78"/>
      <c r="S19" s="48"/>
      <c r="T19" s="65" t="s">
        <v>150</v>
      </c>
      <c r="U19" s="72">
        <f>R15</f>
        <v>52564.93670502906</v>
      </c>
      <c r="V19" s="48"/>
      <c r="W19" s="48"/>
      <c r="X19" s="48"/>
    </row>
    <row r="20" spans="1:24" ht="15.75">
      <c r="H20" s="37" t="s">
        <v>109</v>
      </c>
      <c r="I20" s="60">
        <f>ONSV_AUX_2018!U62</f>
        <v>431978</v>
      </c>
      <c r="J20" s="10">
        <f t="shared" ref="J20:J22" si="0">I20</f>
        <v>431978</v>
      </c>
      <c r="K20" s="11"/>
      <c r="L20" s="11"/>
      <c r="M20" s="11"/>
      <c r="N20" s="28" t="s">
        <v>151</v>
      </c>
      <c r="O20" s="60">
        <f>IF((J14-O17-O19-O18)&lt;0,0,(J14-O17-O19-O18))</f>
        <v>20721.860290406155</v>
      </c>
      <c r="P20" s="48"/>
      <c r="Q20" s="48"/>
      <c r="R20" s="48"/>
      <c r="S20" s="48"/>
      <c r="T20" s="48"/>
      <c r="U20" s="62"/>
      <c r="V20" s="48"/>
      <c r="W20" s="48"/>
      <c r="X20" s="48"/>
    </row>
    <row r="21" spans="1:24" ht="15.75">
      <c r="H21" s="37" t="s">
        <v>110</v>
      </c>
      <c r="I21" s="60">
        <f>ONSV_AUX_2018!U63</f>
        <v>60652</v>
      </c>
      <c r="J21" s="10">
        <f t="shared" si="0"/>
        <v>60652</v>
      </c>
      <c r="K21" s="11"/>
      <c r="L21" s="11"/>
      <c r="M21" s="11"/>
      <c r="O21" s="48"/>
      <c r="P21" s="76"/>
      <c r="Q21" s="48"/>
      <c r="R21" s="48"/>
      <c r="S21" s="48"/>
      <c r="T21" s="79" t="s">
        <v>156</v>
      </c>
      <c r="U21" s="80">
        <f>(SUM(U7:U19,X7:X18)/SUM(I14:I23))-1</f>
        <v>0</v>
      </c>
      <c r="V21" s="48"/>
      <c r="W21" s="79" t="s">
        <v>10</v>
      </c>
      <c r="X21" s="67">
        <f>SUM(U7:U19,X7:X18)</f>
        <v>1217698</v>
      </c>
    </row>
    <row r="22" spans="1:24" ht="15.75">
      <c r="H22" s="37" t="s">
        <v>111</v>
      </c>
      <c r="I22" s="60">
        <f>ONSV_AUX_2018!U64</f>
        <v>7023</v>
      </c>
      <c r="J22" s="10">
        <f t="shared" si="0"/>
        <v>7023</v>
      </c>
      <c r="K22" s="11"/>
      <c r="L22" s="11"/>
      <c r="M22" s="11"/>
      <c r="O22" s="48"/>
      <c r="P22" s="76"/>
      <c r="Q22" s="48"/>
      <c r="R22" s="48"/>
      <c r="S22" s="48"/>
      <c r="T22" s="48"/>
      <c r="U22" s="48"/>
      <c r="V22" s="48"/>
      <c r="W22" s="48"/>
      <c r="X22" s="48"/>
    </row>
    <row r="23" spans="1:24" ht="15.75">
      <c r="H23" s="37" t="s">
        <v>112</v>
      </c>
      <c r="I23" s="60">
        <f>ONSV_AUX_2018!U65</f>
        <v>15986</v>
      </c>
      <c r="J23" s="61">
        <f>I23-(L12*I8)</f>
        <v>15984.510378795723</v>
      </c>
      <c r="K23" s="12"/>
      <c r="L23" s="12"/>
      <c r="M23" s="12"/>
      <c r="N23" s="12"/>
      <c r="O23" s="12"/>
      <c r="P23" s="12"/>
      <c r="Q23" s="4"/>
      <c r="R23" s="4"/>
    </row>
    <row r="25" spans="1:24" s="34" customFormat="1" ht="15.75">
      <c r="A25" s="101" t="str">
        <f>"RIO GRANDE DO NORTE/"&amp;ONSV_AUX_2017!A1&amp;""</f>
        <v>RIO GRANDE DO NORTE/2017</v>
      </c>
      <c r="B25" s="102"/>
      <c r="C25" s="102"/>
      <c r="D25" s="102"/>
      <c r="E25" s="102"/>
      <c r="F25" s="102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 spans="1:24" ht="15.75">
      <c r="A26" s="3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>
      <c r="A27" s="12"/>
      <c r="H27" s="23" t="s">
        <v>118</v>
      </c>
      <c r="N27" s="26"/>
      <c r="O27" s="26"/>
      <c r="P27" s="9"/>
      <c r="Q27" s="26"/>
      <c r="R27" s="26"/>
      <c r="S27" s="26"/>
      <c r="T27" s="104"/>
      <c r="U27" s="104"/>
      <c r="V27" s="104"/>
      <c r="W27" s="104"/>
      <c r="X27" s="104"/>
    </row>
    <row r="28" spans="1:24" ht="15.75">
      <c r="B28" s="5"/>
      <c r="J28" s="9"/>
      <c r="M28" s="25"/>
    </row>
    <row r="29" spans="1:24" ht="15.75">
      <c r="H29" s="36" t="s">
        <v>81</v>
      </c>
      <c r="I29" s="60">
        <f>ONSV_AUX_2017!U27</f>
        <v>30063</v>
      </c>
      <c r="J29" s="9"/>
      <c r="K29" s="104" t="s">
        <v>119</v>
      </c>
      <c r="L29" s="104"/>
      <c r="M29" s="9"/>
      <c r="N29" s="26" t="s">
        <v>120</v>
      </c>
      <c r="O29" s="26"/>
      <c r="Q29" s="26" t="s">
        <v>121</v>
      </c>
      <c r="R29" s="26"/>
      <c r="S29" s="26"/>
      <c r="T29" s="25" t="s">
        <v>122</v>
      </c>
      <c r="U29" s="25"/>
      <c r="V29" s="25"/>
      <c r="W29" s="25"/>
      <c r="X29" s="25"/>
    </row>
    <row r="30" spans="1:24" ht="15.75">
      <c r="H30" s="36" t="s">
        <v>84</v>
      </c>
      <c r="I30" s="60">
        <f>ONSV_AUX_2017!U28</f>
        <v>424156</v>
      </c>
      <c r="J30" s="9"/>
      <c r="K30" s="9"/>
      <c r="L30" s="9"/>
      <c r="M30" s="9"/>
      <c r="N30" s="9"/>
      <c r="O30" s="9"/>
      <c r="P30" s="20"/>
      <c r="Q30" s="11"/>
      <c r="R30" s="11"/>
      <c r="S30" s="11"/>
    </row>
    <row r="31" spans="1:24" ht="15.75">
      <c r="H31" s="36" t="s">
        <v>85</v>
      </c>
      <c r="I31" s="60">
        <f>ONSV_AUX_2017!U29</f>
        <v>87634</v>
      </c>
      <c r="J31" s="9"/>
      <c r="K31" s="2" t="s">
        <v>123</v>
      </c>
      <c r="L31" s="60">
        <f>I38+I41+I42+I47</f>
        <v>644425</v>
      </c>
      <c r="N31" s="28" t="s">
        <v>124</v>
      </c>
      <c r="O31" s="60">
        <f>J38+J47</f>
        <v>536101.03351204563</v>
      </c>
      <c r="P31" s="64"/>
      <c r="Q31" s="65" t="s">
        <v>125</v>
      </c>
      <c r="R31" s="60">
        <f>J41+J42</f>
        <v>108299.96648795439</v>
      </c>
      <c r="S31" s="66"/>
      <c r="T31" s="65" t="s">
        <v>126</v>
      </c>
      <c r="U31" s="67">
        <f>O35</f>
        <v>11387.125868973608</v>
      </c>
      <c r="V31" s="48"/>
      <c r="W31" s="65" t="s">
        <v>127</v>
      </c>
      <c r="X31" s="68">
        <f>R37</f>
        <v>10361.719234746639</v>
      </c>
    </row>
    <row r="32" spans="1:24" ht="15.75">
      <c r="H32" s="36" t="s">
        <v>101</v>
      </c>
      <c r="I32" s="60">
        <f>ONSV_AUX_2017!U30</f>
        <v>24</v>
      </c>
      <c r="J32" s="9"/>
      <c r="K32" s="27"/>
      <c r="L32" s="62"/>
      <c r="M32" s="20"/>
      <c r="N32" s="28" t="s">
        <v>128</v>
      </c>
      <c r="O32" s="69">
        <f>J38/O31</f>
        <v>0.97315344856851349</v>
      </c>
      <c r="P32" s="64"/>
      <c r="Q32" s="70" t="s">
        <v>129</v>
      </c>
      <c r="R32" s="63">
        <f>J41/R31</f>
        <v>0.7455310976510563</v>
      </c>
      <c r="S32" s="71"/>
      <c r="T32" s="65" t="s">
        <v>130</v>
      </c>
      <c r="U32" s="67">
        <f>I47-J47</f>
        <v>0.53603134577315359</v>
      </c>
      <c r="V32" s="48"/>
      <c r="W32" s="65" t="s">
        <v>131</v>
      </c>
      <c r="X32" s="68">
        <f>I42-J42</f>
        <v>1.0264033828607353</v>
      </c>
    </row>
    <row r="33" spans="8:24" ht="15.75">
      <c r="H33" s="36" t="s">
        <v>16</v>
      </c>
      <c r="I33" s="60">
        <f>ONSV_AUX_2017!U31</f>
        <v>47872</v>
      </c>
      <c r="J33" s="9"/>
      <c r="K33" s="2" t="s">
        <v>132</v>
      </c>
      <c r="L33" s="63">
        <f>I38/L31</f>
        <v>0.80960235869185704</v>
      </c>
      <c r="M33" s="20"/>
      <c r="N33" s="28" t="s">
        <v>133</v>
      </c>
      <c r="O33" s="69">
        <f>J47/O31</f>
        <v>2.6846551431486548E-2</v>
      </c>
      <c r="P33" s="64"/>
      <c r="Q33" s="70" t="s">
        <v>134</v>
      </c>
      <c r="R33" s="63">
        <f>J42/R31</f>
        <v>0.2544689023489437</v>
      </c>
      <c r="S33" s="71"/>
      <c r="T33" s="65" t="s">
        <v>135</v>
      </c>
      <c r="U33" s="72">
        <f>O37</f>
        <v>3005.3380996806191</v>
      </c>
      <c r="V33" s="73"/>
      <c r="W33" s="65" t="s">
        <v>136</v>
      </c>
      <c r="X33" s="72">
        <f>R40</f>
        <v>17197.254361870502</v>
      </c>
    </row>
    <row r="34" spans="8:24" ht="15.75">
      <c r="H34" s="36" t="s">
        <v>94</v>
      </c>
      <c r="I34" s="60">
        <f>ONSV_AUX_2017!U32</f>
        <v>598219</v>
      </c>
      <c r="J34" s="10"/>
      <c r="K34" s="2" t="s">
        <v>2</v>
      </c>
      <c r="L34" s="63">
        <f>I41/L31</f>
        <v>0.125296194281724</v>
      </c>
      <c r="M34" s="20"/>
      <c r="N34" s="20"/>
      <c r="O34" s="74"/>
      <c r="P34" s="48"/>
      <c r="Q34" s="48"/>
      <c r="R34" s="48"/>
      <c r="S34" s="48"/>
      <c r="T34" s="48"/>
      <c r="U34" s="62"/>
      <c r="V34" s="75"/>
      <c r="W34" s="48"/>
      <c r="X34" s="62"/>
    </row>
    <row r="35" spans="8:24" ht="15.75">
      <c r="K35" s="2" t="s">
        <v>3</v>
      </c>
      <c r="L35" s="63">
        <f>I42/L31</f>
        <v>4.2766807619195407E-2</v>
      </c>
      <c r="M35" s="20"/>
      <c r="N35" s="28" t="s">
        <v>137</v>
      </c>
      <c r="O35" s="60">
        <f>IF(O33*I30&gt;J47,J47,O33*I30)</f>
        <v>11387.125868973608</v>
      </c>
      <c r="P35" s="76"/>
      <c r="Q35" s="65" t="s">
        <v>138</v>
      </c>
      <c r="R35" s="60">
        <f>I31-I39-I40-I43-I46</f>
        <v>40719</v>
      </c>
      <c r="S35" s="77"/>
      <c r="T35" s="65" t="s">
        <v>139</v>
      </c>
      <c r="U35" s="67">
        <f>O43</f>
        <v>412768.87413102639</v>
      </c>
      <c r="V35" s="76"/>
      <c r="W35" s="65" t="s">
        <v>140</v>
      </c>
      <c r="X35" s="67">
        <f>I39</f>
        <v>32103</v>
      </c>
    </row>
    <row r="36" spans="8:24" ht="15.75">
      <c r="H36" s="24" t="s">
        <v>141</v>
      </c>
      <c r="K36" s="2" t="s">
        <v>0</v>
      </c>
      <c r="L36" s="63">
        <f>I47/L31</f>
        <v>2.2334639407223494E-2</v>
      </c>
      <c r="O36" s="48"/>
      <c r="P36" s="76"/>
      <c r="Q36" s="65" t="s">
        <v>142</v>
      </c>
      <c r="R36" s="60">
        <f>R32*R35</f>
        <v>30357.280765253363</v>
      </c>
      <c r="S36" s="48"/>
      <c r="T36" s="65" t="s">
        <v>143</v>
      </c>
      <c r="U36" s="67">
        <f>O41</f>
        <v>30063</v>
      </c>
      <c r="V36" s="66"/>
      <c r="W36" s="65" t="s">
        <v>144</v>
      </c>
      <c r="X36" s="67">
        <f>I40</f>
        <v>3172</v>
      </c>
    </row>
    <row r="37" spans="8:24" ht="15.75">
      <c r="K37" s="11"/>
      <c r="L37" s="11"/>
      <c r="M37" s="11"/>
      <c r="N37" s="28" t="s">
        <v>145</v>
      </c>
      <c r="O37" s="60">
        <f>J47-O35</f>
        <v>3005.3380996806191</v>
      </c>
      <c r="P37" s="76"/>
      <c r="Q37" s="65" t="s">
        <v>127</v>
      </c>
      <c r="R37" s="60">
        <f>R33*R35</f>
        <v>10361.719234746639</v>
      </c>
      <c r="S37" s="48"/>
      <c r="T37" s="65" t="s">
        <v>146</v>
      </c>
      <c r="U37" s="67">
        <f>O42</f>
        <v>47872</v>
      </c>
      <c r="V37" s="71"/>
      <c r="W37" s="48"/>
      <c r="X37" s="62"/>
    </row>
    <row r="38" spans="8:24" ht="15.75">
      <c r="H38" s="37" t="s">
        <v>103</v>
      </c>
      <c r="I38" s="60">
        <f>ONSV_AUX_2017!U56</f>
        <v>521728</v>
      </c>
      <c r="J38" s="61">
        <f>I38-(L33*I32)</f>
        <v>521708.56954339141</v>
      </c>
      <c r="K38" s="11"/>
      <c r="L38" s="11"/>
      <c r="M38" s="11"/>
      <c r="O38" s="76"/>
      <c r="P38" s="76"/>
      <c r="Q38" s="48"/>
      <c r="R38" s="78"/>
      <c r="S38" s="48"/>
      <c r="T38" s="65" t="s">
        <v>147</v>
      </c>
      <c r="U38" s="68">
        <f>I38-J38</f>
        <v>19.430456608592067</v>
      </c>
      <c r="V38" s="71"/>
      <c r="W38" s="65" t="s">
        <v>148</v>
      </c>
      <c r="X38" s="67">
        <f>I46</f>
        <v>6653</v>
      </c>
    </row>
    <row r="39" spans="8:24" ht="15.75">
      <c r="H39" s="37" t="s">
        <v>104</v>
      </c>
      <c r="I39" s="60">
        <f>ONSV_AUX_2017!U57</f>
        <v>32103</v>
      </c>
      <c r="J39" s="10">
        <f>I39</f>
        <v>32103</v>
      </c>
      <c r="K39" s="11"/>
      <c r="L39" s="11"/>
      <c r="M39" s="11"/>
      <c r="N39" s="26" t="s">
        <v>149</v>
      </c>
      <c r="O39" s="76"/>
      <c r="P39" s="76"/>
      <c r="Q39" s="65" t="s">
        <v>150</v>
      </c>
      <c r="R39" s="60">
        <f>J41-R36</f>
        <v>50383.712126083876</v>
      </c>
      <c r="S39" s="48"/>
      <c r="T39" s="65" t="s">
        <v>151</v>
      </c>
      <c r="U39" s="72">
        <f>O44</f>
        <v>31004.695412365021</v>
      </c>
      <c r="V39" s="48"/>
      <c r="W39" s="65" t="s">
        <v>152</v>
      </c>
      <c r="X39" s="67">
        <f>I43</f>
        <v>4987</v>
      </c>
    </row>
    <row r="40" spans="8:24" ht="15.75">
      <c r="H40" s="37" t="s">
        <v>105</v>
      </c>
      <c r="I40" s="60">
        <f>ONSV_AUX_2017!U58</f>
        <v>3172</v>
      </c>
      <c r="J40" s="10">
        <f>I40</f>
        <v>3172</v>
      </c>
      <c r="K40" s="11"/>
      <c r="L40" s="11"/>
      <c r="M40" s="11"/>
      <c r="O40" s="73"/>
      <c r="P40" s="76"/>
      <c r="Q40" s="65" t="s">
        <v>136</v>
      </c>
      <c r="R40" s="60">
        <f>J42-R37</f>
        <v>17197.254361870502</v>
      </c>
      <c r="S40" s="48"/>
      <c r="T40" s="48"/>
      <c r="U40" s="62"/>
      <c r="V40" s="77"/>
      <c r="W40" s="48"/>
      <c r="X40" s="62"/>
    </row>
    <row r="41" spans="8:24" ht="15.75">
      <c r="H41" s="37" t="s">
        <v>106</v>
      </c>
      <c r="I41" s="60">
        <f>ONSV_AUX_2017!U59</f>
        <v>80744</v>
      </c>
      <c r="J41" s="61">
        <f>I41-(L34*I32)</f>
        <v>80740.992891337242</v>
      </c>
      <c r="K41" s="11"/>
      <c r="L41" s="11"/>
      <c r="M41" s="11"/>
      <c r="N41" s="28" t="s">
        <v>143</v>
      </c>
      <c r="O41" s="60">
        <f>I29</f>
        <v>30063</v>
      </c>
      <c r="P41" s="76"/>
      <c r="Q41" s="48"/>
      <c r="R41" s="48"/>
      <c r="S41" s="77"/>
      <c r="T41" s="65" t="s">
        <v>142</v>
      </c>
      <c r="U41" s="68">
        <f>R36</f>
        <v>30357.280765253363</v>
      </c>
      <c r="V41" s="48"/>
      <c r="W41" s="65" t="s">
        <v>153</v>
      </c>
      <c r="X41" s="67">
        <f>I44</f>
        <v>416343</v>
      </c>
    </row>
    <row r="42" spans="8:24" ht="15.75">
      <c r="H42" s="37" t="s">
        <v>107</v>
      </c>
      <c r="I42" s="60">
        <f>ONSV_AUX_2017!U60</f>
        <v>27560</v>
      </c>
      <c r="J42" s="61">
        <f>I42-(L35*I32)</f>
        <v>27558.973596617139</v>
      </c>
      <c r="K42" s="11"/>
      <c r="L42" s="11"/>
      <c r="M42" s="11"/>
      <c r="N42" s="28" t="s">
        <v>146</v>
      </c>
      <c r="O42" s="60">
        <f>I33</f>
        <v>47872</v>
      </c>
      <c r="P42" s="76"/>
      <c r="Q42" s="48"/>
      <c r="R42" s="48"/>
      <c r="S42" s="48"/>
      <c r="T42" s="65" t="s">
        <v>154</v>
      </c>
      <c r="U42" s="68">
        <f>I41-J41</f>
        <v>3.0071086627576733</v>
      </c>
      <c r="V42" s="48"/>
      <c r="W42" s="65" t="s">
        <v>155</v>
      </c>
      <c r="X42" s="67">
        <f>I45</f>
        <v>58003</v>
      </c>
    </row>
    <row r="43" spans="8:24" ht="15.75">
      <c r="H43" s="37" t="s">
        <v>108</v>
      </c>
      <c r="I43" s="60">
        <f>ONSV_AUX_2017!U61</f>
        <v>4987</v>
      </c>
      <c r="J43" s="10">
        <f>I43</f>
        <v>4987</v>
      </c>
      <c r="K43" s="11"/>
      <c r="L43" s="11"/>
      <c r="M43" s="11"/>
      <c r="N43" s="28" t="s">
        <v>139</v>
      </c>
      <c r="O43" s="60">
        <f>IF(OR((O32*I30&gt;J38),((O41+O42+(O32*I30))&gt;J38)),(J38-O41-O42),(O32*I30))</f>
        <v>412768.87413102639</v>
      </c>
      <c r="P43" s="76"/>
      <c r="Q43" s="48"/>
      <c r="R43" s="78"/>
      <c r="S43" s="48"/>
      <c r="T43" s="65" t="s">
        <v>150</v>
      </c>
      <c r="U43" s="72">
        <f>R39</f>
        <v>50383.712126083876</v>
      </c>
      <c r="V43" s="48"/>
      <c r="W43" s="48"/>
      <c r="X43" s="48"/>
    </row>
    <row r="44" spans="8:24" ht="15.75">
      <c r="H44" s="37" t="s">
        <v>109</v>
      </c>
      <c r="I44" s="60">
        <f>ONSV_AUX_2017!U62</f>
        <v>416343</v>
      </c>
      <c r="J44" s="10">
        <f>I44</f>
        <v>416343</v>
      </c>
      <c r="K44" s="11"/>
      <c r="L44" s="11"/>
      <c r="M44" s="11"/>
      <c r="N44" s="28" t="s">
        <v>151</v>
      </c>
      <c r="O44" s="60">
        <f>IF((J38-O41-O43-O42)&lt;0,0,(J38-O41-O43-O42))</f>
        <v>31004.695412365021</v>
      </c>
      <c r="P44" s="48"/>
      <c r="Q44" s="48"/>
      <c r="R44" s="48"/>
      <c r="S44" s="48"/>
      <c r="T44" s="48"/>
      <c r="U44" s="62"/>
      <c r="V44" s="48"/>
      <c r="W44" s="48"/>
      <c r="X44" s="48"/>
    </row>
    <row r="45" spans="8:24" ht="15.75">
      <c r="H45" s="37" t="s">
        <v>110</v>
      </c>
      <c r="I45" s="60">
        <f>ONSV_AUX_2017!U63</f>
        <v>58003</v>
      </c>
      <c r="J45" s="10">
        <f>I45</f>
        <v>58003</v>
      </c>
      <c r="K45" s="11"/>
      <c r="L45" s="11"/>
      <c r="M45" s="11"/>
      <c r="O45" s="48"/>
      <c r="P45" s="76"/>
      <c r="Q45" s="48"/>
      <c r="R45" s="48"/>
      <c r="S45" s="48"/>
      <c r="T45" s="79" t="s">
        <v>156</v>
      </c>
      <c r="U45" s="80">
        <f>(SUM(U31:U43,X31:X42)/SUM(I38:I47))-1</f>
        <v>0</v>
      </c>
      <c r="V45" s="48"/>
      <c r="W45" s="79" t="s">
        <v>10</v>
      </c>
      <c r="X45" s="67">
        <f>SUM(U31:U43,X31:X42)</f>
        <v>1165686</v>
      </c>
    </row>
    <row r="46" spans="8:24" ht="15.75">
      <c r="H46" s="37" t="s">
        <v>111</v>
      </c>
      <c r="I46" s="60">
        <f>ONSV_AUX_2017!U64</f>
        <v>6653</v>
      </c>
      <c r="J46" s="10">
        <f>I46</f>
        <v>6653</v>
      </c>
      <c r="K46" s="11"/>
      <c r="L46" s="11"/>
      <c r="M46" s="11"/>
      <c r="O46" s="48"/>
      <c r="P46" s="76"/>
      <c r="Q46" s="48"/>
      <c r="R46" s="48"/>
      <c r="S46" s="48"/>
      <c r="T46" s="48"/>
      <c r="U46" s="48"/>
      <c r="V46" s="48"/>
      <c r="W46" s="48"/>
      <c r="X46" s="48"/>
    </row>
    <row r="47" spans="8:24" ht="15.75">
      <c r="H47" s="37" t="s">
        <v>112</v>
      </c>
      <c r="I47" s="60">
        <f>ONSV_AUX_2017!U65</f>
        <v>14393</v>
      </c>
      <c r="J47" s="61">
        <f>I47-(L36*I32)</f>
        <v>14392.463968654227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39"/>
      <c r="I48" s="40"/>
      <c r="J48" s="40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4" customFormat="1" ht="15.75">
      <c r="A50" s="101" t="str">
        <f>"RIO GRANDE DO NORTE/"&amp;ONSV_AUX_2016!A1&amp;""</f>
        <v>RIO GRANDE DO NORTE/2016</v>
      </c>
      <c r="B50" s="102"/>
      <c r="C50" s="102"/>
      <c r="D50" s="102"/>
      <c r="E50" s="102"/>
      <c r="F50" s="102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</row>
    <row r="52" spans="1:24" ht="15.75">
      <c r="H52" s="23" t="s">
        <v>118</v>
      </c>
      <c r="N52" s="26"/>
      <c r="O52" s="26"/>
      <c r="P52" s="9"/>
      <c r="Q52" s="26"/>
      <c r="R52" s="26"/>
      <c r="S52" s="26"/>
      <c r="T52" s="104"/>
      <c r="U52" s="104"/>
      <c r="V52" s="104"/>
      <c r="W52" s="104"/>
      <c r="X52" s="104"/>
    </row>
    <row r="53" spans="1:24" ht="15.75">
      <c r="J53" s="9"/>
      <c r="M53" s="25"/>
      <c r="N53" s="9"/>
      <c r="O53" s="9"/>
      <c r="P53" s="9"/>
      <c r="Q53" s="11"/>
      <c r="R53" s="11"/>
      <c r="S53" s="11"/>
    </row>
    <row r="54" spans="1:24" ht="15.75">
      <c r="H54" s="36" t="s">
        <v>81</v>
      </c>
      <c r="I54" s="60">
        <f>ONSV_AUX_2016!U27</f>
        <v>30022</v>
      </c>
      <c r="J54" s="9"/>
      <c r="K54" s="104" t="s">
        <v>119</v>
      </c>
      <c r="L54" s="104"/>
      <c r="M54" s="9"/>
      <c r="N54" s="26" t="s">
        <v>120</v>
      </c>
      <c r="O54" s="26"/>
      <c r="Q54" s="26" t="s">
        <v>121</v>
      </c>
      <c r="R54" s="26"/>
      <c r="S54" s="26"/>
      <c r="T54" s="25" t="s">
        <v>122</v>
      </c>
      <c r="U54" s="25"/>
      <c r="V54" s="25"/>
      <c r="W54" s="25"/>
      <c r="X54" s="25"/>
    </row>
    <row r="55" spans="1:24" ht="15.75">
      <c r="H55" s="36" t="s">
        <v>84</v>
      </c>
      <c r="I55" s="60">
        <f>ONSV_AUX_2016!U28</f>
        <v>392314</v>
      </c>
      <c r="J55" s="9"/>
      <c r="K55" s="9"/>
      <c r="L55" s="9"/>
      <c r="M55" s="9"/>
      <c r="N55" s="9"/>
      <c r="O55" s="9"/>
      <c r="P55" s="20"/>
      <c r="Q55" s="11"/>
      <c r="R55" s="11"/>
      <c r="S55" s="11"/>
    </row>
    <row r="56" spans="1:24" ht="15.75">
      <c r="H56" s="36" t="s">
        <v>85</v>
      </c>
      <c r="I56" s="60">
        <f>ONSV_AUX_2016!U29</f>
        <v>83816</v>
      </c>
      <c r="J56" s="9"/>
      <c r="K56" s="2" t="s">
        <v>123</v>
      </c>
      <c r="L56" s="60">
        <f>I63+I66+I67+I72</f>
        <v>616434</v>
      </c>
      <c r="N56" s="28" t="s">
        <v>124</v>
      </c>
      <c r="O56" s="60">
        <f>J63+J72</f>
        <v>513128.84327275911</v>
      </c>
      <c r="P56" s="64"/>
      <c r="Q56" s="65" t="s">
        <v>125</v>
      </c>
      <c r="R56" s="60">
        <f>J66+J67</f>
        <v>103294.15672724089</v>
      </c>
      <c r="S56" s="66"/>
      <c r="T56" s="65" t="s">
        <v>126</v>
      </c>
      <c r="U56" s="67">
        <f>O60</f>
        <v>10115.615163951998</v>
      </c>
      <c r="V56" s="48"/>
      <c r="W56" s="65" t="s">
        <v>127</v>
      </c>
      <c r="X56" s="68">
        <f>R62</f>
        <v>9679.5435641263939</v>
      </c>
    </row>
    <row r="57" spans="1:24" ht="15.75">
      <c r="H57" s="36" t="s">
        <v>101</v>
      </c>
      <c r="I57" s="60">
        <f>ONSV_AUX_2016!U30</f>
        <v>11</v>
      </c>
      <c r="J57" s="9"/>
      <c r="K57" s="27"/>
      <c r="L57" s="62"/>
      <c r="M57" s="20"/>
      <c r="N57" s="28" t="s">
        <v>128</v>
      </c>
      <c r="O57" s="69">
        <f>J63/O56</f>
        <v>0.97421551317579291</v>
      </c>
      <c r="P57" s="64"/>
      <c r="Q57" s="70" t="s">
        <v>129</v>
      </c>
      <c r="R57" s="63">
        <f>J66/R56</f>
        <v>0.74811222118959098</v>
      </c>
      <c r="S57" s="71"/>
      <c r="T57" s="65" t="s">
        <v>130</v>
      </c>
      <c r="U57" s="67">
        <f>I72-J72</f>
        <v>0.23610151289540227</v>
      </c>
      <c r="V57" s="48"/>
      <c r="W57" s="65" t="s">
        <v>131</v>
      </c>
      <c r="X57" s="68">
        <f>I67-J67</f>
        <v>0.46429788103705505</v>
      </c>
    </row>
    <row r="58" spans="1:24" ht="15.75">
      <c r="H58" s="36" t="s">
        <v>16</v>
      </c>
      <c r="I58" s="60">
        <f>ONSV_AUX_2016!U31</f>
        <v>46737</v>
      </c>
      <c r="J58" s="9"/>
      <c r="K58" s="2" t="s">
        <v>132</v>
      </c>
      <c r="L58" s="63">
        <f>I63/L56</f>
        <v>0.81096597527066971</v>
      </c>
      <c r="M58" s="20"/>
      <c r="N58" s="28" t="s">
        <v>133</v>
      </c>
      <c r="O58" s="69">
        <f>J72/O56</f>
        <v>2.5784486824207132E-2</v>
      </c>
      <c r="P58" s="64"/>
      <c r="Q58" s="70" t="s">
        <v>134</v>
      </c>
      <c r="R58" s="63">
        <f>J67/R56</f>
        <v>0.25188777881040891</v>
      </c>
      <c r="S58" s="71"/>
      <c r="T58" s="65" t="s">
        <v>135</v>
      </c>
      <c r="U58" s="72">
        <f>O62</f>
        <v>3115.148734535107</v>
      </c>
      <c r="V58" s="73"/>
      <c r="W58" s="65" t="s">
        <v>136</v>
      </c>
      <c r="X58" s="72">
        <f>R65</f>
        <v>16338.992137992569</v>
      </c>
    </row>
    <row r="59" spans="1:24" ht="15.75">
      <c r="H59" s="36" t="s">
        <v>94</v>
      </c>
      <c r="I59" s="60">
        <f>ONSV_AUX_2016!U32</f>
        <v>581278</v>
      </c>
      <c r="J59" s="10"/>
      <c r="K59" s="2" t="s">
        <v>2</v>
      </c>
      <c r="L59" s="63">
        <f>I66/L56</f>
        <v>0.12536135255355804</v>
      </c>
      <c r="M59" s="20"/>
      <c r="N59" s="20"/>
      <c r="O59" s="74"/>
      <c r="P59" s="48"/>
      <c r="Q59" s="48"/>
      <c r="R59" s="48"/>
      <c r="S59" s="48"/>
      <c r="T59" s="48"/>
      <c r="U59" s="62"/>
      <c r="V59" s="75"/>
      <c r="W59" s="48"/>
      <c r="X59" s="62"/>
    </row>
    <row r="60" spans="1:24" ht="15.75">
      <c r="K60" s="2" t="s">
        <v>3</v>
      </c>
      <c r="L60" s="63">
        <f>I67/L56</f>
        <v>4.2208898276214483E-2</v>
      </c>
      <c r="M60" s="20"/>
      <c r="N60" s="28" t="s">
        <v>137</v>
      </c>
      <c r="O60" s="60">
        <f>IF(O58*I55&gt;J72,J72,O58*I55)</f>
        <v>10115.615163951998</v>
      </c>
      <c r="P60" s="76"/>
      <c r="Q60" s="65" t="s">
        <v>138</v>
      </c>
      <c r="R60" s="60">
        <f>I56-I64-I65-I68-I71</f>
        <v>38428</v>
      </c>
      <c r="S60" s="77"/>
      <c r="T60" s="65" t="s">
        <v>139</v>
      </c>
      <c r="U60" s="67">
        <f>O68</f>
        <v>382198.384836048</v>
      </c>
      <c r="V60" s="76"/>
      <c r="W60" s="65" t="s">
        <v>140</v>
      </c>
      <c r="X60" s="67">
        <f>I64</f>
        <v>31045</v>
      </c>
    </row>
    <row r="61" spans="1:24" ht="15.75">
      <c r="H61" s="24" t="s">
        <v>141</v>
      </c>
      <c r="K61" s="2" t="s">
        <v>0</v>
      </c>
      <c r="L61" s="63">
        <f>I72/L56</f>
        <v>2.1463773899557777E-2</v>
      </c>
      <c r="O61" s="48"/>
      <c r="P61" s="76"/>
      <c r="Q61" s="65" t="s">
        <v>142</v>
      </c>
      <c r="R61" s="60">
        <f>R57*R60</f>
        <v>28748.456435873602</v>
      </c>
      <c r="S61" s="48"/>
      <c r="T61" s="65" t="s">
        <v>143</v>
      </c>
      <c r="U61" s="67">
        <f>O66</f>
        <v>30022</v>
      </c>
      <c r="V61" s="66"/>
      <c r="W61" s="65" t="s">
        <v>144</v>
      </c>
      <c r="X61" s="67">
        <f>I65</f>
        <v>2993</v>
      </c>
    </row>
    <row r="62" spans="1:24" ht="15.75">
      <c r="K62" s="11"/>
      <c r="L62" s="11"/>
      <c r="M62" s="11"/>
      <c r="N62" s="28" t="s">
        <v>145</v>
      </c>
      <c r="O62" s="60">
        <f>J72-O60</f>
        <v>3115.148734535107</v>
      </c>
      <c r="P62" s="76"/>
      <c r="Q62" s="65" t="s">
        <v>127</v>
      </c>
      <c r="R62" s="60">
        <f>R58*R60</f>
        <v>9679.5435641263939</v>
      </c>
      <c r="S62" s="48"/>
      <c r="T62" s="65" t="s">
        <v>146</v>
      </c>
      <c r="U62" s="67">
        <f>O67</f>
        <v>46737</v>
      </c>
      <c r="V62" s="71"/>
      <c r="W62" s="48"/>
      <c r="X62" s="62"/>
    </row>
    <row r="63" spans="1:24" ht="15.75">
      <c r="H63" s="37" t="s">
        <v>103</v>
      </c>
      <c r="I63" s="60">
        <f>ONSV_AUX_2016!U56</f>
        <v>499907</v>
      </c>
      <c r="J63" s="61">
        <f>I63-(L58*I57)</f>
        <v>499898.07937427203</v>
      </c>
      <c r="K63" s="11"/>
      <c r="L63" s="11"/>
      <c r="M63" s="11"/>
      <c r="O63" s="76"/>
      <c r="P63" s="76"/>
      <c r="Q63" s="48"/>
      <c r="R63" s="78"/>
      <c r="S63" s="48"/>
      <c r="T63" s="65" t="s">
        <v>147</v>
      </c>
      <c r="U63" s="68">
        <f>I63-J63</f>
        <v>8.9206257279729471</v>
      </c>
      <c r="V63" s="71"/>
      <c r="W63" s="65" t="s">
        <v>148</v>
      </c>
      <c r="X63" s="67">
        <f>I71</f>
        <v>6486</v>
      </c>
    </row>
    <row r="64" spans="1:24" ht="15.75">
      <c r="H64" s="37" t="s">
        <v>104</v>
      </c>
      <c r="I64" s="60">
        <f>ONSV_AUX_2016!U57</f>
        <v>31045</v>
      </c>
      <c r="J64" s="10">
        <f>I64</f>
        <v>31045</v>
      </c>
      <c r="K64" s="11"/>
      <c r="L64" s="11"/>
      <c r="M64" s="11"/>
      <c r="N64" s="26" t="s">
        <v>149</v>
      </c>
      <c r="O64" s="76"/>
      <c r="P64" s="76"/>
      <c r="Q64" s="65" t="s">
        <v>150</v>
      </c>
      <c r="R64" s="60">
        <f>J66-R61</f>
        <v>48527.164589248314</v>
      </c>
      <c r="S64" s="48"/>
      <c r="T64" s="65" t="s">
        <v>151</v>
      </c>
      <c r="U64" s="72">
        <f>O69</f>
        <v>40940.694538224023</v>
      </c>
      <c r="V64" s="48"/>
      <c r="W64" s="65" t="s">
        <v>152</v>
      </c>
      <c r="X64" s="67">
        <f>I68</f>
        <v>4864</v>
      </c>
    </row>
    <row r="65" spans="1:24" ht="15.75">
      <c r="H65" s="37" t="s">
        <v>105</v>
      </c>
      <c r="I65" s="60">
        <f>ONSV_AUX_2016!U58</f>
        <v>2993</v>
      </c>
      <c r="J65" s="10">
        <f>I65</f>
        <v>2993</v>
      </c>
      <c r="K65" s="11"/>
      <c r="L65" s="11"/>
      <c r="M65" s="11"/>
      <c r="O65" s="73"/>
      <c r="P65" s="76"/>
      <c r="Q65" s="65" t="s">
        <v>136</v>
      </c>
      <c r="R65" s="60">
        <f>J67-R62</f>
        <v>16338.992137992569</v>
      </c>
      <c r="S65" s="48"/>
      <c r="T65" s="48"/>
      <c r="U65" s="62"/>
      <c r="V65" s="77"/>
      <c r="W65" s="48"/>
      <c r="X65" s="62"/>
    </row>
    <row r="66" spans="1:24" ht="15.75">
      <c r="H66" s="37" t="s">
        <v>106</v>
      </c>
      <c r="I66" s="60">
        <f>ONSV_AUX_2016!U59</f>
        <v>77277</v>
      </c>
      <c r="J66" s="61">
        <f>I66-(L59*I57)</f>
        <v>77275.621025121916</v>
      </c>
      <c r="K66" s="11"/>
      <c r="L66" s="11"/>
      <c r="M66" s="11"/>
      <c r="N66" s="28" t="s">
        <v>143</v>
      </c>
      <c r="O66" s="60">
        <f>I54</f>
        <v>30022</v>
      </c>
      <c r="P66" s="76"/>
      <c r="Q66" s="48"/>
      <c r="R66" s="48"/>
      <c r="S66" s="77"/>
      <c r="T66" s="65" t="s">
        <v>142</v>
      </c>
      <c r="U66" s="68">
        <f>R61</f>
        <v>28748.456435873602</v>
      </c>
      <c r="V66" s="48"/>
      <c r="W66" s="65" t="s">
        <v>153</v>
      </c>
      <c r="X66" s="67">
        <f>I69</f>
        <v>399069</v>
      </c>
    </row>
    <row r="67" spans="1:24" ht="15.75">
      <c r="H67" s="37" t="s">
        <v>107</v>
      </c>
      <c r="I67" s="60">
        <f>ONSV_AUX_2016!U60</f>
        <v>26019</v>
      </c>
      <c r="J67" s="61">
        <f>I67-(L60*I57)</f>
        <v>26018.535702118963</v>
      </c>
      <c r="K67" s="11"/>
      <c r="L67" s="11"/>
      <c r="M67" s="11"/>
      <c r="N67" s="28" t="s">
        <v>146</v>
      </c>
      <c r="O67" s="60">
        <f>I58</f>
        <v>46737</v>
      </c>
      <c r="P67" s="76"/>
      <c r="Q67" s="48"/>
      <c r="R67" s="48"/>
      <c r="S67" s="48"/>
      <c r="T67" s="65" t="s">
        <v>154</v>
      </c>
      <c r="U67" s="68">
        <f>I66-J66</f>
        <v>1.3789748780836817</v>
      </c>
      <c r="V67" s="48"/>
      <c r="W67" s="65" t="s">
        <v>155</v>
      </c>
      <c r="X67" s="67">
        <f>I70</f>
        <v>55171</v>
      </c>
    </row>
    <row r="68" spans="1:24" ht="15.75">
      <c r="H68" s="37" t="s">
        <v>108</v>
      </c>
      <c r="I68" s="60">
        <f>ONSV_AUX_2016!U61</f>
        <v>4864</v>
      </c>
      <c r="J68" s="10">
        <f>I68</f>
        <v>4864</v>
      </c>
      <c r="K68" s="11"/>
      <c r="L68" s="11"/>
      <c r="M68" s="11"/>
      <c r="N68" s="28" t="s">
        <v>139</v>
      </c>
      <c r="O68" s="60">
        <f>IF(OR((O57*I55&gt;J63),((O66+O67+(O57*I55))&gt;J63)),(J63-O66-O67),(O57*I55))</f>
        <v>382198.384836048</v>
      </c>
      <c r="P68" s="76"/>
      <c r="Q68" s="48"/>
      <c r="R68" s="78"/>
      <c r="S68" s="48"/>
      <c r="T68" s="65" t="s">
        <v>150</v>
      </c>
      <c r="U68" s="72">
        <f>R64</f>
        <v>48527.164589248314</v>
      </c>
      <c r="V68" s="48"/>
      <c r="W68" s="48"/>
      <c r="X68" s="48"/>
    </row>
    <row r="69" spans="1:24" ht="15.75">
      <c r="H69" s="37" t="s">
        <v>109</v>
      </c>
      <c r="I69" s="60">
        <f>ONSV_AUX_2016!U62</f>
        <v>399069</v>
      </c>
      <c r="J69" s="10">
        <f>I69</f>
        <v>399069</v>
      </c>
      <c r="K69" s="11"/>
      <c r="L69" s="11"/>
      <c r="M69" s="11"/>
      <c r="N69" s="28" t="s">
        <v>151</v>
      </c>
      <c r="O69" s="60">
        <f>IF((J63-O66-O68-O67)&lt;0,0,(J63-O66-O68-O67))</f>
        <v>40940.694538224023</v>
      </c>
      <c r="P69" s="48"/>
      <c r="Q69" s="48"/>
      <c r="R69" s="48"/>
      <c r="S69" s="48"/>
      <c r="T69" s="48"/>
      <c r="U69" s="62"/>
      <c r="V69" s="48"/>
      <c r="W69" s="48"/>
      <c r="X69" s="48"/>
    </row>
    <row r="70" spans="1:24" ht="15.75">
      <c r="H70" s="37" t="s">
        <v>110</v>
      </c>
      <c r="I70" s="60">
        <f>ONSV_AUX_2016!U63</f>
        <v>55171</v>
      </c>
      <c r="J70" s="10">
        <f>I70</f>
        <v>55171</v>
      </c>
      <c r="K70" s="11"/>
      <c r="L70" s="11"/>
      <c r="M70" s="11"/>
      <c r="O70" s="48"/>
      <c r="P70" s="76"/>
      <c r="Q70" s="48"/>
      <c r="R70" s="48"/>
      <c r="S70" s="48"/>
      <c r="T70" s="79" t="s">
        <v>156</v>
      </c>
      <c r="U70" s="80">
        <f>(SUM(U56:U68,X56:X67)/SUM(I63:I72))-1</f>
        <v>0</v>
      </c>
      <c r="V70" s="48"/>
      <c r="W70" s="79" t="s">
        <v>10</v>
      </c>
      <c r="X70" s="67">
        <f>SUM(U56:U68,X56:X67)</f>
        <v>1116062</v>
      </c>
    </row>
    <row r="71" spans="1:24" ht="15.75">
      <c r="H71" s="37" t="s">
        <v>111</v>
      </c>
      <c r="I71" s="60">
        <f>ONSV_AUX_2016!U64</f>
        <v>6486</v>
      </c>
      <c r="J71" s="10">
        <f>I71</f>
        <v>6486</v>
      </c>
      <c r="K71" s="11"/>
      <c r="L71" s="11"/>
      <c r="M71" s="11"/>
      <c r="O71" s="48"/>
      <c r="P71" s="76"/>
      <c r="Q71" s="48"/>
      <c r="R71" s="48"/>
      <c r="S71" s="48"/>
      <c r="T71" s="48"/>
      <c r="U71" s="48"/>
      <c r="V71" s="48"/>
      <c r="W71" s="48"/>
      <c r="X71" s="48"/>
    </row>
    <row r="72" spans="1:24" ht="15.75">
      <c r="H72" s="37" t="s">
        <v>112</v>
      </c>
      <c r="I72" s="60">
        <f>ONSV_AUX_2016!U65</f>
        <v>13231</v>
      </c>
      <c r="J72" s="61">
        <f>I72-(L61*I57)</f>
        <v>13230.763898487105</v>
      </c>
      <c r="K72" s="12"/>
      <c r="L72" s="12"/>
      <c r="M72" s="12"/>
      <c r="N72" s="12"/>
      <c r="O72" s="12"/>
      <c r="P72" s="12"/>
      <c r="Q72" s="4"/>
      <c r="R72" s="4"/>
    </row>
    <row r="75" spans="1:24" s="34" customFormat="1" ht="15.75">
      <c r="A75" s="101" t="str">
        <f>"RIO GRANDE DO NORTE/"&amp;ONSV_AUX_2015!A1&amp;""</f>
        <v>RIO GRANDE DO NORTE/2015</v>
      </c>
      <c r="B75" s="102"/>
      <c r="C75" s="102"/>
      <c r="D75" s="102"/>
      <c r="E75" s="102"/>
      <c r="F75" s="102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 spans="1:24"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>
      <c r="H77" s="23" t="s">
        <v>118</v>
      </c>
      <c r="P77" s="9"/>
    </row>
    <row r="78" spans="1:24" ht="15.75">
      <c r="J78" s="9"/>
      <c r="M78" s="25"/>
      <c r="P78" s="9"/>
    </row>
    <row r="79" spans="1:24" ht="15.75">
      <c r="H79" s="36" t="s">
        <v>81</v>
      </c>
      <c r="I79" s="60">
        <f>ONSV_AUX_2015!U27</f>
        <v>29983</v>
      </c>
      <c r="J79" s="9"/>
      <c r="K79" s="104" t="s">
        <v>119</v>
      </c>
      <c r="L79" s="104"/>
      <c r="M79" s="9"/>
      <c r="N79" s="26" t="s">
        <v>120</v>
      </c>
      <c r="O79" s="26"/>
      <c r="Q79" s="26" t="s">
        <v>121</v>
      </c>
      <c r="R79" s="26"/>
      <c r="S79" s="26"/>
      <c r="T79" s="25" t="s">
        <v>122</v>
      </c>
      <c r="U79" s="25"/>
      <c r="V79" s="25"/>
      <c r="W79" s="25"/>
      <c r="X79" s="25"/>
    </row>
    <row r="80" spans="1:24" ht="15.75">
      <c r="H80" s="36" t="s">
        <v>84</v>
      </c>
      <c r="I80" s="60">
        <f>ONSV_AUX_2015!U28</f>
        <v>353914</v>
      </c>
      <c r="J80" s="9"/>
      <c r="K80" s="9"/>
      <c r="L80" s="9"/>
      <c r="M80" s="9"/>
      <c r="N80" s="9"/>
      <c r="O80" s="9"/>
      <c r="P80" s="20"/>
      <c r="Q80" s="11"/>
      <c r="R80" s="11"/>
      <c r="S80" s="11"/>
    </row>
    <row r="81" spans="8:24" ht="15.75">
      <c r="H81" s="36" t="s">
        <v>85</v>
      </c>
      <c r="I81" s="60">
        <f>ONSV_AUX_2015!U29</f>
        <v>80138</v>
      </c>
      <c r="J81" s="9"/>
      <c r="K81" s="2" t="s">
        <v>123</v>
      </c>
      <c r="L81" s="60">
        <f>I88+I91+I92+I97</f>
        <v>584642</v>
      </c>
      <c r="N81" s="28" t="s">
        <v>124</v>
      </c>
      <c r="O81" s="60">
        <f>J88+J97</f>
        <v>487237.49933292507</v>
      </c>
      <c r="P81" s="64"/>
      <c r="Q81" s="65" t="s">
        <v>125</v>
      </c>
      <c r="R81" s="60">
        <f>J91+J92</f>
        <v>97395.500667074899</v>
      </c>
      <c r="S81" s="66"/>
      <c r="T81" s="65" t="s">
        <v>126</v>
      </c>
      <c r="U81" s="67">
        <f>O85</f>
        <v>8747.5218873462018</v>
      </c>
      <c r="V81" s="48"/>
      <c r="W81" s="65" t="s">
        <v>127</v>
      </c>
      <c r="X81" s="68">
        <f>R87</f>
        <v>9078.6748051788036</v>
      </c>
    </row>
    <row r="82" spans="8:24" ht="15.75">
      <c r="H82" s="36" t="s">
        <v>101</v>
      </c>
      <c r="I82" s="60">
        <f>ONSV_AUX_2015!U30</f>
        <v>9</v>
      </c>
      <c r="J82" s="9"/>
      <c r="K82" s="27"/>
      <c r="L82" s="62"/>
      <c r="M82" s="20"/>
      <c r="N82" s="28" t="s">
        <v>128</v>
      </c>
      <c r="O82" s="69">
        <f>J88/O81</f>
        <v>0.97528348161602485</v>
      </c>
      <c r="P82" s="64"/>
      <c r="Q82" s="70" t="s">
        <v>129</v>
      </c>
      <c r="R82" s="63">
        <f>J91/R81</f>
        <v>0.75133731018409189</v>
      </c>
      <c r="S82" s="71"/>
      <c r="T82" s="65" t="s">
        <v>130</v>
      </c>
      <c r="U82" s="67">
        <f>I97-J97</f>
        <v>0.18539037564914906</v>
      </c>
      <c r="V82" s="48"/>
      <c r="W82" s="65" t="s">
        <v>131</v>
      </c>
      <c r="X82" s="68">
        <f>I92-J92</f>
        <v>0.37282815808794112</v>
      </c>
    </row>
    <row r="83" spans="8:24" ht="15.75">
      <c r="H83" s="36" t="s">
        <v>16</v>
      </c>
      <c r="I83" s="60">
        <f>ONSV_AUX_2015!U31</f>
        <v>45540</v>
      </c>
      <c r="J83" s="9"/>
      <c r="K83" s="2" t="s">
        <v>132</v>
      </c>
      <c r="L83" s="63">
        <f>I88/L81</f>
        <v>0.81280852213833421</v>
      </c>
      <c r="M83" s="20"/>
      <c r="N83" s="28" t="s">
        <v>133</v>
      </c>
      <c r="O83" s="69">
        <f>J97/O81</f>
        <v>2.4716518383975209E-2</v>
      </c>
      <c r="P83" s="64"/>
      <c r="Q83" s="70" t="s">
        <v>134</v>
      </c>
      <c r="R83" s="63">
        <f>J92/R81</f>
        <v>0.24866268981590806</v>
      </c>
      <c r="S83" s="71"/>
      <c r="T83" s="65" t="s">
        <v>135</v>
      </c>
      <c r="U83" s="72">
        <f>O87</f>
        <v>3295.2927222781491</v>
      </c>
      <c r="V83" s="73"/>
      <c r="W83" s="65" t="s">
        <v>136</v>
      </c>
      <c r="X83" s="72">
        <f>R90</f>
        <v>15139.952366663108</v>
      </c>
    </row>
    <row r="84" spans="8:24" ht="15.75">
      <c r="H84" s="36" t="s">
        <v>94</v>
      </c>
      <c r="I84" s="60">
        <f>ONSV_AUX_2015!U32</f>
        <v>548913</v>
      </c>
      <c r="J84" s="10"/>
      <c r="K84" s="2" t="s">
        <v>2</v>
      </c>
      <c r="L84" s="63">
        <f>I91/L81</f>
        <v>0.12516719633553525</v>
      </c>
      <c r="M84" s="20"/>
      <c r="N84" s="20"/>
      <c r="O84" s="74"/>
      <c r="P84" s="48"/>
      <c r="Q84" s="48"/>
      <c r="R84" s="48"/>
      <c r="S84" s="48"/>
      <c r="T84" s="48"/>
      <c r="U84" s="62"/>
      <c r="V84" s="75"/>
      <c r="W84" s="48"/>
      <c r="X84" s="62"/>
    </row>
    <row r="85" spans="8:24" ht="15.75">
      <c r="K85" s="2" t="s">
        <v>3</v>
      </c>
      <c r="L85" s="63">
        <f>I92/L81</f>
        <v>4.1425350898498567E-2</v>
      </c>
      <c r="M85" s="20"/>
      <c r="N85" s="28" t="s">
        <v>137</v>
      </c>
      <c r="O85" s="60">
        <f>IF(O83*I80&gt;J97,J97,O83*I80)</f>
        <v>8747.5218873462018</v>
      </c>
      <c r="P85" s="76"/>
      <c r="Q85" s="65" t="s">
        <v>138</v>
      </c>
      <c r="R85" s="60">
        <f>I81-I89-I90-I93-I96</f>
        <v>36510</v>
      </c>
      <c r="S85" s="77"/>
      <c r="T85" s="65" t="s">
        <v>139</v>
      </c>
      <c r="U85" s="67">
        <f>O93</f>
        <v>345166.47811265383</v>
      </c>
      <c r="V85" s="76"/>
      <c r="W85" s="65" t="s">
        <v>140</v>
      </c>
      <c r="X85" s="67">
        <f>I89</f>
        <v>29891</v>
      </c>
    </row>
    <row r="86" spans="8:24" ht="15.75">
      <c r="H86" s="24" t="s">
        <v>141</v>
      </c>
      <c r="K86" s="2" t="s">
        <v>0</v>
      </c>
      <c r="L86" s="63">
        <f>I97/L81</f>
        <v>2.0598930627631951E-2</v>
      </c>
      <c r="O86" s="48"/>
      <c r="P86" s="76"/>
      <c r="Q86" s="65" t="s">
        <v>142</v>
      </c>
      <c r="R86" s="60">
        <f>R82*R85</f>
        <v>27431.325194821195</v>
      </c>
      <c r="S86" s="48"/>
      <c r="T86" s="65" t="s">
        <v>143</v>
      </c>
      <c r="U86" s="67">
        <f>O91</f>
        <v>29983</v>
      </c>
      <c r="V86" s="66"/>
      <c r="W86" s="65" t="s">
        <v>144</v>
      </c>
      <c r="X86" s="67">
        <f>I90</f>
        <v>2830</v>
      </c>
    </row>
    <row r="87" spans="8:24" ht="15.75">
      <c r="K87" s="11"/>
      <c r="L87" s="11"/>
      <c r="M87" s="11"/>
      <c r="N87" s="28" t="s">
        <v>145</v>
      </c>
      <c r="O87" s="60">
        <f>J97-O85</f>
        <v>3295.2927222781491</v>
      </c>
      <c r="P87" s="76"/>
      <c r="Q87" s="65" t="s">
        <v>127</v>
      </c>
      <c r="R87" s="60">
        <f>R83*R85</f>
        <v>9078.6748051788036</v>
      </c>
      <c r="S87" s="48"/>
      <c r="T87" s="65" t="s">
        <v>146</v>
      </c>
      <c r="U87" s="67">
        <f>O92</f>
        <v>45540</v>
      </c>
      <c r="V87" s="71"/>
      <c r="W87" s="48"/>
      <c r="X87" s="62"/>
    </row>
    <row r="88" spans="8:24" ht="15.75">
      <c r="H88" s="37" t="s">
        <v>103</v>
      </c>
      <c r="I88" s="60">
        <f>ONSV_AUX_2015!U56</f>
        <v>475202</v>
      </c>
      <c r="J88" s="61">
        <f>I88-(L83*I82)</f>
        <v>475194.68472330074</v>
      </c>
      <c r="K88" s="11"/>
      <c r="L88" s="11"/>
      <c r="M88" s="11"/>
      <c r="O88" s="76"/>
      <c r="P88" s="76"/>
      <c r="Q88" s="48"/>
      <c r="R88" s="78"/>
      <c r="S88" s="48"/>
      <c r="T88" s="65" t="s">
        <v>147</v>
      </c>
      <c r="U88" s="68">
        <f>I88-J88</f>
        <v>7.3152766992570832</v>
      </c>
      <c r="V88" s="71"/>
      <c r="W88" s="65" t="s">
        <v>148</v>
      </c>
      <c r="X88" s="67">
        <f>I96</f>
        <v>6246</v>
      </c>
    </row>
    <row r="89" spans="8:24" ht="15.75">
      <c r="H89" s="37" t="s">
        <v>104</v>
      </c>
      <c r="I89" s="60">
        <f>ONSV_AUX_2015!U57</f>
        <v>29891</v>
      </c>
      <c r="J89" s="10">
        <f>I89</f>
        <v>29891</v>
      </c>
      <c r="K89" s="11"/>
      <c r="L89" s="11"/>
      <c r="M89" s="11"/>
      <c r="N89" s="26" t="s">
        <v>149</v>
      </c>
      <c r="O89" s="76"/>
      <c r="P89" s="76"/>
      <c r="Q89" s="65" t="s">
        <v>150</v>
      </c>
      <c r="R89" s="60">
        <f>J91-R86</f>
        <v>45745.548300411785</v>
      </c>
      <c r="S89" s="48"/>
      <c r="T89" s="65" t="s">
        <v>151</v>
      </c>
      <c r="U89" s="72">
        <f>O94</f>
        <v>54505.206610646914</v>
      </c>
      <c r="V89" s="48"/>
      <c r="W89" s="65" t="s">
        <v>152</v>
      </c>
      <c r="X89" s="67">
        <f>I93</f>
        <v>4661</v>
      </c>
    </row>
    <row r="90" spans="8:24" ht="15.75">
      <c r="H90" s="37" t="s">
        <v>105</v>
      </c>
      <c r="I90" s="60">
        <f>ONSV_AUX_2015!U58</f>
        <v>2830</v>
      </c>
      <c r="J90" s="10">
        <f>I90</f>
        <v>2830</v>
      </c>
      <c r="K90" s="11"/>
      <c r="L90" s="11"/>
      <c r="M90" s="11"/>
      <c r="O90" s="73"/>
      <c r="P90" s="76"/>
      <c r="Q90" s="65" t="s">
        <v>136</v>
      </c>
      <c r="R90" s="60">
        <f>J92-R87</f>
        <v>15139.952366663108</v>
      </c>
      <c r="S90" s="48"/>
      <c r="T90" s="48"/>
      <c r="U90" s="62"/>
      <c r="V90" s="77"/>
      <c r="W90" s="48"/>
      <c r="X90" s="62"/>
    </row>
    <row r="91" spans="8:24" ht="15.75">
      <c r="H91" s="37" t="s">
        <v>106</v>
      </c>
      <c r="I91" s="60">
        <f>ONSV_AUX_2015!U59</f>
        <v>73178</v>
      </c>
      <c r="J91" s="61">
        <f>I91-(L84*I82)</f>
        <v>73176.873495232983</v>
      </c>
      <c r="K91" s="11"/>
      <c r="L91" s="11"/>
      <c r="M91" s="11"/>
      <c r="N91" s="28" t="s">
        <v>143</v>
      </c>
      <c r="O91" s="60">
        <f>I79</f>
        <v>29983</v>
      </c>
      <c r="P91" s="76"/>
      <c r="Q91" s="48"/>
      <c r="R91" s="48"/>
      <c r="S91" s="77"/>
      <c r="T91" s="65" t="s">
        <v>142</v>
      </c>
      <c r="U91" s="68">
        <f>R86</f>
        <v>27431.325194821195</v>
      </c>
      <c r="V91" s="48"/>
      <c r="W91" s="65" t="s">
        <v>153</v>
      </c>
      <c r="X91" s="67">
        <f>I94</f>
        <v>378598</v>
      </c>
    </row>
    <row r="92" spans="8:24" ht="15.75">
      <c r="H92" s="37" t="s">
        <v>107</v>
      </c>
      <c r="I92" s="60">
        <f>ONSV_AUX_2015!U60</f>
        <v>24219</v>
      </c>
      <c r="J92" s="61">
        <f>I92-(L85*I82)</f>
        <v>24218.627171841912</v>
      </c>
      <c r="K92" s="11"/>
      <c r="L92" s="11"/>
      <c r="M92" s="11"/>
      <c r="N92" s="28" t="s">
        <v>146</v>
      </c>
      <c r="O92" s="60">
        <f>I83</f>
        <v>45540</v>
      </c>
      <c r="P92" s="76"/>
      <c r="Q92" s="48"/>
      <c r="R92" s="48"/>
      <c r="S92" s="48"/>
      <c r="T92" s="65" t="s">
        <v>154</v>
      </c>
      <c r="U92" s="68">
        <f>I91-J91</f>
        <v>1.1265047670167405</v>
      </c>
      <c r="V92" s="48"/>
      <c r="W92" s="65" t="s">
        <v>155</v>
      </c>
      <c r="X92" s="67">
        <f>I95</f>
        <v>51462</v>
      </c>
    </row>
    <row r="93" spans="8:24" ht="15.75">
      <c r="H93" s="37" t="s">
        <v>108</v>
      </c>
      <c r="I93" s="60">
        <f>ONSV_AUX_2015!U61</f>
        <v>4661</v>
      </c>
      <c r="J93" s="10">
        <f>I93</f>
        <v>4661</v>
      </c>
      <c r="K93" s="11"/>
      <c r="L93" s="11"/>
      <c r="M93" s="11"/>
      <c r="N93" s="28" t="s">
        <v>139</v>
      </c>
      <c r="O93" s="60">
        <f>IF(OR((O82*I80&gt;J88),((O91+O92+(O82*I80))&gt;J88)),(J88-O91-O92),(O82*I80))</f>
        <v>345166.47811265383</v>
      </c>
      <c r="P93" s="76"/>
      <c r="Q93" s="48"/>
      <c r="R93" s="78"/>
      <c r="S93" s="48"/>
      <c r="T93" s="65" t="s">
        <v>150</v>
      </c>
      <c r="U93" s="72">
        <f>R89</f>
        <v>45745.548300411785</v>
      </c>
      <c r="V93" s="48"/>
      <c r="W93" s="48"/>
      <c r="X93" s="48"/>
    </row>
    <row r="94" spans="8:24" ht="15.75">
      <c r="H94" s="37" t="s">
        <v>109</v>
      </c>
      <c r="I94" s="60">
        <f>ONSV_AUX_2015!U62</f>
        <v>378598</v>
      </c>
      <c r="J94" s="10">
        <f>I94</f>
        <v>378598</v>
      </c>
      <c r="K94" s="11"/>
      <c r="L94" s="11"/>
      <c r="M94" s="11"/>
      <c r="N94" s="28" t="s">
        <v>151</v>
      </c>
      <c r="O94" s="60">
        <f>IF((J88-O91-O93-O92)&lt;0,0,(J88-O91-O93-O92))</f>
        <v>54505.206610646914</v>
      </c>
      <c r="P94" s="48"/>
      <c r="Q94" s="48"/>
      <c r="R94" s="48"/>
      <c r="S94" s="48"/>
      <c r="T94" s="48"/>
      <c r="U94" s="62"/>
      <c r="V94" s="48"/>
      <c r="W94" s="48"/>
      <c r="X94" s="48"/>
    </row>
    <row r="95" spans="8:24" ht="15.75">
      <c r="H95" s="37" t="s">
        <v>110</v>
      </c>
      <c r="I95" s="60">
        <f>ONSV_AUX_2015!U63</f>
        <v>51462</v>
      </c>
      <c r="J95" s="10">
        <f>I95</f>
        <v>51462</v>
      </c>
      <c r="K95" s="11"/>
      <c r="L95" s="11"/>
      <c r="M95" s="11"/>
      <c r="O95" s="48"/>
      <c r="P95" s="76"/>
      <c r="Q95" s="48"/>
      <c r="R95" s="48"/>
      <c r="S95" s="48"/>
      <c r="T95" s="79" t="s">
        <v>156</v>
      </c>
      <c r="U95" s="80">
        <f>(SUM(U81:U93,X81:X92)/SUM(I88:I97))-1</f>
        <v>0</v>
      </c>
      <c r="V95" s="48"/>
      <c r="W95" s="79" t="s">
        <v>10</v>
      </c>
      <c r="X95" s="67">
        <f>SUM(U81:U93,X81:X92)</f>
        <v>1058330</v>
      </c>
    </row>
    <row r="96" spans="8:24" ht="15.75">
      <c r="H96" s="37" t="s">
        <v>111</v>
      </c>
      <c r="I96" s="60">
        <f>ONSV_AUX_2015!U64</f>
        <v>6246</v>
      </c>
      <c r="J96" s="10">
        <f>I96</f>
        <v>6246</v>
      </c>
      <c r="K96" s="11"/>
      <c r="L96" s="11"/>
      <c r="M96" s="11"/>
      <c r="O96" s="48"/>
      <c r="P96" s="76"/>
      <c r="Q96" s="48"/>
      <c r="R96" s="48"/>
      <c r="S96" s="48"/>
      <c r="T96" s="48"/>
      <c r="U96" s="48"/>
      <c r="V96" s="48"/>
      <c r="W96" s="48"/>
      <c r="X96" s="48"/>
    </row>
    <row r="97" spans="1:24" ht="15.75">
      <c r="H97" s="37" t="s">
        <v>112</v>
      </c>
      <c r="I97" s="60">
        <f>ONSV_AUX_2015!U65</f>
        <v>12043</v>
      </c>
      <c r="J97" s="61">
        <f>I97-(L86*I82)</f>
        <v>12042.814609624351</v>
      </c>
      <c r="K97" s="12"/>
      <c r="L97" s="12"/>
      <c r="M97" s="12"/>
      <c r="N97" s="12"/>
      <c r="O97" s="12"/>
      <c r="P97" s="12"/>
      <c r="Q97" s="4"/>
      <c r="R97" s="4"/>
    </row>
    <row r="98" spans="1:24" ht="15.75">
      <c r="I98" s="40"/>
      <c r="J98" s="21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4" ht="15.75">
      <c r="I99" s="40"/>
      <c r="J99" s="21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4" s="34" customFormat="1" ht="15.75">
      <c r="A100" s="101" t="str">
        <f>"RIO GRANDE DO NORTE/"&amp;ONSV_AUX_2014!A1&amp;""</f>
        <v>RIO GRANDE DO NORTE/2014</v>
      </c>
      <c r="B100" s="102"/>
      <c r="C100" s="102"/>
      <c r="D100" s="102"/>
      <c r="E100" s="102"/>
      <c r="F100" s="102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</row>
    <row r="101" spans="1:24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>
      <c r="H102" s="23" t="s">
        <v>118</v>
      </c>
      <c r="N102" s="26"/>
      <c r="O102" s="26"/>
      <c r="P102" s="9"/>
      <c r="Q102" s="26"/>
      <c r="R102" s="26"/>
      <c r="S102" s="26"/>
      <c r="T102" s="25"/>
      <c r="U102" s="25"/>
      <c r="V102" s="25"/>
      <c r="W102" s="25"/>
      <c r="X102" s="25"/>
    </row>
    <row r="103" spans="1:24" ht="15.75">
      <c r="J103" s="9"/>
      <c r="M103" s="25"/>
      <c r="N103" s="9"/>
      <c r="O103" s="9"/>
      <c r="P103" s="9"/>
      <c r="Q103" s="11"/>
      <c r="R103" s="11"/>
      <c r="S103" s="11"/>
    </row>
    <row r="104" spans="1:24" ht="15.75">
      <c r="H104" s="36" t="s">
        <v>81</v>
      </c>
      <c r="I104" s="60">
        <f>ONSV_AUX_2014!U27</f>
        <v>29936</v>
      </c>
      <c r="J104" s="9"/>
      <c r="K104" s="104" t="s">
        <v>119</v>
      </c>
      <c r="L104" s="104"/>
      <c r="M104" s="9"/>
      <c r="N104" s="26" t="s">
        <v>120</v>
      </c>
      <c r="O104" s="26"/>
      <c r="Q104" s="26" t="s">
        <v>121</v>
      </c>
      <c r="R104" s="26"/>
      <c r="S104" s="26"/>
      <c r="T104" s="25" t="s">
        <v>122</v>
      </c>
      <c r="U104" s="25"/>
      <c r="V104" s="25"/>
      <c r="W104" s="25"/>
      <c r="X104" s="25"/>
    </row>
    <row r="105" spans="1:24" ht="15.75">
      <c r="H105" s="36" t="s">
        <v>84</v>
      </c>
      <c r="I105" s="60">
        <f>ONSV_AUX_2014!U28</f>
        <v>304225</v>
      </c>
      <c r="J105" s="9"/>
      <c r="K105" s="9"/>
      <c r="L105" s="9"/>
      <c r="M105" s="9"/>
      <c r="N105" s="9"/>
      <c r="O105" s="9"/>
      <c r="P105" s="20"/>
      <c r="Q105" s="11"/>
      <c r="R105" s="11"/>
      <c r="S105" s="11"/>
    </row>
    <row r="106" spans="1:24" ht="15.75">
      <c r="H106" s="36" t="s">
        <v>85</v>
      </c>
      <c r="I106" s="60">
        <f>ONSV_AUX_2014!U29</f>
        <v>75334</v>
      </c>
      <c r="J106" s="9"/>
      <c r="K106" s="2" t="s">
        <v>123</v>
      </c>
      <c r="L106" s="60">
        <f>I113+I116+I117+I122</f>
        <v>544644</v>
      </c>
      <c r="N106" s="28" t="s">
        <v>124</v>
      </c>
      <c r="O106" s="60">
        <f>J113+J122</f>
        <v>455249.14886604832</v>
      </c>
      <c r="P106" s="64"/>
      <c r="Q106" s="65" t="s">
        <v>125</v>
      </c>
      <c r="R106" s="60">
        <f>J116+J117</f>
        <v>89387.851133951714</v>
      </c>
      <c r="S106" s="66"/>
      <c r="T106" s="65" t="s">
        <v>126</v>
      </c>
      <c r="U106" s="67">
        <f>O110</f>
        <v>7127.5743264763687</v>
      </c>
      <c r="V106" s="48"/>
      <c r="W106" s="65" t="s">
        <v>127</v>
      </c>
      <c r="X106" s="68">
        <f>R112</f>
        <v>8378.2031346138792</v>
      </c>
    </row>
    <row r="107" spans="1:24" ht="15.75">
      <c r="H107" s="36" t="s">
        <v>101</v>
      </c>
      <c r="I107" s="60">
        <f>ONSV_AUX_2014!U30</f>
        <v>7</v>
      </c>
      <c r="J107" s="9"/>
      <c r="K107" s="27"/>
      <c r="L107" s="62"/>
      <c r="M107" s="20"/>
      <c r="N107" s="28" t="s">
        <v>128</v>
      </c>
      <c r="O107" s="69">
        <f>J113/O106</f>
        <v>0.97657137208817035</v>
      </c>
      <c r="P107" s="64"/>
      <c r="Q107" s="70" t="s">
        <v>129</v>
      </c>
      <c r="R107" s="63">
        <f>J116/R106</f>
        <v>0.75343722381948564</v>
      </c>
      <c r="S107" s="71"/>
      <c r="T107" s="65" t="s">
        <v>130</v>
      </c>
      <c r="U107" s="67">
        <f>I122-J122</f>
        <v>0.13708404021781462</v>
      </c>
      <c r="V107" s="48"/>
      <c r="W107" s="65" t="s">
        <v>131</v>
      </c>
      <c r="X107" s="68">
        <f>I117-J117</f>
        <v>0.28326760232448578</v>
      </c>
    </row>
    <row r="108" spans="1:24" ht="15.75">
      <c r="H108" s="36" t="s">
        <v>16</v>
      </c>
      <c r="I108" s="60">
        <f>ONSV_AUX_2014!U31</f>
        <v>44586</v>
      </c>
      <c r="J108" s="9"/>
      <c r="K108" s="2" t="s">
        <v>132</v>
      </c>
      <c r="L108" s="63">
        <f>I113/L106</f>
        <v>0.81629284450026074</v>
      </c>
      <c r="M108" s="20"/>
      <c r="N108" s="28" t="s">
        <v>133</v>
      </c>
      <c r="O108" s="69">
        <f>J122/O106</f>
        <v>2.342862791182963E-2</v>
      </c>
      <c r="P108" s="64"/>
      <c r="Q108" s="70" t="s">
        <v>134</v>
      </c>
      <c r="R108" s="63">
        <f>J117/R106</f>
        <v>0.24656277618051439</v>
      </c>
      <c r="S108" s="71"/>
      <c r="T108" s="65" t="s">
        <v>135</v>
      </c>
      <c r="U108" s="72">
        <f>O112</f>
        <v>3538.2885894834135</v>
      </c>
      <c r="V108" s="73"/>
      <c r="W108" s="65" t="s">
        <v>136</v>
      </c>
      <c r="X108" s="72">
        <f>R115</f>
        <v>13661.513597783796</v>
      </c>
    </row>
    <row r="109" spans="1:24" ht="15.75">
      <c r="H109" s="36" t="s">
        <v>94</v>
      </c>
      <c r="I109" s="60">
        <f>ONSV_AUX_2014!U32</f>
        <v>533678</v>
      </c>
      <c r="J109" s="10"/>
      <c r="K109" s="2" t="s">
        <v>2</v>
      </c>
      <c r="L109" s="63">
        <f>I116/L106</f>
        <v>0.12365692085105133</v>
      </c>
      <c r="M109" s="20"/>
      <c r="N109" s="20"/>
      <c r="O109" s="74"/>
      <c r="P109" s="48"/>
      <c r="Q109" s="48"/>
      <c r="R109" s="48"/>
      <c r="S109" s="48"/>
      <c r="T109" s="48"/>
      <c r="U109" s="62"/>
      <c r="V109" s="75"/>
      <c r="W109" s="48"/>
      <c r="X109" s="62"/>
    </row>
    <row r="110" spans="1:24" ht="15.75">
      <c r="K110" s="2" t="s">
        <v>3</v>
      </c>
      <c r="L110" s="63">
        <f>I117/L106</f>
        <v>4.0466800331959957E-2</v>
      </c>
      <c r="M110" s="20"/>
      <c r="N110" s="28" t="s">
        <v>137</v>
      </c>
      <c r="O110" s="60">
        <f>IF(O108*I105&gt;J122,J122,O108*I105)</f>
        <v>7127.5743264763687</v>
      </c>
      <c r="P110" s="76"/>
      <c r="Q110" s="65" t="s">
        <v>138</v>
      </c>
      <c r="R110" s="60">
        <f>I106-I114-I115-I118-I121</f>
        <v>33980</v>
      </c>
      <c r="S110" s="77"/>
      <c r="T110" s="65" t="s">
        <v>139</v>
      </c>
      <c r="U110" s="67">
        <f>O118</f>
        <v>297097.42567352363</v>
      </c>
      <c r="V110" s="76"/>
      <c r="W110" s="65" t="s">
        <v>140</v>
      </c>
      <c r="X110" s="67">
        <f>I114</f>
        <v>28384</v>
      </c>
    </row>
    <row r="111" spans="1:24" ht="15.75">
      <c r="H111" s="24" t="s">
        <v>141</v>
      </c>
      <c r="K111" s="2" t="s">
        <v>0</v>
      </c>
      <c r="L111" s="63">
        <f>I122/L106</f>
        <v>1.9583434316727991E-2</v>
      </c>
      <c r="O111" s="48"/>
      <c r="P111" s="76"/>
      <c r="Q111" s="65" t="s">
        <v>142</v>
      </c>
      <c r="R111" s="60">
        <f>R107*R110</f>
        <v>25601.796865386121</v>
      </c>
      <c r="S111" s="48"/>
      <c r="T111" s="65" t="s">
        <v>143</v>
      </c>
      <c r="U111" s="67">
        <f>O116</f>
        <v>29936</v>
      </c>
      <c r="V111" s="66"/>
      <c r="W111" s="65" t="s">
        <v>144</v>
      </c>
      <c r="X111" s="67">
        <f>I115</f>
        <v>2631</v>
      </c>
    </row>
    <row r="112" spans="1:24" ht="15.75">
      <c r="K112" s="11"/>
      <c r="L112" s="11"/>
      <c r="M112" s="11"/>
      <c r="N112" s="28" t="s">
        <v>145</v>
      </c>
      <c r="O112" s="60">
        <f>J122-O110</f>
        <v>3538.2885894834135</v>
      </c>
      <c r="P112" s="76"/>
      <c r="Q112" s="65" t="s">
        <v>127</v>
      </c>
      <c r="R112" s="60">
        <f>R108*R110</f>
        <v>8378.2031346138792</v>
      </c>
      <c r="S112" s="48"/>
      <c r="T112" s="65" t="s">
        <v>146</v>
      </c>
      <c r="U112" s="67">
        <f>O117</f>
        <v>44586</v>
      </c>
      <c r="V112" s="71"/>
      <c r="W112" s="48"/>
      <c r="X112" s="62"/>
    </row>
    <row r="113" spans="8:24" ht="15.75">
      <c r="H113" s="37" t="s">
        <v>103</v>
      </c>
      <c r="I113" s="60">
        <f>ONSV_AUX_2014!U56</f>
        <v>444589</v>
      </c>
      <c r="J113" s="61">
        <f>I113-(L108*I107)</f>
        <v>444583.28595008852</v>
      </c>
      <c r="K113" s="11"/>
      <c r="L113" s="11"/>
      <c r="M113" s="11"/>
      <c r="O113" s="76"/>
      <c r="P113" s="76"/>
      <c r="Q113" s="48"/>
      <c r="R113" s="78"/>
      <c r="S113" s="48"/>
      <c r="T113" s="65" t="s">
        <v>147</v>
      </c>
      <c r="U113" s="68">
        <f>I113-J113</f>
        <v>5.7140499114757404</v>
      </c>
      <c r="V113" s="71"/>
      <c r="W113" s="65" t="s">
        <v>148</v>
      </c>
      <c r="X113" s="67">
        <f>I121</f>
        <v>5890</v>
      </c>
    </row>
    <row r="114" spans="8:24" ht="15.75">
      <c r="H114" s="37" t="s">
        <v>104</v>
      </c>
      <c r="I114" s="60">
        <f>ONSV_AUX_2014!U57</f>
        <v>28384</v>
      </c>
      <c r="J114" s="10">
        <f>I114</f>
        <v>28384</v>
      </c>
      <c r="K114" s="11"/>
      <c r="L114" s="11"/>
      <c r="M114" s="11"/>
      <c r="N114" s="26" t="s">
        <v>149</v>
      </c>
      <c r="O114" s="76"/>
      <c r="P114" s="76"/>
      <c r="Q114" s="65" t="s">
        <v>150</v>
      </c>
      <c r="R114" s="60">
        <f>J116-R111</f>
        <v>41746.337536167921</v>
      </c>
      <c r="S114" s="48"/>
      <c r="T114" s="65" t="s">
        <v>151</v>
      </c>
      <c r="U114" s="72">
        <f>O119</f>
        <v>72963.860276564898</v>
      </c>
      <c r="V114" s="48"/>
      <c r="W114" s="65" t="s">
        <v>152</v>
      </c>
      <c r="X114" s="67">
        <f>I118</f>
        <v>4449</v>
      </c>
    </row>
    <row r="115" spans="8:24" ht="15.75">
      <c r="H115" s="37" t="s">
        <v>105</v>
      </c>
      <c r="I115" s="60">
        <f>ONSV_AUX_2014!U58</f>
        <v>2631</v>
      </c>
      <c r="J115" s="10">
        <f>I115</f>
        <v>2631</v>
      </c>
      <c r="K115" s="11"/>
      <c r="L115" s="11"/>
      <c r="M115" s="11"/>
      <c r="O115" s="73"/>
      <c r="P115" s="76"/>
      <c r="Q115" s="65" t="s">
        <v>136</v>
      </c>
      <c r="R115" s="60">
        <f>J117-R112</f>
        <v>13661.513597783796</v>
      </c>
      <c r="S115" s="48"/>
      <c r="T115" s="48"/>
      <c r="U115" s="62"/>
      <c r="V115" s="77"/>
      <c r="W115" s="48"/>
      <c r="X115" s="62"/>
    </row>
    <row r="116" spans="8:24" ht="15.75">
      <c r="H116" s="37" t="s">
        <v>106</v>
      </c>
      <c r="I116" s="60">
        <f>ONSV_AUX_2014!U59</f>
        <v>67349</v>
      </c>
      <c r="J116" s="61">
        <f>I116-(L109*I107)</f>
        <v>67348.134401554038</v>
      </c>
      <c r="K116" s="11"/>
      <c r="L116" s="11"/>
      <c r="M116" s="11"/>
      <c r="N116" s="28" t="s">
        <v>143</v>
      </c>
      <c r="O116" s="60">
        <f>I104</f>
        <v>29936</v>
      </c>
      <c r="P116" s="76"/>
      <c r="Q116" s="48"/>
      <c r="R116" s="48"/>
      <c r="S116" s="77"/>
      <c r="T116" s="65" t="s">
        <v>142</v>
      </c>
      <c r="U116" s="68">
        <f>R111</f>
        <v>25601.796865386121</v>
      </c>
      <c r="V116" s="48"/>
      <c r="W116" s="65" t="s">
        <v>153</v>
      </c>
      <c r="X116" s="67">
        <f>I119</f>
        <v>353597</v>
      </c>
    </row>
    <row r="117" spans="8:24" ht="15.75">
      <c r="H117" s="37" t="s">
        <v>107</v>
      </c>
      <c r="I117" s="60">
        <f>ONSV_AUX_2014!U60</f>
        <v>22040</v>
      </c>
      <c r="J117" s="61">
        <f>I117-(L110*I107)</f>
        <v>22039.716732397676</v>
      </c>
      <c r="K117" s="11"/>
      <c r="L117" s="11"/>
      <c r="M117" s="11"/>
      <c r="N117" s="28" t="s">
        <v>146</v>
      </c>
      <c r="O117" s="60">
        <f>I108</f>
        <v>44586</v>
      </c>
      <c r="P117" s="76"/>
      <c r="Q117" s="48"/>
      <c r="R117" s="48"/>
      <c r="S117" s="48"/>
      <c r="T117" s="65" t="s">
        <v>154</v>
      </c>
      <c r="U117" s="68">
        <f>I116-J116</f>
        <v>0.86559844596195035</v>
      </c>
      <c r="V117" s="48"/>
      <c r="W117" s="65" t="s">
        <v>155</v>
      </c>
      <c r="X117" s="67">
        <f>I120</f>
        <v>47989</v>
      </c>
    </row>
    <row r="118" spans="8:24" ht="15.75">
      <c r="H118" s="37" t="s">
        <v>108</v>
      </c>
      <c r="I118" s="60">
        <f>ONSV_AUX_2014!U61</f>
        <v>4449</v>
      </c>
      <c r="J118" s="10">
        <f>I118</f>
        <v>4449</v>
      </c>
      <c r="K118" s="11"/>
      <c r="L118" s="11"/>
      <c r="M118" s="11"/>
      <c r="N118" s="28" t="s">
        <v>139</v>
      </c>
      <c r="O118" s="60">
        <f>IF(OR((O107*I105&gt;J113),((O116+O117+(O107*I105))&gt;J113)),(J113-O116-O117),(O107*I105))</f>
        <v>297097.42567352363</v>
      </c>
      <c r="P118" s="76"/>
      <c r="Q118" s="48"/>
      <c r="R118" s="78"/>
      <c r="S118" s="48"/>
      <c r="T118" s="65" t="s">
        <v>150</v>
      </c>
      <c r="U118" s="72">
        <f>R114</f>
        <v>41746.337536167921</v>
      </c>
      <c r="V118" s="48"/>
      <c r="W118" s="48"/>
      <c r="X118" s="48"/>
    </row>
    <row r="119" spans="8:24" ht="15.75">
      <c r="H119" s="37" t="s">
        <v>109</v>
      </c>
      <c r="I119" s="60">
        <f>ONSV_AUX_2014!U62</f>
        <v>353597</v>
      </c>
      <c r="J119" s="10">
        <f>I119</f>
        <v>353597</v>
      </c>
      <c r="K119" s="11"/>
      <c r="L119" s="11"/>
      <c r="M119" s="11"/>
      <c r="N119" s="28" t="s">
        <v>151</v>
      </c>
      <c r="O119" s="60">
        <f>IF((J113-O116-O118-O117)&lt;0,0,(J113-O116-O118-O117))</f>
        <v>72963.860276564898</v>
      </c>
      <c r="P119" s="48"/>
      <c r="Q119" s="48"/>
      <c r="R119" s="48"/>
      <c r="S119" s="48"/>
      <c r="T119" s="48"/>
      <c r="U119" s="62"/>
      <c r="V119" s="48"/>
      <c r="W119" s="48"/>
      <c r="X119" s="48"/>
    </row>
    <row r="120" spans="8:24" ht="15.75">
      <c r="H120" s="37" t="s">
        <v>110</v>
      </c>
      <c r="I120" s="60">
        <f>ONSV_AUX_2014!U63</f>
        <v>47989</v>
      </c>
      <c r="J120" s="10">
        <f>I120</f>
        <v>47989</v>
      </c>
      <c r="K120" s="11"/>
      <c r="L120" s="11"/>
      <c r="M120" s="11"/>
      <c r="O120" s="48"/>
      <c r="P120" s="76"/>
      <c r="Q120" s="48"/>
      <c r="R120" s="48"/>
      <c r="S120" s="48"/>
      <c r="T120" s="79" t="s">
        <v>156</v>
      </c>
      <c r="U120" s="80">
        <f>(SUM(U106:U118,X106:X117)/SUM(I113:I122))-1</f>
        <v>0</v>
      </c>
      <c r="V120" s="48"/>
      <c r="W120" s="79" t="s">
        <v>10</v>
      </c>
      <c r="X120" s="67">
        <f>SUM(U106:U118,X106:X117)</f>
        <v>987584</v>
      </c>
    </row>
    <row r="121" spans="8:24" ht="15.75">
      <c r="H121" s="37" t="s">
        <v>111</v>
      </c>
      <c r="I121" s="60">
        <f>ONSV_AUX_2014!U64</f>
        <v>5890</v>
      </c>
      <c r="J121" s="10">
        <f>I121</f>
        <v>5890</v>
      </c>
      <c r="K121" s="11"/>
      <c r="L121" s="11"/>
      <c r="M121" s="11"/>
      <c r="O121" s="48"/>
      <c r="P121" s="76"/>
      <c r="Q121" s="48"/>
      <c r="R121" s="48"/>
      <c r="S121" s="48"/>
      <c r="T121" s="48"/>
      <c r="U121" s="48"/>
      <c r="V121" s="48"/>
      <c r="W121" s="48"/>
      <c r="X121" s="48"/>
    </row>
    <row r="122" spans="8:24" ht="15.75">
      <c r="H122" s="37" t="s">
        <v>112</v>
      </c>
      <c r="I122" s="60">
        <f>ONSV_AUX_2014!U65</f>
        <v>10666</v>
      </c>
      <c r="J122" s="61">
        <f>I122-(L111*I107)</f>
        <v>10665.862915959782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A1:F1"/>
    <mergeCell ref="Q4:R4"/>
    <mergeCell ref="T4:X4"/>
    <mergeCell ref="K5:L5"/>
    <mergeCell ref="A25:F25"/>
    <mergeCell ref="T27:X27"/>
    <mergeCell ref="T52:X52"/>
    <mergeCell ref="K79:L79"/>
    <mergeCell ref="A100:F100"/>
    <mergeCell ref="K104:L104"/>
    <mergeCell ref="K29:L29"/>
    <mergeCell ref="A50:F50"/>
    <mergeCell ref="A75:F75"/>
    <mergeCell ref="K54:L5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X122"/>
  <sheetViews>
    <sheetView showGridLines="0" topLeftCell="A7" zoomScale="90" zoomScaleNormal="90" workbookViewId="0">
      <selection activeCell="E27" sqref="E27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  <col min="27" max="28" width="10" bestFit="1" customWidth="1"/>
    <col min="30" max="30" width="10" bestFit="1" customWidth="1"/>
  </cols>
  <sheetData>
    <row r="1" spans="1:24" s="31" customFormat="1" ht="15.75">
      <c r="A1" s="101" t="str">
        <f>"RIO GRANDE DO SUL/"&amp;ONSV_AUX_2018!A1&amp;""</f>
        <v>RIO GRANDE DO SUL/2018</v>
      </c>
      <c r="B1" s="102"/>
      <c r="C1" s="102"/>
      <c r="D1" s="102"/>
      <c r="E1" s="102"/>
      <c r="F1" s="102"/>
    </row>
    <row r="2" spans="1:24" s="4" customFormat="1" ht="15.75">
      <c r="A2" s="32"/>
      <c r="B2" s="32"/>
      <c r="C2" s="32"/>
      <c r="D2" s="32"/>
      <c r="E2" s="32"/>
      <c r="F2" s="32"/>
    </row>
    <row r="3" spans="1:24" ht="15.75">
      <c r="A3" s="12"/>
      <c r="H3" s="23" t="s">
        <v>118</v>
      </c>
    </row>
    <row r="4" spans="1:24" ht="15.75">
      <c r="B4" s="5"/>
      <c r="J4" s="9"/>
      <c r="M4" s="25"/>
      <c r="N4" s="25"/>
      <c r="O4" s="25"/>
      <c r="P4" s="25"/>
      <c r="Q4" s="103"/>
      <c r="R4" s="103"/>
      <c r="S4" s="22"/>
      <c r="T4" s="104"/>
      <c r="U4" s="104"/>
      <c r="V4" s="104"/>
      <c r="W4" s="104"/>
      <c r="X4" s="104"/>
    </row>
    <row r="5" spans="1:24" ht="15.75">
      <c r="H5" s="36" t="s">
        <v>81</v>
      </c>
      <c r="I5" s="60">
        <f>ONSV_AUX_2018!V27</f>
        <v>196798</v>
      </c>
      <c r="J5" s="9"/>
      <c r="K5" s="104" t="s">
        <v>119</v>
      </c>
      <c r="L5" s="104"/>
      <c r="M5" s="9"/>
      <c r="N5" s="26" t="s">
        <v>120</v>
      </c>
      <c r="O5" s="26"/>
      <c r="Q5" s="26" t="s">
        <v>121</v>
      </c>
      <c r="R5" s="26"/>
      <c r="S5" s="26"/>
      <c r="T5" s="25" t="s">
        <v>122</v>
      </c>
      <c r="U5" s="25"/>
      <c r="V5" s="25"/>
      <c r="W5" s="25"/>
      <c r="X5" s="25"/>
    </row>
    <row r="6" spans="1:24" ht="15.75">
      <c r="H6" s="36" t="s">
        <v>84</v>
      </c>
      <c r="I6" s="60">
        <f>ONSV_AUX_2018!V28</f>
        <v>2187473</v>
      </c>
      <c r="J6" s="9"/>
      <c r="K6" s="9"/>
      <c r="L6" s="9"/>
      <c r="M6" s="9"/>
      <c r="N6" s="9"/>
      <c r="O6" s="9"/>
      <c r="P6" s="20"/>
      <c r="Q6" s="11"/>
      <c r="R6" s="11"/>
      <c r="S6" s="11"/>
    </row>
    <row r="7" spans="1:24" ht="15.75">
      <c r="H7" s="36" t="s">
        <v>85</v>
      </c>
      <c r="I7" s="60">
        <f>ONSV_AUX_2018!V29</f>
        <v>588164</v>
      </c>
      <c r="J7" s="9"/>
      <c r="K7" s="2" t="s">
        <v>123</v>
      </c>
      <c r="L7" s="60">
        <f>I14+I17+I18+I23</f>
        <v>5088570</v>
      </c>
      <c r="N7" s="28" t="s">
        <v>124</v>
      </c>
      <c r="O7" s="60">
        <f>J14+J23</f>
        <v>4307701.3291327422</v>
      </c>
      <c r="P7" s="64"/>
      <c r="Q7" s="65" t="s">
        <v>125</v>
      </c>
      <c r="R7" s="60">
        <f>J17+J18</f>
        <v>780155.6708672574</v>
      </c>
      <c r="S7" s="66"/>
      <c r="T7" s="65" t="s">
        <v>126</v>
      </c>
      <c r="U7" s="67">
        <f>O11</f>
        <v>29588.707519082334</v>
      </c>
      <c r="V7" s="48"/>
      <c r="W7" s="65" t="s">
        <v>127</v>
      </c>
      <c r="X7" s="68">
        <f>R13</f>
        <v>79661.66933541809</v>
      </c>
    </row>
    <row r="8" spans="1:24" ht="15.75">
      <c r="H8" s="36" t="s">
        <v>101</v>
      </c>
      <c r="I8" s="60">
        <f>ONSV_AUX_2018!V30</f>
        <v>713</v>
      </c>
      <c r="J8" s="9"/>
      <c r="K8" s="27"/>
      <c r="L8" s="62"/>
      <c r="M8" s="20"/>
      <c r="N8" s="28" t="s">
        <v>128</v>
      </c>
      <c r="O8" s="69">
        <f>J14/O7</f>
        <v>0.98647356675072917</v>
      </c>
      <c r="P8" s="64"/>
      <c r="Q8" s="70" t="s">
        <v>129</v>
      </c>
      <c r="R8" s="63">
        <f>J17/R7</f>
        <v>0.66763599546307983</v>
      </c>
      <c r="S8" s="71"/>
      <c r="T8" s="65" t="s">
        <v>130</v>
      </c>
      <c r="U8" s="67">
        <f>I23-J23</f>
        <v>8.1655136904882966</v>
      </c>
      <c r="V8" s="48"/>
      <c r="W8" s="65" t="s">
        <v>131</v>
      </c>
      <c r="X8" s="68">
        <f>I18-J18</f>
        <v>36.337068370892666</v>
      </c>
    </row>
    <row r="9" spans="1:24" ht="15.75">
      <c r="H9" s="36" t="s">
        <v>16</v>
      </c>
      <c r="I9" s="60">
        <f>ONSV_AUX_2018!V31</f>
        <v>68441</v>
      </c>
      <c r="J9" s="9"/>
      <c r="K9" s="2" t="s">
        <v>132</v>
      </c>
      <c r="L9" s="63">
        <f>I14/L7</f>
        <v>0.8352108745679041</v>
      </c>
      <c r="M9" s="20"/>
      <c r="N9" s="28" t="s">
        <v>133</v>
      </c>
      <c r="O9" s="69">
        <f>J23/O7</f>
        <v>1.3526433249270886E-2</v>
      </c>
      <c r="P9" s="64"/>
      <c r="Q9" s="70" t="s">
        <v>134</v>
      </c>
      <c r="R9" s="63">
        <f>J18/R7</f>
        <v>0.33236400453692011</v>
      </c>
      <c r="S9" s="71"/>
      <c r="T9" s="65" t="s">
        <v>135</v>
      </c>
      <c r="U9" s="72">
        <f>O13</f>
        <v>28679.126967227177</v>
      </c>
      <c r="V9" s="73"/>
      <c r="W9" s="65" t="s">
        <v>136</v>
      </c>
      <c r="X9" s="72">
        <f>R16</f>
        <v>179633.99359621102</v>
      </c>
    </row>
    <row r="10" spans="1:24" ht="15.75">
      <c r="H10" s="36" t="s">
        <v>94</v>
      </c>
      <c r="I10" s="60">
        <f>ONSV_AUX_2018!V32</f>
        <v>3624742</v>
      </c>
      <c r="J10" s="10"/>
      <c r="K10" s="2" t="s">
        <v>2</v>
      </c>
      <c r="L10" s="63">
        <f>I17/L7</f>
        <v>0.10237316181166811</v>
      </c>
      <c r="M10" s="20"/>
      <c r="N10" s="20"/>
      <c r="O10" s="74"/>
      <c r="P10" s="48"/>
      <c r="Q10" s="48"/>
      <c r="R10" s="48"/>
      <c r="S10" s="48"/>
      <c r="T10" s="48"/>
      <c r="U10" s="62"/>
      <c r="V10" s="75"/>
      <c r="W10" s="48"/>
      <c r="X10" s="62"/>
    </row>
    <row r="11" spans="1:24" ht="15.75">
      <c r="K11" s="2" t="s">
        <v>3</v>
      </c>
      <c r="L11" s="63">
        <f>I18/L7</f>
        <v>5.09636302536862E-2</v>
      </c>
      <c r="M11" s="20"/>
      <c r="N11" s="28" t="s">
        <v>137</v>
      </c>
      <c r="O11" s="60">
        <f>IF(O9*I6&gt;J23,J23,O9*I6)</f>
        <v>29588.707519082334</v>
      </c>
      <c r="P11" s="76"/>
      <c r="Q11" s="65" t="s">
        <v>138</v>
      </c>
      <c r="R11" s="60">
        <f>I7-I15-I16-I19-I22</f>
        <v>239682</v>
      </c>
      <c r="S11" s="77"/>
      <c r="T11" s="65" t="s">
        <v>139</v>
      </c>
      <c r="U11" s="67">
        <f>O19</f>
        <v>2157884.2924809176</v>
      </c>
      <c r="V11" s="76"/>
      <c r="W11" s="65" t="s">
        <v>140</v>
      </c>
      <c r="X11" s="67">
        <f>I15</f>
        <v>228697</v>
      </c>
    </row>
    <row r="12" spans="1:24" ht="15.75">
      <c r="H12" s="24" t="s">
        <v>141</v>
      </c>
      <c r="K12" s="2" t="s">
        <v>0</v>
      </c>
      <c r="L12" s="63">
        <f>I23/L7</f>
        <v>1.145233336674154E-2</v>
      </c>
      <c r="O12" s="48"/>
      <c r="P12" s="76"/>
      <c r="Q12" s="65" t="s">
        <v>142</v>
      </c>
      <c r="R12" s="60">
        <f>R8*R11</f>
        <v>160020.33066458191</v>
      </c>
      <c r="S12" s="48"/>
      <c r="T12" s="65" t="s">
        <v>143</v>
      </c>
      <c r="U12" s="67">
        <f>O17</f>
        <v>196798</v>
      </c>
      <c r="V12" s="66"/>
      <c r="W12" s="65" t="s">
        <v>144</v>
      </c>
      <c r="X12" s="67">
        <f>I16</f>
        <v>57948</v>
      </c>
    </row>
    <row r="13" spans="1:24" ht="15.75">
      <c r="K13" s="11"/>
      <c r="L13" s="11"/>
      <c r="M13" s="11"/>
      <c r="N13" s="28" t="s">
        <v>145</v>
      </c>
      <c r="O13" s="60">
        <f>J23-O11</f>
        <v>28679.126967227177</v>
      </c>
      <c r="P13" s="76"/>
      <c r="Q13" s="65" t="s">
        <v>127</v>
      </c>
      <c r="R13" s="60">
        <f>R9*R11</f>
        <v>79661.66933541809</v>
      </c>
      <c r="S13" s="48"/>
      <c r="T13" s="65" t="s">
        <v>146</v>
      </c>
      <c r="U13" s="67">
        <f>O18</f>
        <v>68441</v>
      </c>
      <c r="V13" s="71"/>
      <c r="W13" s="48"/>
      <c r="X13" s="62"/>
    </row>
    <row r="14" spans="1:24" ht="15.75">
      <c r="H14" s="37" t="s">
        <v>103</v>
      </c>
      <c r="I14" s="60">
        <f>ONSV_AUX_2018!V56</f>
        <v>4250029</v>
      </c>
      <c r="J14" s="61">
        <f>I14-(L9*I8)</f>
        <v>4249433.4946464328</v>
      </c>
      <c r="K14" s="11"/>
      <c r="L14" s="11"/>
      <c r="M14" s="11"/>
      <c r="O14" s="76"/>
      <c r="P14" s="76"/>
      <c r="Q14" s="48"/>
      <c r="R14" s="78"/>
      <c r="S14" s="48"/>
      <c r="T14" s="65" t="s">
        <v>147</v>
      </c>
      <c r="U14" s="68">
        <f>I14-J14</f>
        <v>595.50535356719047</v>
      </c>
      <c r="V14" s="71"/>
      <c r="W14" s="65" t="s">
        <v>148</v>
      </c>
      <c r="X14" s="67">
        <f>I22</f>
        <v>40871</v>
      </c>
    </row>
    <row r="15" spans="1:24" ht="15.75">
      <c r="H15" s="37" t="s">
        <v>104</v>
      </c>
      <c r="I15" s="60">
        <f>ONSV_AUX_2018!V57</f>
        <v>228697</v>
      </c>
      <c r="J15" s="10">
        <f>I15</f>
        <v>228697</v>
      </c>
      <c r="K15" s="11"/>
      <c r="L15" s="11"/>
      <c r="M15" s="11"/>
      <c r="N15" s="26" t="s">
        <v>149</v>
      </c>
      <c r="O15" s="76"/>
      <c r="P15" s="76"/>
      <c r="Q15" s="65" t="s">
        <v>150</v>
      </c>
      <c r="R15" s="60">
        <f>J17-R12</f>
        <v>360839.67727104638</v>
      </c>
      <c r="S15" s="48"/>
      <c r="T15" s="65" t="s">
        <v>151</v>
      </c>
      <c r="U15" s="72">
        <f>O20</f>
        <v>1826310.2021655152</v>
      </c>
      <c r="V15" s="48"/>
      <c r="W15" s="65" t="s">
        <v>152</v>
      </c>
      <c r="X15" s="67">
        <f>I19</f>
        <v>20966</v>
      </c>
    </row>
    <row r="16" spans="1:24" ht="15.75">
      <c r="H16" s="37" t="s">
        <v>105</v>
      </c>
      <c r="I16" s="60">
        <f>ONSV_AUX_2018!V58</f>
        <v>57948</v>
      </c>
      <c r="J16" s="10">
        <f>I16</f>
        <v>57948</v>
      </c>
      <c r="K16" s="11"/>
      <c r="L16" s="11"/>
      <c r="M16" s="11"/>
      <c r="O16" s="73"/>
      <c r="P16" s="76"/>
      <c r="Q16" s="65" t="s">
        <v>136</v>
      </c>
      <c r="R16" s="60">
        <f>J18-R13</f>
        <v>179633.99359621102</v>
      </c>
      <c r="S16" s="48"/>
      <c r="T16" s="48"/>
      <c r="U16" s="62"/>
      <c r="V16" s="77"/>
      <c r="W16" s="48"/>
      <c r="X16" s="62"/>
    </row>
    <row r="17" spans="1:24" ht="15.75">
      <c r="H17" s="37" t="s">
        <v>106</v>
      </c>
      <c r="I17" s="60">
        <f>ONSV_AUX_2018!V59</f>
        <v>520933</v>
      </c>
      <c r="J17" s="61">
        <f>I17-(L10*I8)</f>
        <v>520860.00793562829</v>
      </c>
      <c r="K17" s="11"/>
      <c r="L17" s="11"/>
      <c r="M17" s="11"/>
      <c r="N17" s="28" t="s">
        <v>143</v>
      </c>
      <c r="O17" s="60">
        <f>I5</f>
        <v>196798</v>
      </c>
      <c r="P17" s="76"/>
      <c r="Q17" s="48"/>
      <c r="R17" s="48"/>
      <c r="S17" s="77"/>
      <c r="T17" s="65" t="s">
        <v>142</v>
      </c>
      <c r="U17" s="68">
        <f>R12</f>
        <v>160020.33066458191</v>
      </c>
      <c r="V17" s="48"/>
      <c r="W17" s="65" t="s">
        <v>153</v>
      </c>
      <c r="X17" s="67">
        <f>I20</f>
        <v>1072461</v>
      </c>
    </row>
    <row r="18" spans="1:24" ht="15.75">
      <c r="H18" s="37" t="s">
        <v>107</v>
      </c>
      <c r="I18" s="60">
        <f>ONSV_AUX_2018!V60</f>
        <v>259332</v>
      </c>
      <c r="J18" s="61">
        <f>I18-(L11*I8)</f>
        <v>259295.66293162911</v>
      </c>
      <c r="K18" s="11"/>
      <c r="L18" s="11"/>
      <c r="M18" s="11"/>
      <c r="N18" s="28" t="s">
        <v>146</v>
      </c>
      <c r="O18" s="60">
        <f>I9</f>
        <v>68441</v>
      </c>
      <c r="P18" s="76"/>
      <c r="Q18" s="48"/>
      <c r="R18" s="48"/>
      <c r="S18" s="48"/>
      <c r="T18" s="65" t="s">
        <v>154</v>
      </c>
      <c r="U18" s="68">
        <f>I17-J17</f>
        <v>72.992064371705055</v>
      </c>
      <c r="V18" s="48"/>
      <c r="W18" s="65" t="s">
        <v>155</v>
      </c>
      <c r="X18" s="67">
        <f>I21</f>
        <v>187928</v>
      </c>
    </row>
    <row r="19" spans="1:24" ht="15.75">
      <c r="H19" s="37" t="s">
        <v>108</v>
      </c>
      <c r="I19" s="60">
        <f>ONSV_AUX_2018!V61</f>
        <v>20966</v>
      </c>
      <c r="J19" s="10">
        <f>I19</f>
        <v>20966</v>
      </c>
      <c r="K19" s="11"/>
      <c r="L19" s="11"/>
      <c r="M19" s="11"/>
      <c r="N19" s="28" t="s">
        <v>139</v>
      </c>
      <c r="O19" s="60">
        <f>IF(OR((O8*I6&gt;J14),((O17+O18+(O8*I6))&gt;J14)),(J14-O17-O18),(O8*I6))</f>
        <v>2157884.2924809176</v>
      </c>
      <c r="P19" s="76"/>
      <c r="Q19" s="48"/>
      <c r="R19" s="78"/>
      <c r="S19" s="48"/>
      <c r="T19" s="65" t="s">
        <v>150</v>
      </c>
      <c r="U19" s="72">
        <f>R15</f>
        <v>360839.67727104638</v>
      </c>
      <c r="V19" s="48"/>
      <c r="W19" s="48"/>
      <c r="X19" s="48"/>
    </row>
    <row r="20" spans="1:24" ht="15.75">
      <c r="H20" s="37" t="s">
        <v>109</v>
      </c>
      <c r="I20" s="60">
        <f>ONSV_AUX_2018!V62</f>
        <v>1072461</v>
      </c>
      <c r="J20" s="10">
        <f t="shared" ref="J20:J22" si="0">I20</f>
        <v>1072461</v>
      </c>
      <c r="K20" s="11"/>
      <c r="L20" s="11"/>
      <c r="M20" s="11"/>
      <c r="N20" s="28" t="s">
        <v>151</v>
      </c>
      <c r="O20" s="60">
        <f>IF((J14-O17-O19-O18)&lt;0,0,(J14-O17-O19-O18))</f>
        <v>1826310.2021655152</v>
      </c>
      <c r="P20" s="48"/>
      <c r="Q20" s="48"/>
      <c r="R20" s="48"/>
      <c r="S20" s="48"/>
      <c r="T20" s="48"/>
      <c r="U20" s="62"/>
      <c r="V20" s="48"/>
      <c r="W20" s="48"/>
      <c r="X20" s="48"/>
    </row>
    <row r="21" spans="1:24" ht="15.75">
      <c r="H21" s="37" t="s">
        <v>110</v>
      </c>
      <c r="I21" s="60">
        <f>ONSV_AUX_2018!V63</f>
        <v>187928</v>
      </c>
      <c r="J21" s="10">
        <f t="shared" si="0"/>
        <v>187928</v>
      </c>
      <c r="K21" s="11"/>
      <c r="L21" s="11"/>
      <c r="M21" s="11"/>
      <c r="O21" s="48"/>
      <c r="P21" s="76"/>
      <c r="Q21" s="48"/>
      <c r="R21" s="48"/>
      <c r="S21" s="48"/>
      <c r="T21" s="79" t="s">
        <v>156</v>
      </c>
      <c r="U21" s="80">
        <f>(SUM(U7:U19,X7:X18)/SUM(I14:I23))-1</f>
        <v>0</v>
      </c>
      <c r="V21" s="48"/>
      <c r="W21" s="79" t="s">
        <v>10</v>
      </c>
      <c r="X21" s="67">
        <f>SUM(U7:U19,X7:X18)</f>
        <v>6697441</v>
      </c>
    </row>
    <row r="22" spans="1:24" ht="15.75">
      <c r="H22" s="37" t="s">
        <v>111</v>
      </c>
      <c r="I22" s="60">
        <f>ONSV_AUX_2018!V64</f>
        <v>40871</v>
      </c>
      <c r="J22" s="10">
        <f t="shared" si="0"/>
        <v>40871</v>
      </c>
      <c r="K22" s="11"/>
      <c r="L22" s="11"/>
      <c r="M22" s="11"/>
      <c r="O22" s="48"/>
      <c r="P22" s="76"/>
      <c r="Q22" s="48"/>
      <c r="R22" s="48"/>
      <c r="S22" s="48"/>
      <c r="T22" s="48"/>
      <c r="U22" s="48"/>
      <c r="V22" s="48"/>
      <c r="W22" s="48"/>
      <c r="X22" s="48"/>
    </row>
    <row r="23" spans="1:24" ht="15.75">
      <c r="H23" s="37" t="s">
        <v>112</v>
      </c>
      <c r="I23" s="60">
        <f>ONSV_AUX_2018!V65</f>
        <v>58276</v>
      </c>
      <c r="J23" s="61">
        <f>I23-(L12*I8)</f>
        <v>58267.834486309512</v>
      </c>
      <c r="K23" s="12"/>
      <c r="L23" s="12"/>
      <c r="M23" s="12"/>
      <c r="N23" s="12"/>
      <c r="O23" s="12"/>
      <c r="P23" s="12"/>
      <c r="Q23" s="4"/>
      <c r="R23" s="4"/>
    </row>
    <row r="25" spans="1:24" s="34" customFormat="1" ht="15.75">
      <c r="A25" s="101" t="str">
        <f>"RIO GRANDE DO SUL/"&amp;ONSV_AUX_2017!A1&amp;""</f>
        <v>RIO GRANDE DO SUL/2017</v>
      </c>
      <c r="B25" s="102"/>
      <c r="C25" s="102"/>
      <c r="D25" s="102"/>
      <c r="E25" s="102"/>
      <c r="F25" s="102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 spans="1:24" ht="15.75">
      <c r="A26" s="3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>
      <c r="A27" s="12"/>
      <c r="H27" s="23" t="s">
        <v>118</v>
      </c>
      <c r="N27" s="26"/>
      <c r="O27" s="26"/>
      <c r="P27" s="9"/>
      <c r="Q27" s="26"/>
      <c r="R27" s="26"/>
      <c r="S27" s="26"/>
      <c r="T27" s="104"/>
      <c r="U27" s="104"/>
      <c r="V27" s="104"/>
      <c r="W27" s="104"/>
      <c r="X27" s="104"/>
    </row>
    <row r="28" spans="1:24" ht="15.75">
      <c r="B28" s="5"/>
      <c r="J28" s="9"/>
      <c r="M28" s="25"/>
    </row>
    <row r="29" spans="1:24" ht="15.75">
      <c r="H29" s="36" t="s">
        <v>81</v>
      </c>
      <c r="I29" s="60">
        <f>ONSV_AUX_2017!V27</f>
        <v>197088</v>
      </c>
      <c r="J29" s="9"/>
      <c r="K29" s="104" t="s">
        <v>119</v>
      </c>
      <c r="L29" s="104"/>
      <c r="M29" s="9"/>
      <c r="N29" s="26" t="s">
        <v>120</v>
      </c>
      <c r="O29" s="26"/>
      <c r="Q29" s="26" t="s">
        <v>121</v>
      </c>
      <c r="R29" s="26"/>
      <c r="S29" s="26"/>
      <c r="T29" s="25" t="s">
        <v>122</v>
      </c>
      <c r="U29" s="25"/>
      <c r="V29" s="25"/>
      <c r="W29" s="25"/>
      <c r="X29" s="25"/>
    </row>
    <row r="30" spans="1:24" ht="15.75">
      <c r="H30" s="36" t="s">
        <v>84</v>
      </c>
      <c r="I30" s="60">
        <f>ONSV_AUX_2017!V28</f>
        <v>2036709</v>
      </c>
      <c r="J30" s="9"/>
      <c r="K30" s="9"/>
      <c r="L30" s="9"/>
      <c r="M30" s="9"/>
      <c r="N30" s="9"/>
      <c r="O30" s="9"/>
      <c r="P30" s="20"/>
      <c r="Q30" s="11"/>
      <c r="R30" s="11"/>
      <c r="S30" s="11"/>
    </row>
    <row r="31" spans="1:24" ht="15.75">
      <c r="H31" s="36" t="s">
        <v>85</v>
      </c>
      <c r="I31" s="60">
        <f>ONSV_AUX_2017!V29</f>
        <v>564858</v>
      </c>
      <c r="J31" s="9"/>
      <c r="K31" s="2" t="s">
        <v>123</v>
      </c>
      <c r="L31" s="60">
        <f>I38+I41+I42+I47</f>
        <v>4916518</v>
      </c>
      <c r="N31" s="28" t="s">
        <v>124</v>
      </c>
      <c r="O31" s="60">
        <f>J38+J47</f>
        <v>4179673.8081333172</v>
      </c>
      <c r="P31" s="64"/>
      <c r="Q31" s="65" t="s">
        <v>125</v>
      </c>
      <c r="R31" s="60">
        <f>J41+J42</f>
        <v>736398.19186668284</v>
      </c>
      <c r="S31" s="66"/>
      <c r="T31" s="65" t="s">
        <v>126</v>
      </c>
      <c r="U31" s="67">
        <f>O35</f>
        <v>25086.284689213269</v>
      </c>
      <c r="V31" s="48"/>
      <c r="W31" s="65" t="s">
        <v>127</v>
      </c>
      <c r="X31" s="68">
        <f>R37</f>
        <v>73239.615631428518</v>
      </c>
    </row>
    <row r="32" spans="1:24" ht="15.75">
      <c r="H32" s="36" t="s">
        <v>101</v>
      </c>
      <c r="I32" s="60">
        <f>ONSV_AUX_2017!V30</f>
        <v>446</v>
      </c>
      <c r="J32" s="9"/>
      <c r="K32" s="27"/>
      <c r="L32" s="62"/>
      <c r="M32" s="20"/>
      <c r="N32" s="28" t="s">
        <v>128</v>
      </c>
      <c r="O32" s="69">
        <f>J38/O31</f>
        <v>0.98768293129297646</v>
      </c>
      <c r="P32" s="64"/>
      <c r="Q32" s="70" t="s">
        <v>129</v>
      </c>
      <c r="R32" s="63">
        <f>J41/R31</f>
        <v>0.67162865852416609</v>
      </c>
      <c r="S32" s="71"/>
      <c r="T32" s="65" t="s">
        <v>130</v>
      </c>
      <c r="U32" s="67">
        <f>I47-J47</f>
        <v>4.6705322750785854</v>
      </c>
      <c r="V32" s="48"/>
      <c r="W32" s="65" t="s">
        <v>131</v>
      </c>
      <c r="X32" s="68">
        <f>I42-J42</f>
        <v>21.937876358832</v>
      </c>
    </row>
    <row r="33" spans="8:24" ht="15.75">
      <c r="H33" s="36" t="s">
        <v>16</v>
      </c>
      <c r="I33" s="60">
        <f>ONSV_AUX_2017!V31</f>
        <v>63615</v>
      </c>
      <c r="J33" s="9"/>
      <c r="K33" s="2" t="s">
        <v>132</v>
      </c>
      <c r="L33" s="63">
        <f>I38/L31</f>
        <v>0.83973393364979032</v>
      </c>
      <c r="M33" s="20"/>
      <c r="N33" s="28" t="s">
        <v>133</v>
      </c>
      <c r="O33" s="69">
        <f>J47/O31</f>
        <v>1.231706870702357E-2</v>
      </c>
      <c r="P33" s="64"/>
      <c r="Q33" s="70" t="s">
        <v>134</v>
      </c>
      <c r="R33" s="63">
        <f>J42/R31</f>
        <v>0.32837134147583391</v>
      </c>
      <c r="S33" s="71"/>
      <c r="T33" s="65" t="s">
        <v>135</v>
      </c>
      <c r="U33" s="72">
        <f>O37</f>
        <v>26395.044778511652</v>
      </c>
      <c r="V33" s="73"/>
      <c r="W33" s="65" t="s">
        <v>136</v>
      </c>
      <c r="X33" s="72">
        <f>R40</f>
        <v>168572.44649221265</v>
      </c>
    </row>
    <row r="34" spans="8:24" ht="15.75">
      <c r="H34" s="36" t="s">
        <v>94</v>
      </c>
      <c r="I34" s="60">
        <f>ONSV_AUX_2017!V32</f>
        <v>3599828</v>
      </c>
      <c r="J34" s="10"/>
      <c r="K34" s="2" t="s">
        <v>2</v>
      </c>
      <c r="L34" s="63">
        <f>I41/L31</f>
        <v>0.10060595730555649</v>
      </c>
      <c r="M34" s="20"/>
      <c r="N34" s="20"/>
      <c r="O34" s="74"/>
      <c r="P34" s="48"/>
      <c r="Q34" s="48"/>
      <c r="R34" s="48"/>
      <c r="S34" s="48"/>
      <c r="T34" s="48"/>
      <c r="U34" s="62"/>
      <c r="V34" s="75"/>
      <c r="W34" s="48"/>
      <c r="X34" s="62"/>
    </row>
    <row r="35" spans="8:24" ht="15.75">
      <c r="K35" s="2" t="s">
        <v>3</v>
      </c>
      <c r="L35" s="63">
        <f>I42/L31</f>
        <v>4.9188063584837891E-2</v>
      </c>
      <c r="M35" s="20"/>
      <c r="N35" s="28" t="s">
        <v>137</v>
      </c>
      <c r="O35" s="60">
        <f>IF(O33*I30&gt;J47,J47,O33*I30)</f>
        <v>25086.284689213269</v>
      </c>
      <c r="P35" s="76"/>
      <c r="Q35" s="65" t="s">
        <v>138</v>
      </c>
      <c r="R35" s="60">
        <f>I31-I39-I40-I43-I46</f>
        <v>223039</v>
      </c>
      <c r="S35" s="77"/>
      <c r="T35" s="65" t="s">
        <v>139</v>
      </c>
      <c r="U35" s="67">
        <f>O43</f>
        <v>2011622.7153107869</v>
      </c>
      <c r="V35" s="76"/>
      <c r="W35" s="65" t="s">
        <v>140</v>
      </c>
      <c r="X35" s="67">
        <f>I39</f>
        <v>224808</v>
      </c>
    </row>
    <row r="36" spans="8:24" ht="15.75">
      <c r="H36" s="24" t="s">
        <v>141</v>
      </c>
      <c r="K36" s="2" t="s">
        <v>0</v>
      </c>
      <c r="L36" s="63">
        <f>I47/L31</f>
        <v>1.047204545981526E-2</v>
      </c>
      <c r="O36" s="48"/>
      <c r="P36" s="76"/>
      <c r="Q36" s="65" t="s">
        <v>142</v>
      </c>
      <c r="R36" s="60">
        <f>R32*R35</f>
        <v>149799.38436857148</v>
      </c>
      <c r="S36" s="48"/>
      <c r="T36" s="65" t="s">
        <v>143</v>
      </c>
      <c r="U36" s="67">
        <f>O41</f>
        <v>197088</v>
      </c>
      <c r="V36" s="66"/>
      <c r="W36" s="65" t="s">
        <v>144</v>
      </c>
      <c r="X36" s="67">
        <f>I40</f>
        <v>56158</v>
      </c>
    </row>
    <row r="37" spans="8:24" ht="15.75">
      <c r="K37" s="11"/>
      <c r="L37" s="11"/>
      <c r="M37" s="11"/>
      <c r="N37" s="28" t="s">
        <v>145</v>
      </c>
      <c r="O37" s="60">
        <f>J47-O35</f>
        <v>26395.044778511652</v>
      </c>
      <c r="P37" s="76"/>
      <c r="Q37" s="65" t="s">
        <v>127</v>
      </c>
      <c r="R37" s="60">
        <f>R33*R35</f>
        <v>73239.615631428518</v>
      </c>
      <c r="S37" s="48"/>
      <c r="T37" s="65" t="s">
        <v>146</v>
      </c>
      <c r="U37" s="67">
        <f>O42</f>
        <v>63615</v>
      </c>
      <c r="V37" s="71"/>
      <c r="W37" s="48"/>
      <c r="X37" s="62"/>
    </row>
    <row r="38" spans="8:24" ht="15.75">
      <c r="H38" s="37" t="s">
        <v>103</v>
      </c>
      <c r="I38" s="60">
        <f>ONSV_AUX_2017!V56</f>
        <v>4128567</v>
      </c>
      <c r="J38" s="61">
        <f>I38-(L33*I32)</f>
        <v>4128192.4786655921</v>
      </c>
      <c r="K38" s="11"/>
      <c r="L38" s="11"/>
      <c r="M38" s="11"/>
      <c r="O38" s="76"/>
      <c r="P38" s="76"/>
      <c r="Q38" s="48"/>
      <c r="R38" s="78"/>
      <c r="S38" s="48"/>
      <c r="T38" s="65" t="s">
        <v>147</v>
      </c>
      <c r="U38" s="68">
        <f>I38-J38</f>
        <v>374.5213344078511</v>
      </c>
      <c r="V38" s="71"/>
      <c r="W38" s="65" t="s">
        <v>148</v>
      </c>
      <c r="X38" s="67">
        <f>I46</f>
        <v>40253</v>
      </c>
    </row>
    <row r="39" spans="8:24" ht="15.75">
      <c r="H39" s="37" t="s">
        <v>104</v>
      </c>
      <c r="I39" s="60">
        <f>ONSV_AUX_2017!V57</f>
        <v>224808</v>
      </c>
      <c r="J39" s="10">
        <f>I39</f>
        <v>224808</v>
      </c>
      <c r="K39" s="11"/>
      <c r="L39" s="11"/>
      <c r="M39" s="11"/>
      <c r="N39" s="26" t="s">
        <v>149</v>
      </c>
      <c r="O39" s="76"/>
      <c r="P39" s="76"/>
      <c r="Q39" s="65" t="s">
        <v>150</v>
      </c>
      <c r="R39" s="60">
        <f>J41-R36</f>
        <v>344786.74537447025</v>
      </c>
      <c r="S39" s="48"/>
      <c r="T39" s="65" t="s">
        <v>151</v>
      </c>
      <c r="U39" s="72">
        <f>O44</f>
        <v>1855866.7633548053</v>
      </c>
      <c r="V39" s="48"/>
      <c r="W39" s="65" t="s">
        <v>152</v>
      </c>
      <c r="X39" s="67">
        <f>I43</f>
        <v>20600</v>
      </c>
    </row>
    <row r="40" spans="8:24" ht="15.75">
      <c r="H40" s="37" t="s">
        <v>105</v>
      </c>
      <c r="I40" s="60">
        <f>ONSV_AUX_2017!V58</f>
        <v>56158</v>
      </c>
      <c r="J40" s="10">
        <f>I40</f>
        <v>56158</v>
      </c>
      <c r="K40" s="11"/>
      <c r="L40" s="11"/>
      <c r="M40" s="11"/>
      <c r="O40" s="73"/>
      <c r="P40" s="76"/>
      <c r="Q40" s="65" t="s">
        <v>136</v>
      </c>
      <c r="R40" s="60">
        <f>J42-R37</f>
        <v>168572.44649221265</v>
      </c>
      <c r="S40" s="48"/>
      <c r="T40" s="48"/>
      <c r="U40" s="62"/>
      <c r="V40" s="77"/>
      <c r="W40" s="48"/>
      <c r="X40" s="62"/>
    </row>
    <row r="41" spans="8:24" ht="15.75">
      <c r="H41" s="37" t="s">
        <v>106</v>
      </c>
      <c r="I41" s="60">
        <f>ONSV_AUX_2017!V59</f>
        <v>494631</v>
      </c>
      <c r="J41" s="61">
        <f>I41-(L34*I32)</f>
        <v>494586.1297430417</v>
      </c>
      <c r="K41" s="11"/>
      <c r="L41" s="11"/>
      <c r="M41" s="11"/>
      <c r="N41" s="28" t="s">
        <v>143</v>
      </c>
      <c r="O41" s="60">
        <f>I29</f>
        <v>197088</v>
      </c>
      <c r="P41" s="76"/>
      <c r="Q41" s="48"/>
      <c r="R41" s="48"/>
      <c r="S41" s="77"/>
      <c r="T41" s="65" t="s">
        <v>142</v>
      </c>
      <c r="U41" s="68">
        <f>R36</f>
        <v>149799.38436857148</v>
      </c>
      <c r="V41" s="48"/>
      <c r="W41" s="65" t="s">
        <v>153</v>
      </c>
      <c r="X41" s="67">
        <f>I44</f>
        <v>1050905</v>
      </c>
    </row>
    <row r="42" spans="8:24" ht="15.75">
      <c r="H42" s="37" t="s">
        <v>107</v>
      </c>
      <c r="I42" s="60">
        <f>ONSV_AUX_2017!V60</f>
        <v>241834</v>
      </c>
      <c r="J42" s="61">
        <f>I42-(L35*I32)</f>
        <v>241812.06212364117</v>
      </c>
      <c r="K42" s="11"/>
      <c r="L42" s="11"/>
      <c r="M42" s="11"/>
      <c r="N42" s="28" t="s">
        <v>146</v>
      </c>
      <c r="O42" s="60">
        <f>I33</f>
        <v>63615</v>
      </c>
      <c r="P42" s="76"/>
      <c r="Q42" s="48"/>
      <c r="R42" s="48"/>
      <c r="S42" s="48"/>
      <c r="T42" s="65" t="s">
        <v>154</v>
      </c>
      <c r="U42" s="68">
        <f>I41-J41</f>
        <v>44.870256958296522</v>
      </c>
      <c r="V42" s="48"/>
      <c r="W42" s="65" t="s">
        <v>155</v>
      </c>
      <c r="X42" s="67">
        <f>I45</f>
        <v>183346</v>
      </c>
    </row>
    <row r="43" spans="8:24" ht="15.75">
      <c r="H43" s="37" t="s">
        <v>108</v>
      </c>
      <c r="I43" s="60">
        <f>ONSV_AUX_2017!V61</f>
        <v>20600</v>
      </c>
      <c r="J43" s="10">
        <f>I43</f>
        <v>20600</v>
      </c>
      <c r="K43" s="11"/>
      <c r="L43" s="11"/>
      <c r="M43" s="11"/>
      <c r="N43" s="28" t="s">
        <v>139</v>
      </c>
      <c r="O43" s="60">
        <f>IF(OR((O32*I30&gt;J38),((O41+O42+(O32*I30))&gt;J38)),(J38-O41-O42),(O32*I30))</f>
        <v>2011622.7153107869</v>
      </c>
      <c r="P43" s="76"/>
      <c r="Q43" s="48"/>
      <c r="R43" s="78"/>
      <c r="S43" s="48"/>
      <c r="T43" s="65" t="s">
        <v>150</v>
      </c>
      <c r="U43" s="72">
        <f>R39</f>
        <v>344786.74537447025</v>
      </c>
      <c r="V43" s="48"/>
      <c r="W43" s="48"/>
      <c r="X43" s="48"/>
    </row>
    <row r="44" spans="8:24" ht="15.75">
      <c r="H44" s="37" t="s">
        <v>109</v>
      </c>
      <c r="I44" s="60">
        <f>ONSV_AUX_2017!V62</f>
        <v>1050905</v>
      </c>
      <c r="J44" s="10">
        <f>I44</f>
        <v>1050905</v>
      </c>
      <c r="K44" s="11"/>
      <c r="L44" s="11"/>
      <c r="M44" s="11"/>
      <c r="N44" s="28" t="s">
        <v>151</v>
      </c>
      <c r="O44" s="60">
        <f>IF((J38-O41-O43-O42)&lt;0,0,(J38-O41-O43-O42))</f>
        <v>1855866.7633548053</v>
      </c>
      <c r="P44" s="48"/>
      <c r="Q44" s="48"/>
      <c r="R44" s="48"/>
      <c r="S44" s="48"/>
      <c r="T44" s="48"/>
      <c r="U44" s="62"/>
      <c r="V44" s="48"/>
      <c r="W44" s="48"/>
      <c r="X44" s="48"/>
    </row>
    <row r="45" spans="8:24" ht="15.75">
      <c r="H45" s="37" t="s">
        <v>110</v>
      </c>
      <c r="I45" s="60">
        <f>ONSV_AUX_2017!V63</f>
        <v>183346</v>
      </c>
      <c r="J45" s="10">
        <f>I45</f>
        <v>183346</v>
      </c>
      <c r="K45" s="11"/>
      <c r="L45" s="11"/>
      <c r="M45" s="11"/>
      <c r="O45" s="48"/>
      <c r="P45" s="76"/>
      <c r="Q45" s="48"/>
      <c r="R45" s="48"/>
      <c r="S45" s="48"/>
      <c r="T45" s="79" t="s">
        <v>156</v>
      </c>
      <c r="U45" s="80">
        <f>(SUM(U31:U43,X31:X42)/SUM(I38:I47))-1</f>
        <v>0</v>
      </c>
      <c r="V45" s="48"/>
      <c r="W45" s="79" t="s">
        <v>10</v>
      </c>
      <c r="X45" s="67">
        <f>SUM(U31:U43,X31:X42)</f>
        <v>6492588</v>
      </c>
    </row>
    <row r="46" spans="8:24" ht="15.75">
      <c r="H46" s="37" t="s">
        <v>111</v>
      </c>
      <c r="I46" s="60">
        <f>ONSV_AUX_2017!V64</f>
        <v>40253</v>
      </c>
      <c r="J46" s="10">
        <f>I46</f>
        <v>40253</v>
      </c>
      <c r="K46" s="11"/>
      <c r="L46" s="11"/>
      <c r="M46" s="11"/>
      <c r="O46" s="48"/>
      <c r="P46" s="76"/>
      <c r="Q46" s="48"/>
      <c r="R46" s="48"/>
      <c r="S46" s="48"/>
      <c r="T46" s="48"/>
      <c r="U46" s="48"/>
      <c r="V46" s="48"/>
      <c r="W46" s="48"/>
      <c r="X46" s="48"/>
    </row>
    <row r="47" spans="8:24" ht="15.75">
      <c r="H47" s="37" t="s">
        <v>112</v>
      </c>
      <c r="I47" s="60">
        <f>ONSV_AUX_2017!V65</f>
        <v>51486</v>
      </c>
      <c r="J47" s="61">
        <f>I47-(L36*I32)</f>
        <v>51481.329467724921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39"/>
      <c r="I48" s="40"/>
      <c r="J48" s="40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4.25" customHeight="1">
      <c r="J49" s="11"/>
    </row>
    <row r="50" spans="1:24" s="34" customFormat="1" ht="15.75">
      <c r="A50" s="101" t="str">
        <f>"RIO GRANDE DO SUL/"&amp;ONSV_AUX_2016!A1&amp;""</f>
        <v>RIO GRANDE DO SUL/2016</v>
      </c>
      <c r="B50" s="102"/>
      <c r="C50" s="102"/>
      <c r="D50" s="102"/>
      <c r="E50" s="102"/>
      <c r="F50" s="102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</row>
    <row r="52" spans="1:24" ht="15.75">
      <c r="H52" s="23" t="s">
        <v>118</v>
      </c>
      <c r="N52" s="26"/>
      <c r="O52" s="26"/>
      <c r="P52" s="9"/>
      <c r="Q52" s="26"/>
      <c r="R52" s="26"/>
      <c r="S52" s="26"/>
      <c r="T52" s="104"/>
      <c r="U52" s="104"/>
      <c r="V52" s="104"/>
      <c r="W52" s="104"/>
      <c r="X52" s="104"/>
    </row>
    <row r="53" spans="1:24" ht="15.75">
      <c r="J53" s="9"/>
      <c r="M53" s="25"/>
      <c r="N53" s="9"/>
      <c r="O53" s="9"/>
      <c r="P53" s="9"/>
      <c r="Q53" s="11"/>
      <c r="R53" s="11"/>
      <c r="S53" s="11"/>
    </row>
    <row r="54" spans="1:24" ht="15.75">
      <c r="H54" s="36" t="s">
        <v>81</v>
      </c>
      <c r="I54" s="60">
        <f>ONSV_AUX_2016!V27</f>
        <v>197351</v>
      </c>
      <c r="J54" s="9"/>
      <c r="K54" s="104" t="s">
        <v>119</v>
      </c>
      <c r="L54" s="104"/>
      <c r="M54" s="9"/>
      <c r="N54" s="26" t="s">
        <v>120</v>
      </c>
      <c r="O54" s="26"/>
      <c r="Q54" s="26" t="s">
        <v>121</v>
      </c>
      <c r="R54" s="26"/>
      <c r="S54" s="26"/>
      <c r="T54" s="25" t="s">
        <v>122</v>
      </c>
      <c r="U54" s="25"/>
      <c r="V54" s="25"/>
      <c r="W54" s="25"/>
      <c r="X54" s="25"/>
    </row>
    <row r="55" spans="1:24" ht="15.75">
      <c r="H55" s="36" t="s">
        <v>84</v>
      </c>
      <c r="I55" s="60">
        <f>ONSV_AUX_2016!V28</f>
        <v>1902986</v>
      </c>
      <c r="J55" s="9"/>
      <c r="K55" s="9"/>
      <c r="L55" s="9"/>
      <c r="M55" s="9"/>
      <c r="N55" s="9"/>
      <c r="O55" s="9"/>
      <c r="P55" s="20"/>
      <c r="Q55" s="11"/>
      <c r="R55" s="11"/>
      <c r="S55" s="11"/>
    </row>
    <row r="56" spans="1:24" ht="15.75">
      <c r="H56" s="36" t="s">
        <v>85</v>
      </c>
      <c r="I56" s="60">
        <f>ONSV_AUX_2016!V29</f>
        <v>547134</v>
      </c>
      <c r="J56" s="9"/>
      <c r="K56" s="2" t="s">
        <v>123</v>
      </c>
      <c r="L56" s="60">
        <f>I63+I66+I67+I72</f>
        <v>4764144</v>
      </c>
      <c r="N56" s="28" t="s">
        <v>124</v>
      </c>
      <c r="O56" s="60">
        <f>J63+J72</f>
        <v>4063414.6939341044</v>
      </c>
      <c r="P56" s="64"/>
      <c r="Q56" s="65" t="s">
        <v>125</v>
      </c>
      <c r="R56" s="60">
        <f>J66+J67</f>
        <v>700391.30606589559</v>
      </c>
      <c r="S56" s="66"/>
      <c r="T56" s="65" t="s">
        <v>126</v>
      </c>
      <c r="U56" s="67">
        <f>O60</f>
        <v>21516.458693462588</v>
      </c>
      <c r="V56" s="48"/>
      <c r="W56" s="65" t="s">
        <v>127</v>
      </c>
      <c r="X56" s="68">
        <f>R62</f>
        <v>68640.288109919318</v>
      </c>
    </row>
    <row r="57" spans="1:24" ht="15.75">
      <c r="H57" s="36" t="s">
        <v>101</v>
      </c>
      <c r="I57" s="60">
        <f>ONSV_AUX_2016!V30</f>
        <v>338</v>
      </c>
      <c r="J57" s="9"/>
      <c r="K57" s="27"/>
      <c r="L57" s="62"/>
      <c r="M57" s="20"/>
      <c r="N57" s="28" t="s">
        <v>128</v>
      </c>
      <c r="O57" s="69">
        <f>J63/O56</f>
        <v>0.98869331740041044</v>
      </c>
      <c r="P57" s="64"/>
      <c r="Q57" s="70" t="s">
        <v>129</v>
      </c>
      <c r="R57" s="63">
        <f>J66/R56</f>
        <v>0.67395969110888709</v>
      </c>
      <c r="S57" s="71"/>
      <c r="T57" s="65" t="s">
        <v>130</v>
      </c>
      <c r="U57" s="67">
        <f>I72-J72</f>
        <v>3.2597851786194951</v>
      </c>
      <c r="V57" s="48"/>
      <c r="W57" s="65" t="s">
        <v>131</v>
      </c>
      <c r="X57" s="68">
        <f>I67-J67</f>
        <v>16.202225625427673</v>
      </c>
    </row>
    <row r="58" spans="1:24" ht="15.75">
      <c r="H58" s="36" t="s">
        <v>16</v>
      </c>
      <c r="I58" s="60">
        <f>ONSV_AUX_2016!V31</f>
        <v>62153</v>
      </c>
      <c r="J58" s="9"/>
      <c r="K58" s="2" t="s">
        <v>132</v>
      </c>
      <c r="L58" s="63">
        <f>I63/L56</f>
        <v>0.84333219147028304</v>
      </c>
      <c r="M58" s="20"/>
      <c r="N58" s="28" t="s">
        <v>133</v>
      </c>
      <c r="O58" s="69">
        <f>J72/O56</f>
        <v>1.1306682599589587E-2</v>
      </c>
      <c r="P58" s="64"/>
      <c r="Q58" s="70" t="s">
        <v>134</v>
      </c>
      <c r="R58" s="63">
        <f>J67/R56</f>
        <v>0.32604030889111285</v>
      </c>
      <c r="S58" s="71"/>
      <c r="T58" s="65" t="s">
        <v>135</v>
      </c>
      <c r="U58" s="72">
        <f>O62</f>
        <v>24427.281521358793</v>
      </c>
      <c r="V58" s="73"/>
      <c r="W58" s="65" t="s">
        <v>136</v>
      </c>
      <c r="X58" s="72">
        <f>R65</f>
        <v>159715.50966445525</v>
      </c>
    </row>
    <row r="59" spans="1:24" ht="15.75">
      <c r="H59" s="36" t="s">
        <v>94</v>
      </c>
      <c r="I59" s="60">
        <f>ONSV_AUX_2016!V32</f>
        <v>3574545</v>
      </c>
      <c r="J59" s="10"/>
      <c r="K59" s="2" t="s">
        <v>2</v>
      </c>
      <c r="L59" s="63">
        <f>I66/L56</f>
        <v>9.9087894908298321E-2</v>
      </c>
      <c r="M59" s="20"/>
      <c r="N59" s="20"/>
      <c r="O59" s="74"/>
      <c r="P59" s="48"/>
      <c r="Q59" s="48"/>
      <c r="R59" s="48"/>
      <c r="S59" s="48"/>
      <c r="T59" s="48"/>
      <c r="U59" s="62"/>
      <c r="V59" s="75"/>
      <c r="W59" s="48"/>
      <c r="X59" s="62"/>
    </row>
    <row r="60" spans="1:24" ht="15.75">
      <c r="K60" s="2" t="s">
        <v>3</v>
      </c>
      <c r="L60" s="63">
        <f>I67/L56</f>
        <v>4.7935578773437577E-2</v>
      </c>
      <c r="M60" s="20"/>
      <c r="N60" s="28" t="s">
        <v>137</v>
      </c>
      <c r="O60" s="60">
        <f>IF(O58*I55&gt;J72,J72,O58*I55)</f>
        <v>21516.458693462588</v>
      </c>
      <c r="P60" s="76"/>
      <c r="Q60" s="65" t="s">
        <v>138</v>
      </c>
      <c r="R60" s="60">
        <f>I56-I64-I65-I68-I71</f>
        <v>210527</v>
      </c>
      <c r="S60" s="77"/>
      <c r="T60" s="65" t="s">
        <v>139</v>
      </c>
      <c r="U60" s="67">
        <f>O68</f>
        <v>1881469.5413065376</v>
      </c>
      <c r="V60" s="76"/>
      <c r="W60" s="65" t="s">
        <v>140</v>
      </c>
      <c r="X60" s="67">
        <f>I64</f>
        <v>221265</v>
      </c>
    </row>
    <row r="61" spans="1:24" ht="15.75">
      <c r="H61" s="24" t="s">
        <v>141</v>
      </c>
      <c r="K61" s="2" t="s">
        <v>0</v>
      </c>
      <c r="L61" s="63">
        <f>I72/L56</f>
        <v>9.6443348479810856E-3</v>
      </c>
      <c r="O61" s="48"/>
      <c r="P61" s="76"/>
      <c r="Q61" s="65" t="s">
        <v>142</v>
      </c>
      <c r="R61" s="60">
        <f>R57*R60</f>
        <v>141886.71189008068</v>
      </c>
      <c r="S61" s="48"/>
      <c r="T61" s="65" t="s">
        <v>143</v>
      </c>
      <c r="U61" s="67">
        <f>O66</f>
        <v>197351</v>
      </c>
      <c r="V61" s="66"/>
      <c r="W61" s="65" t="s">
        <v>144</v>
      </c>
      <c r="X61" s="67">
        <f>I65</f>
        <v>55214</v>
      </c>
    </row>
    <row r="62" spans="1:24" ht="15.75">
      <c r="K62" s="11"/>
      <c r="L62" s="11"/>
      <c r="M62" s="11"/>
      <c r="N62" s="28" t="s">
        <v>145</v>
      </c>
      <c r="O62" s="60">
        <f>J72-O60</f>
        <v>24427.281521358793</v>
      </c>
      <c r="P62" s="76"/>
      <c r="Q62" s="65" t="s">
        <v>127</v>
      </c>
      <c r="R62" s="60">
        <f>R58*R60</f>
        <v>68640.288109919318</v>
      </c>
      <c r="S62" s="48"/>
      <c r="T62" s="65" t="s">
        <v>146</v>
      </c>
      <c r="U62" s="67">
        <f>O67</f>
        <v>62153</v>
      </c>
      <c r="V62" s="71"/>
      <c r="W62" s="48"/>
      <c r="X62" s="62"/>
    </row>
    <row r="63" spans="1:24" ht="15.75">
      <c r="H63" s="37" t="s">
        <v>103</v>
      </c>
      <c r="I63" s="60">
        <f>ONSV_AUX_2016!V56</f>
        <v>4017756</v>
      </c>
      <c r="J63" s="61">
        <f>I63-(L58*I57)</f>
        <v>4017470.953719283</v>
      </c>
      <c r="K63" s="11"/>
      <c r="L63" s="11"/>
      <c r="M63" s="11"/>
      <c r="O63" s="76"/>
      <c r="P63" s="76"/>
      <c r="Q63" s="48"/>
      <c r="R63" s="78"/>
      <c r="S63" s="48"/>
      <c r="T63" s="65" t="s">
        <v>147</v>
      </c>
      <c r="U63" s="68">
        <f>I63-J63</f>
        <v>285.04628071701154</v>
      </c>
      <c r="V63" s="71"/>
      <c r="W63" s="65" t="s">
        <v>148</v>
      </c>
      <c r="X63" s="67">
        <f>I71</f>
        <v>39896</v>
      </c>
    </row>
    <row r="64" spans="1:24" ht="15.75">
      <c r="H64" s="37" t="s">
        <v>104</v>
      </c>
      <c r="I64" s="60">
        <f>ONSV_AUX_2016!V57</f>
        <v>221265</v>
      </c>
      <c r="J64" s="10">
        <f>I64</f>
        <v>221265</v>
      </c>
      <c r="K64" s="11"/>
      <c r="L64" s="11"/>
      <c r="M64" s="11"/>
      <c r="N64" s="26" t="s">
        <v>149</v>
      </c>
      <c r="O64" s="76"/>
      <c r="P64" s="76"/>
      <c r="Q64" s="65" t="s">
        <v>150</v>
      </c>
      <c r="R64" s="60">
        <f>J66-R61</f>
        <v>330148.79640144028</v>
      </c>
      <c r="S64" s="48"/>
      <c r="T64" s="65" t="s">
        <v>151</v>
      </c>
      <c r="U64" s="72">
        <f>O69</f>
        <v>1876497.4124127454</v>
      </c>
      <c r="V64" s="48"/>
      <c r="W64" s="65" t="s">
        <v>152</v>
      </c>
      <c r="X64" s="67">
        <f>I68</f>
        <v>20232</v>
      </c>
    </row>
    <row r="65" spans="1:24" ht="15.75">
      <c r="H65" s="37" t="s">
        <v>105</v>
      </c>
      <c r="I65" s="60">
        <f>ONSV_AUX_2016!V58</f>
        <v>55214</v>
      </c>
      <c r="J65" s="10">
        <f>I65</f>
        <v>55214</v>
      </c>
      <c r="K65" s="11"/>
      <c r="L65" s="11"/>
      <c r="M65" s="11"/>
      <c r="O65" s="73"/>
      <c r="P65" s="76"/>
      <c r="Q65" s="65" t="s">
        <v>136</v>
      </c>
      <c r="R65" s="60">
        <f>J67-R62</f>
        <v>159715.50966445525</v>
      </c>
      <c r="S65" s="48"/>
      <c r="T65" s="48"/>
      <c r="U65" s="62"/>
      <c r="V65" s="77"/>
      <c r="W65" s="48"/>
      <c r="X65" s="62"/>
    </row>
    <row r="66" spans="1:24" ht="15.75">
      <c r="H66" s="37" t="s">
        <v>106</v>
      </c>
      <c r="I66" s="60">
        <f>ONSV_AUX_2016!V59</f>
        <v>472069</v>
      </c>
      <c r="J66" s="61">
        <f>I66-(L59*I57)</f>
        <v>472035.50829152099</v>
      </c>
      <c r="K66" s="11"/>
      <c r="L66" s="11"/>
      <c r="M66" s="11"/>
      <c r="N66" s="28" t="s">
        <v>143</v>
      </c>
      <c r="O66" s="60">
        <f>I54</f>
        <v>197351</v>
      </c>
      <c r="P66" s="76"/>
      <c r="Q66" s="48"/>
      <c r="R66" s="48"/>
      <c r="S66" s="77"/>
      <c r="T66" s="65" t="s">
        <v>142</v>
      </c>
      <c r="U66" s="68">
        <f>R61</f>
        <v>141886.71189008068</v>
      </c>
      <c r="V66" s="48"/>
      <c r="W66" s="65" t="s">
        <v>153</v>
      </c>
      <c r="X66" s="67">
        <f>I69</f>
        <v>1031449</v>
      </c>
    </row>
    <row r="67" spans="1:24" ht="15.75">
      <c r="H67" s="37" t="s">
        <v>107</v>
      </c>
      <c r="I67" s="60">
        <f>ONSV_AUX_2016!V60</f>
        <v>228372</v>
      </c>
      <c r="J67" s="61">
        <f>I67-(L60*I57)</f>
        <v>228355.79777437457</v>
      </c>
      <c r="K67" s="11"/>
      <c r="L67" s="11"/>
      <c r="M67" s="11"/>
      <c r="N67" s="28" t="s">
        <v>146</v>
      </c>
      <c r="O67" s="60">
        <f>I58</f>
        <v>62153</v>
      </c>
      <c r="P67" s="76"/>
      <c r="Q67" s="48"/>
      <c r="R67" s="48"/>
      <c r="S67" s="48"/>
      <c r="T67" s="65" t="s">
        <v>154</v>
      </c>
      <c r="U67" s="68">
        <f>I66-J66</f>
        <v>33.491708479006775</v>
      </c>
      <c r="V67" s="48"/>
      <c r="W67" s="65" t="s">
        <v>155</v>
      </c>
      <c r="X67" s="67">
        <f>I70</f>
        <v>179608</v>
      </c>
    </row>
    <row r="68" spans="1:24" ht="15.75">
      <c r="H68" s="37" t="s">
        <v>108</v>
      </c>
      <c r="I68" s="60">
        <f>ONSV_AUX_2016!V61</f>
        <v>20232</v>
      </c>
      <c r="J68" s="10">
        <f>I68</f>
        <v>20232</v>
      </c>
      <c r="K68" s="11"/>
      <c r="L68" s="11"/>
      <c r="M68" s="11"/>
      <c r="N68" s="28" t="s">
        <v>139</v>
      </c>
      <c r="O68" s="60">
        <f>IF(OR((O57*I55&gt;J63),((O66+O67+(O57*I55))&gt;J63)),(J63-O66-O67),(O57*I55))</f>
        <v>1881469.5413065376</v>
      </c>
      <c r="P68" s="76"/>
      <c r="Q68" s="48"/>
      <c r="R68" s="78"/>
      <c r="S68" s="48"/>
      <c r="T68" s="65" t="s">
        <v>150</v>
      </c>
      <c r="U68" s="72">
        <f>R64</f>
        <v>330148.79640144028</v>
      </c>
      <c r="V68" s="48"/>
      <c r="W68" s="48"/>
      <c r="X68" s="48"/>
    </row>
    <row r="69" spans="1:24" ht="15.75">
      <c r="H69" s="37" t="s">
        <v>109</v>
      </c>
      <c r="I69" s="60">
        <f>ONSV_AUX_2016!V62</f>
        <v>1031449</v>
      </c>
      <c r="J69" s="10">
        <f>I69</f>
        <v>1031449</v>
      </c>
      <c r="K69" s="11"/>
      <c r="L69" s="11"/>
      <c r="M69" s="11"/>
      <c r="N69" s="28" t="s">
        <v>151</v>
      </c>
      <c r="O69" s="60">
        <f>IF((J63-O66-O68-O67)&lt;0,0,(J63-O66-O68-O67))</f>
        <v>1876497.4124127454</v>
      </c>
      <c r="P69" s="48"/>
      <c r="Q69" s="48"/>
      <c r="R69" s="48"/>
      <c r="S69" s="48"/>
      <c r="T69" s="48"/>
      <c r="U69" s="62"/>
      <c r="V69" s="48"/>
      <c r="W69" s="48"/>
      <c r="X69" s="48"/>
    </row>
    <row r="70" spans="1:24" ht="15.75">
      <c r="H70" s="37" t="s">
        <v>110</v>
      </c>
      <c r="I70" s="60">
        <f>ONSV_AUX_2016!V63</f>
        <v>179608</v>
      </c>
      <c r="J70" s="10">
        <f>I70</f>
        <v>179608</v>
      </c>
      <c r="K70" s="11"/>
      <c r="L70" s="11"/>
      <c r="M70" s="11"/>
      <c r="O70" s="48"/>
      <c r="P70" s="76"/>
      <c r="Q70" s="48"/>
      <c r="R70" s="48"/>
      <c r="S70" s="48"/>
      <c r="T70" s="79" t="s">
        <v>156</v>
      </c>
      <c r="U70" s="80">
        <f>(SUM(U56:U68,X56:X67)/SUM(I63:I72))-1</f>
        <v>0</v>
      </c>
      <c r="V70" s="48"/>
      <c r="W70" s="79" t="s">
        <v>10</v>
      </c>
      <c r="X70" s="67">
        <f>SUM(U56:U68,X56:X67)</f>
        <v>6311808</v>
      </c>
    </row>
    <row r="71" spans="1:24" ht="15.75">
      <c r="H71" s="37" t="s">
        <v>111</v>
      </c>
      <c r="I71" s="60">
        <f>ONSV_AUX_2016!V64</f>
        <v>39896</v>
      </c>
      <c r="J71" s="10">
        <f>I71</f>
        <v>39896</v>
      </c>
      <c r="K71" s="11"/>
      <c r="L71" s="11"/>
      <c r="M71" s="11"/>
      <c r="O71" s="48"/>
      <c r="P71" s="76"/>
      <c r="Q71" s="48"/>
      <c r="R71" s="48"/>
      <c r="S71" s="48"/>
      <c r="T71" s="48"/>
      <c r="U71" s="48"/>
      <c r="V71" s="48"/>
      <c r="W71" s="48"/>
      <c r="X71" s="48"/>
    </row>
    <row r="72" spans="1:24" ht="15.75">
      <c r="H72" s="37" t="s">
        <v>112</v>
      </c>
      <c r="I72" s="60">
        <f>ONSV_AUX_2016!V65</f>
        <v>45947</v>
      </c>
      <c r="J72" s="61">
        <f>I72-(L61*I57)</f>
        <v>45943.740214821381</v>
      </c>
      <c r="K72" s="12"/>
      <c r="L72" s="12"/>
      <c r="M72" s="12"/>
      <c r="N72" s="12"/>
      <c r="O72" s="12"/>
      <c r="P72" s="12"/>
      <c r="Q72" s="4"/>
      <c r="R72" s="4"/>
    </row>
    <row r="75" spans="1:24" s="34" customFormat="1" ht="15.75">
      <c r="A75" s="101" t="str">
        <f>"RIO GRANDE DO SUL/"&amp;ONSV_AUX_2015!A1&amp;""</f>
        <v>RIO GRANDE DO SUL/2015</v>
      </c>
      <c r="B75" s="102"/>
      <c r="C75" s="102"/>
      <c r="D75" s="102"/>
      <c r="E75" s="102"/>
      <c r="F75" s="102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 spans="1:24"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>
      <c r="H77" s="23" t="s">
        <v>118</v>
      </c>
      <c r="P77" s="9"/>
    </row>
    <row r="78" spans="1:24" ht="15.75">
      <c r="J78" s="9"/>
      <c r="M78" s="25"/>
      <c r="P78" s="9"/>
    </row>
    <row r="79" spans="1:24" ht="15.75">
      <c r="H79" s="36" t="s">
        <v>81</v>
      </c>
      <c r="I79" s="60">
        <f>ONSV_AUX_2015!V27</f>
        <v>197520</v>
      </c>
      <c r="J79" s="9"/>
      <c r="K79" s="104" t="s">
        <v>119</v>
      </c>
      <c r="L79" s="104"/>
      <c r="M79" s="9"/>
      <c r="N79" s="26" t="s">
        <v>120</v>
      </c>
      <c r="O79" s="26"/>
      <c r="Q79" s="26" t="s">
        <v>121</v>
      </c>
      <c r="R79" s="26"/>
      <c r="S79" s="26"/>
      <c r="T79" s="25" t="s">
        <v>122</v>
      </c>
      <c r="U79" s="25"/>
      <c r="V79" s="25"/>
      <c r="W79" s="25"/>
      <c r="X79" s="25"/>
    </row>
    <row r="80" spans="1:24" ht="15.75">
      <c r="H80" s="36" t="s">
        <v>84</v>
      </c>
      <c r="I80" s="60">
        <f>ONSV_AUX_2015!V28</f>
        <v>1754013</v>
      </c>
      <c r="J80" s="9"/>
      <c r="K80" s="9"/>
      <c r="L80" s="9"/>
      <c r="M80" s="9"/>
      <c r="N80" s="9"/>
      <c r="O80" s="9"/>
      <c r="P80" s="20"/>
      <c r="Q80" s="11"/>
      <c r="R80" s="11"/>
      <c r="S80" s="11"/>
    </row>
    <row r="81" spans="8:24" ht="15.75">
      <c r="H81" s="36" t="s">
        <v>85</v>
      </c>
      <c r="I81" s="60">
        <f>ONSV_AUX_2015!V29</f>
        <v>530304</v>
      </c>
      <c r="J81" s="9"/>
      <c r="K81" s="2" t="s">
        <v>123</v>
      </c>
      <c r="L81" s="60">
        <f>I88+I91+I92+I97</f>
        <v>4591838</v>
      </c>
      <c r="N81" s="28" t="s">
        <v>124</v>
      </c>
      <c r="O81" s="60">
        <f>J88+J97</f>
        <v>3930028.9171107518</v>
      </c>
      <c r="P81" s="64"/>
      <c r="Q81" s="65" t="s">
        <v>125</v>
      </c>
      <c r="R81" s="60">
        <f>J91+J92</f>
        <v>661525.08288924827</v>
      </c>
      <c r="S81" s="66"/>
      <c r="T81" s="65" t="s">
        <v>126</v>
      </c>
      <c r="U81" s="67">
        <f>O85</f>
        <v>18044.10829988357</v>
      </c>
      <c r="V81" s="48"/>
      <c r="W81" s="65" t="s">
        <v>127</v>
      </c>
      <c r="X81" s="68">
        <f>R87</f>
        <v>64524.655212027217</v>
      </c>
    </row>
    <row r="82" spans="8:24" ht="15.75">
      <c r="H82" s="36" t="s">
        <v>101</v>
      </c>
      <c r="I82" s="60">
        <f>ONSV_AUX_2015!V30</f>
        <v>284</v>
      </c>
      <c r="J82" s="9"/>
      <c r="K82" s="27"/>
      <c r="L82" s="62"/>
      <c r="M82" s="20"/>
      <c r="N82" s="28" t="s">
        <v>128</v>
      </c>
      <c r="O82" s="69">
        <f>J88/O81</f>
        <v>0.98971267128585505</v>
      </c>
      <c r="P82" s="64"/>
      <c r="Q82" s="70" t="s">
        <v>129</v>
      </c>
      <c r="R82" s="63">
        <f>J91/R81</f>
        <v>0.67790817545037074</v>
      </c>
      <c r="S82" s="71"/>
      <c r="T82" s="65" t="s">
        <v>130</v>
      </c>
      <c r="U82" s="67">
        <f>I97-J97</f>
        <v>2.5006735864808434</v>
      </c>
      <c r="V82" s="48"/>
      <c r="W82" s="65" t="s">
        <v>131</v>
      </c>
      <c r="X82" s="68">
        <f>I92-J92</f>
        <v>13.17906685732305</v>
      </c>
    </row>
    <row r="83" spans="8:24" ht="15.75">
      <c r="H83" s="36" t="s">
        <v>16</v>
      </c>
      <c r="I83" s="60">
        <f>ONSV_AUX_2015!V31</f>
        <v>61040</v>
      </c>
      <c r="J83" s="9"/>
      <c r="K83" s="2" t="s">
        <v>132</v>
      </c>
      <c r="L83" s="63">
        <f>I88/L81</f>
        <v>0.84712047768235721</v>
      </c>
      <c r="M83" s="20"/>
      <c r="N83" s="28" t="s">
        <v>133</v>
      </c>
      <c r="O83" s="69">
        <f>J97/O81</f>
        <v>1.0287328714144974E-2</v>
      </c>
      <c r="P83" s="64"/>
      <c r="Q83" s="70" t="s">
        <v>134</v>
      </c>
      <c r="R83" s="63">
        <f>J92/R81</f>
        <v>0.3220918245496292</v>
      </c>
      <c r="S83" s="71"/>
      <c r="T83" s="65" t="s">
        <v>135</v>
      </c>
      <c r="U83" s="72">
        <f>O87</f>
        <v>22385.391026529949</v>
      </c>
      <c r="V83" s="73"/>
      <c r="W83" s="65" t="s">
        <v>136</v>
      </c>
      <c r="X83" s="72">
        <f>R90</f>
        <v>148547.16572111545</v>
      </c>
    </row>
    <row r="84" spans="8:24" ht="15.75">
      <c r="H84" s="36" t="s">
        <v>94</v>
      </c>
      <c r="I84" s="60">
        <f>ONSV_AUX_2015!V32</f>
        <v>3541679</v>
      </c>
      <c r="J84" s="10"/>
      <c r="K84" s="2" t="s">
        <v>2</v>
      </c>
      <c r="L84" s="63">
        <f>I91/L81</f>
        <v>9.7669168642273527E-2</v>
      </c>
      <c r="M84" s="20"/>
      <c r="N84" s="20"/>
      <c r="O84" s="74"/>
      <c r="P84" s="48"/>
      <c r="Q84" s="48"/>
      <c r="R84" s="48"/>
      <c r="S84" s="48"/>
      <c r="T84" s="48"/>
      <c r="U84" s="62"/>
      <c r="V84" s="75"/>
      <c r="W84" s="48"/>
      <c r="X84" s="62"/>
    </row>
    <row r="85" spans="8:24" ht="15.75">
      <c r="K85" s="2" t="s">
        <v>3</v>
      </c>
      <c r="L85" s="63">
        <f>I92/L81</f>
        <v>4.6405164990576758E-2</v>
      </c>
      <c r="M85" s="20"/>
      <c r="N85" s="28" t="s">
        <v>137</v>
      </c>
      <c r="O85" s="60">
        <f>IF(O83*I80&gt;J97,J97,O83*I80)</f>
        <v>18044.10829988357</v>
      </c>
      <c r="P85" s="76"/>
      <c r="Q85" s="65" t="s">
        <v>138</v>
      </c>
      <c r="R85" s="60">
        <f>I81-I89-I90-I93-I96</f>
        <v>200330</v>
      </c>
      <c r="S85" s="77"/>
      <c r="T85" s="65" t="s">
        <v>139</v>
      </c>
      <c r="U85" s="67">
        <f>O93</f>
        <v>1735968.8917001165</v>
      </c>
      <c r="V85" s="76"/>
      <c r="W85" s="65" t="s">
        <v>140</v>
      </c>
      <c r="X85" s="67">
        <f>I89</f>
        <v>217251</v>
      </c>
    </row>
    <row r="86" spans="8:24" ht="15.75">
      <c r="H86" s="24" t="s">
        <v>141</v>
      </c>
      <c r="K86" s="2" t="s">
        <v>0</v>
      </c>
      <c r="L86" s="63">
        <f>I97/L81</f>
        <v>8.8051886847924522E-3</v>
      </c>
      <c r="O86" s="48"/>
      <c r="P86" s="76"/>
      <c r="Q86" s="65" t="s">
        <v>142</v>
      </c>
      <c r="R86" s="60">
        <f>R82*R85</f>
        <v>135805.34478797278</v>
      </c>
      <c r="S86" s="48"/>
      <c r="T86" s="65" t="s">
        <v>143</v>
      </c>
      <c r="U86" s="67">
        <f>O91</f>
        <v>197520</v>
      </c>
      <c r="V86" s="66"/>
      <c r="W86" s="65" t="s">
        <v>144</v>
      </c>
      <c r="X86" s="67">
        <f>I90</f>
        <v>54045</v>
      </c>
    </row>
    <row r="87" spans="8:24" ht="15.75">
      <c r="K87" s="11"/>
      <c r="L87" s="11"/>
      <c r="M87" s="11"/>
      <c r="N87" s="28" t="s">
        <v>145</v>
      </c>
      <c r="O87" s="60">
        <f>J97-O85</f>
        <v>22385.391026529949</v>
      </c>
      <c r="P87" s="76"/>
      <c r="Q87" s="65" t="s">
        <v>127</v>
      </c>
      <c r="R87" s="60">
        <f>R83*R85</f>
        <v>64524.655212027217</v>
      </c>
      <c r="S87" s="48"/>
      <c r="T87" s="65" t="s">
        <v>146</v>
      </c>
      <c r="U87" s="67">
        <f>O92</f>
        <v>61040</v>
      </c>
      <c r="V87" s="71"/>
      <c r="W87" s="48"/>
      <c r="X87" s="62"/>
    </row>
    <row r="88" spans="8:24" ht="15.75">
      <c r="H88" s="37" t="s">
        <v>103</v>
      </c>
      <c r="I88" s="60">
        <f>ONSV_AUX_2015!V56</f>
        <v>3889840</v>
      </c>
      <c r="J88" s="61">
        <f>I88-(L83*I82)</f>
        <v>3889599.4177843384</v>
      </c>
      <c r="K88" s="11"/>
      <c r="L88" s="11"/>
      <c r="M88" s="11"/>
      <c r="O88" s="76"/>
      <c r="P88" s="76"/>
      <c r="Q88" s="48"/>
      <c r="R88" s="78"/>
      <c r="S88" s="48"/>
      <c r="T88" s="65" t="s">
        <v>147</v>
      </c>
      <c r="U88" s="68">
        <f>I88-J88</f>
        <v>240.58221566164866</v>
      </c>
      <c r="V88" s="71"/>
      <c r="W88" s="65" t="s">
        <v>148</v>
      </c>
      <c r="X88" s="67">
        <f>I96</f>
        <v>38852</v>
      </c>
    </row>
    <row r="89" spans="8:24" ht="15.75">
      <c r="H89" s="37" t="s">
        <v>104</v>
      </c>
      <c r="I89" s="60">
        <f>ONSV_AUX_2015!V57</f>
        <v>217251</v>
      </c>
      <c r="J89" s="10">
        <f>I89</f>
        <v>217251</v>
      </c>
      <c r="K89" s="11"/>
      <c r="L89" s="11"/>
      <c r="M89" s="11"/>
      <c r="N89" s="26" t="s">
        <v>149</v>
      </c>
      <c r="O89" s="76"/>
      <c r="P89" s="76"/>
      <c r="Q89" s="65" t="s">
        <v>150</v>
      </c>
      <c r="R89" s="60">
        <f>J91-R86</f>
        <v>312647.91716813284</v>
      </c>
      <c r="S89" s="48"/>
      <c r="T89" s="65" t="s">
        <v>151</v>
      </c>
      <c r="U89" s="72">
        <f>O94</f>
        <v>1895070.5260842219</v>
      </c>
      <c r="V89" s="48"/>
      <c r="W89" s="65" t="s">
        <v>152</v>
      </c>
      <c r="X89" s="67">
        <f>I93</f>
        <v>19826</v>
      </c>
    </row>
    <row r="90" spans="8:24" ht="15.75">
      <c r="H90" s="37" t="s">
        <v>105</v>
      </c>
      <c r="I90" s="60">
        <f>ONSV_AUX_2015!V58</f>
        <v>54045</v>
      </c>
      <c r="J90" s="10">
        <f>I90</f>
        <v>54045</v>
      </c>
      <c r="K90" s="11"/>
      <c r="L90" s="11"/>
      <c r="M90" s="11"/>
      <c r="O90" s="73"/>
      <c r="P90" s="76"/>
      <c r="Q90" s="65" t="s">
        <v>136</v>
      </c>
      <c r="R90" s="60">
        <f>J92-R87</f>
        <v>148547.16572111545</v>
      </c>
      <c r="S90" s="48"/>
      <c r="T90" s="48"/>
      <c r="U90" s="62"/>
      <c r="V90" s="77"/>
      <c r="W90" s="48"/>
      <c r="X90" s="62"/>
    </row>
    <row r="91" spans="8:24" ht="15.75">
      <c r="H91" s="37" t="s">
        <v>106</v>
      </c>
      <c r="I91" s="60">
        <f>ONSV_AUX_2015!V59</f>
        <v>448481</v>
      </c>
      <c r="J91" s="61">
        <f>I91-(L84*I82)</f>
        <v>448453.26195610559</v>
      </c>
      <c r="K91" s="11"/>
      <c r="L91" s="11"/>
      <c r="M91" s="11"/>
      <c r="N91" s="28" t="s">
        <v>143</v>
      </c>
      <c r="O91" s="60">
        <f>I79</f>
        <v>197520</v>
      </c>
      <c r="P91" s="76"/>
      <c r="Q91" s="48"/>
      <c r="R91" s="48"/>
      <c r="S91" s="77"/>
      <c r="T91" s="65" t="s">
        <v>142</v>
      </c>
      <c r="U91" s="68">
        <f>R86</f>
        <v>135805.34478797278</v>
      </c>
      <c r="V91" s="48"/>
      <c r="W91" s="65" t="s">
        <v>153</v>
      </c>
      <c r="X91" s="67">
        <f>I94</f>
        <v>1005901</v>
      </c>
    </row>
    <row r="92" spans="8:24" ht="15.75">
      <c r="H92" s="37" t="s">
        <v>107</v>
      </c>
      <c r="I92" s="60">
        <f>ONSV_AUX_2015!V60</f>
        <v>213085</v>
      </c>
      <c r="J92" s="61">
        <f>I92-(L85*I82)</f>
        <v>213071.82093314268</v>
      </c>
      <c r="K92" s="11"/>
      <c r="L92" s="11"/>
      <c r="M92" s="11"/>
      <c r="N92" s="28" t="s">
        <v>146</v>
      </c>
      <c r="O92" s="60">
        <f>I83</f>
        <v>61040</v>
      </c>
      <c r="P92" s="76"/>
      <c r="Q92" s="48"/>
      <c r="R92" s="48"/>
      <c r="S92" s="48"/>
      <c r="T92" s="65" t="s">
        <v>154</v>
      </c>
      <c r="U92" s="68">
        <f>I91-J91</f>
        <v>27.738043894409202</v>
      </c>
      <c r="V92" s="48"/>
      <c r="W92" s="65" t="s">
        <v>155</v>
      </c>
      <c r="X92" s="67">
        <f>I95</f>
        <v>174890</v>
      </c>
    </row>
    <row r="93" spans="8:24" ht="15.75">
      <c r="H93" s="37" t="s">
        <v>108</v>
      </c>
      <c r="I93" s="60">
        <f>ONSV_AUX_2015!V61</f>
        <v>19826</v>
      </c>
      <c r="J93" s="10">
        <f>I93</f>
        <v>19826</v>
      </c>
      <c r="K93" s="11"/>
      <c r="L93" s="11"/>
      <c r="M93" s="11"/>
      <c r="N93" s="28" t="s">
        <v>139</v>
      </c>
      <c r="O93" s="60">
        <f>IF(OR((O82*I80&gt;J88),((O91+O92+(O82*I80))&gt;J88)),(J88-O91-O92),(O82*I80))</f>
        <v>1735968.8917001165</v>
      </c>
      <c r="P93" s="76"/>
      <c r="Q93" s="48"/>
      <c r="R93" s="78"/>
      <c r="S93" s="48"/>
      <c r="T93" s="65" t="s">
        <v>150</v>
      </c>
      <c r="U93" s="72">
        <f>R89</f>
        <v>312647.91716813284</v>
      </c>
      <c r="V93" s="48"/>
      <c r="W93" s="48"/>
      <c r="X93" s="48"/>
    </row>
    <row r="94" spans="8:24" ht="15.75">
      <c r="H94" s="37" t="s">
        <v>109</v>
      </c>
      <c r="I94" s="60">
        <f>ONSV_AUX_2015!V62</f>
        <v>1005901</v>
      </c>
      <c r="J94" s="10">
        <f>I94</f>
        <v>1005901</v>
      </c>
      <c r="K94" s="11"/>
      <c r="L94" s="11"/>
      <c r="M94" s="11"/>
      <c r="N94" s="28" t="s">
        <v>151</v>
      </c>
      <c r="O94" s="60">
        <f>IF((J88-O91-O93-O92)&lt;0,0,(J88-O91-O93-O92))</f>
        <v>1895070.5260842219</v>
      </c>
      <c r="P94" s="48"/>
      <c r="Q94" s="48"/>
      <c r="R94" s="48"/>
      <c r="S94" s="48"/>
      <c r="T94" s="48"/>
      <c r="U94" s="62"/>
      <c r="V94" s="48"/>
      <c r="W94" s="48"/>
      <c r="X94" s="48"/>
    </row>
    <row r="95" spans="8:24" ht="15.75">
      <c r="H95" s="37" t="s">
        <v>110</v>
      </c>
      <c r="I95" s="60">
        <f>ONSV_AUX_2015!V63</f>
        <v>174890</v>
      </c>
      <c r="J95" s="10">
        <f>I95</f>
        <v>174890</v>
      </c>
      <c r="K95" s="11"/>
      <c r="L95" s="11"/>
      <c r="M95" s="11"/>
      <c r="O95" s="48"/>
      <c r="P95" s="76"/>
      <c r="Q95" s="48"/>
      <c r="R95" s="48"/>
      <c r="S95" s="48"/>
      <c r="T95" s="79" t="s">
        <v>156</v>
      </c>
      <c r="U95" s="80">
        <f>(SUM(U81:U93,X81:X92)/SUM(I88:I97))-1</f>
        <v>0</v>
      </c>
      <c r="V95" s="48"/>
      <c r="W95" s="79" t="s">
        <v>10</v>
      </c>
      <c r="X95" s="67">
        <f>SUM(U81:U93,X81:X92)</f>
        <v>6102603</v>
      </c>
    </row>
    <row r="96" spans="8:24" ht="15.75">
      <c r="H96" s="37" t="s">
        <v>111</v>
      </c>
      <c r="I96" s="60">
        <f>ONSV_AUX_2015!V64</f>
        <v>38852</v>
      </c>
      <c r="J96" s="10">
        <f>I96</f>
        <v>38852</v>
      </c>
      <c r="K96" s="11"/>
      <c r="L96" s="11"/>
      <c r="M96" s="11"/>
      <c r="O96" s="48"/>
      <c r="P96" s="76"/>
      <c r="Q96" s="48"/>
      <c r="R96" s="48"/>
      <c r="S96" s="48"/>
      <c r="T96" s="48"/>
      <c r="U96" s="48"/>
      <c r="V96" s="48"/>
      <c r="W96" s="48"/>
      <c r="X96" s="48"/>
    </row>
    <row r="97" spans="1:24" ht="15.75">
      <c r="H97" s="37" t="s">
        <v>112</v>
      </c>
      <c r="I97" s="60">
        <f>ONSV_AUX_2015!V65</f>
        <v>40432</v>
      </c>
      <c r="J97" s="61">
        <f>I97-(L86*I82)</f>
        <v>40429.499326413519</v>
      </c>
      <c r="K97" s="12"/>
      <c r="L97" s="12"/>
      <c r="M97" s="12"/>
      <c r="N97" s="12"/>
      <c r="O97" s="12"/>
      <c r="P97" s="12"/>
      <c r="Q97" s="4"/>
      <c r="R97" s="4"/>
    </row>
    <row r="98" spans="1:24" ht="15.75">
      <c r="I98" s="40"/>
      <c r="J98" s="21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4" ht="15.75">
      <c r="I99" s="40"/>
      <c r="J99" s="21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4" s="34" customFormat="1" ht="15.75">
      <c r="A100" s="101" t="str">
        <f>"RIO GRANDE DO SUL/"&amp;ONSV_AUX_2014!A1&amp;""</f>
        <v>RIO GRANDE DO SUL/2014</v>
      </c>
      <c r="B100" s="102"/>
      <c r="C100" s="102"/>
      <c r="D100" s="102"/>
      <c r="E100" s="102"/>
      <c r="F100" s="102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</row>
    <row r="101" spans="1:24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>
      <c r="H102" s="23" t="s">
        <v>118</v>
      </c>
      <c r="N102" s="26"/>
      <c r="O102" s="26"/>
      <c r="P102" s="9"/>
      <c r="Q102" s="26"/>
      <c r="R102" s="26"/>
      <c r="S102" s="26"/>
      <c r="T102" s="25"/>
      <c r="U102" s="25"/>
      <c r="V102" s="25"/>
      <c r="W102" s="25"/>
      <c r="X102" s="25"/>
    </row>
    <row r="103" spans="1:24" ht="15.75">
      <c r="J103" s="9"/>
      <c r="M103" s="25"/>
      <c r="N103" s="9"/>
      <c r="O103" s="9"/>
      <c r="P103" s="9"/>
      <c r="Q103" s="11"/>
      <c r="R103" s="11"/>
      <c r="S103" s="11"/>
    </row>
    <row r="104" spans="1:24" ht="15.75">
      <c r="H104" s="36" t="s">
        <v>81</v>
      </c>
      <c r="I104" s="60">
        <f>ONSV_AUX_2014!V27</f>
        <v>197727</v>
      </c>
      <c r="J104" s="9"/>
      <c r="K104" s="104" t="s">
        <v>119</v>
      </c>
      <c r="L104" s="104"/>
      <c r="M104" s="9"/>
      <c r="N104" s="26" t="s">
        <v>120</v>
      </c>
      <c r="O104" s="26"/>
      <c r="Q104" s="26" t="s">
        <v>121</v>
      </c>
      <c r="R104" s="26"/>
      <c r="S104" s="26"/>
      <c r="T104" s="25" t="s">
        <v>122</v>
      </c>
      <c r="U104" s="25"/>
      <c r="V104" s="25"/>
      <c r="W104" s="25"/>
      <c r="X104" s="25"/>
    </row>
    <row r="105" spans="1:24" ht="15.75">
      <c r="H105" s="36" t="s">
        <v>84</v>
      </c>
      <c r="I105" s="60">
        <f>ONSV_AUX_2014!V28</f>
        <v>1544309</v>
      </c>
      <c r="J105" s="9"/>
      <c r="K105" s="9"/>
      <c r="L105" s="9"/>
      <c r="M105" s="9"/>
      <c r="N105" s="9"/>
      <c r="O105" s="9"/>
      <c r="P105" s="20"/>
      <c r="Q105" s="11"/>
      <c r="R105" s="11"/>
      <c r="S105" s="11"/>
    </row>
    <row r="106" spans="1:24" ht="15.75">
      <c r="H106" s="36" t="s">
        <v>85</v>
      </c>
      <c r="I106" s="60">
        <f>ONSV_AUX_2014!V29</f>
        <v>507409</v>
      </c>
      <c r="J106" s="9"/>
      <c r="K106" s="2" t="s">
        <v>123</v>
      </c>
      <c r="L106" s="60">
        <f>I113+I116+I117+I122</f>
        <v>4357149</v>
      </c>
      <c r="N106" s="28" t="s">
        <v>124</v>
      </c>
      <c r="O106" s="60">
        <f>J113+J122</f>
        <v>3747815.2193785436</v>
      </c>
      <c r="P106" s="64"/>
      <c r="Q106" s="65" t="s">
        <v>125</v>
      </c>
      <c r="R106" s="60">
        <f>J116+J117</f>
        <v>609124.7806214568</v>
      </c>
      <c r="S106" s="66"/>
      <c r="T106" s="65" t="s">
        <v>126</v>
      </c>
      <c r="U106" s="67">
        <f>O110</f>
        <v>14368.932657861069</v>
      </c>
      <c r="V106" s="48"/>
      <c r="W106" s="65" t="s">
        <v>127</v>
      </c>
      <c r="X106" s="68">
        <f>R112</f>
        <v>60183.397288698754</v>
      </c>
    </row>
    <row r="107" spans="1:24" ht="15.75">
      <c r="H107" s="36" t="s">
        <v>101</v>
      </c>
      <c r="I107" s="60">
        <f>ONSV_AUX_2014!V30</f>
        <v>209</v>
      </c>
      <c r="J107" s="9"/>
      <c r="K107" s="27"/>
      <c r="L107" s="62"/>
      <c r="M107" s="20"/>
      <c r="N107" s="28" t="s">
        <v>128</v>
      </c>
      <c r="O107" s="69">
        <f>J113/O106</f>
        <v>0.99069555855864266</v>
      </c>
      <c r="P107" s="64"/>
      <c r="Q107" s="70" t="s">
        <v>129</v>
      </c>
      <c r="R107" s="63">
        <f>J116/R106</f>
        <v>0.6802089455211654</v>
      </c>
      <c r="S107" s="71"/>
      <c r="T107" s="65" t="s">
        <v>130</v>
      </c>
      <c r="U107" s="67">
        <f>I122-J122</f>
        <v>1.6727582646344672</v>
      </c>
      <c r="V107" s="48"/>
      <c r="W107" s="65" t="s">
        <v>131</v>
      </c>
      <c r="X107" s="68">
        <f>I117-J117</f>
        <v>9.3440958755381871</v>
      </c>
    </row>
    <row r="108" spans="1:24" ht="15.75">
      <c r="H108" s="36" t="s">
        <v>16</v>
      </c>
      <c r="I108" s="60">
        <f>ONSV_AUX_2014!V31</f>
        <v>60383</v>
      </c>
      <c r="J108" s="9"/>
      <c r="K108" s="2" t="s">
        <v>132</v>
      </c>
      <c r="L108" s="63">
        <f>I113/L106</f>
        <v>0.85219073297699943</v>
      </c>
      <c r="M108" s="20"/>
      <c r="N108" s="28" t="s">
        <v>133</v>
      </c>
      <c r="O108" s="69">
        <f>J122/O106</f>
        <v>9.3044414413573119E-3</v>
      </c>
      <c r="P108" s="64"/>
      <c r="Q108" s="70" t="s">
        <v>134</v>
      </c>
      <c r="R108" s="63">
        <f>J117/R106</f>
        <v>0.3197910544788346</v>
      </c>
      <c r="S108" s="71"/>
      <c r="T108" s="65" t="s">
        <v>135</v>
      </c>
      <c r="U108" s="72">
        <f>O112</f>
        <v>20502.394583874295</v>
      </c>
      <c r="V108" s="73"/>
      <c r="W108" s="65" t="s">
        <v>136</v>
      </c>
      <c r="X108" s="72">
        <f>R115</f>
        <v>134609.2586154257</v>
      </c>
    </row>
    <row r="109" spans="1:24" ht="15.75">
      <c r="H109" s="36" t="s">
        <v>94</v>
      </c>
      <c r="I109" s="60">
        <f>ONSV_AUX_2014!V32</f>
        <v>3493183</v>
      </c>
      <c r="J109" s="10"/>
      <c r="K109" s="2" t="s">
        <v>2</v>
      </c>
      <c r="L109" s="63">
        <f>I116/L106</f>
        <v>9.509704625662331E-2</v>
      </c>
      <c r="M109" s="20"/>
      <c r="N109" s="20"/>
      <c r="O109" s="74"/>
      <c r="P109" s="48"/>
      <c r="Q109" s="48"/>
      <c r="R109" s="48"/>
      <c r="S109" s="48"/>
      <c r="T109" s="48"/>
      <c r="U109" s="62"/>
      <c r="V109" s="75"/>
      <c r="W109" s="48"/>
      <c r="X109" s="62"/>
    </row>
    <row r="110" spans="1:24" ht="15.75">
      <c r="K110" s="2" t="s">
        <v>3</v>
      </c>
      <c r="L110" s="63">
        <f>I117/L106</f>
        <v>4.4708592705918482E-2</v>
      </c>
      <c r="M110" s="20"/>
      <c r="N110" s="28" t="s">
        <v>137</v>
      </c>
      <c r="O110" s="60">
        <f>IF(O108*I105&gt;J122,J122,O108*I105)</f>
        <v>14368.932657861069</v>
      </c>
      <c r="P110" s="76"/>
      <c r="Q110" s="65" t="s">
        <v>138</v>
      </c>
      <c r="R110" s="60">
        <f>I106-I114-I115-I118-I121</f>
        <v>188196</v>
      </c>
      <c r="S110" s="77"/>
      <c r="T110" s="65" t="s">
        <v>139</v>
      </c>
      <c r="U110" s="67">
        <f>O118</f>
        <v>1529940.0673421388</v>
      </c>
      <c r="V110" s="76"/>
      <c r="W110" s="65" t="s">
        <v>140</v>
      </c>
      <c r="X110" s="67">
        <f>I114</f>
        <v>210657</v>
      </c>
    </row>
    <row r="111" spans="1:24" ht="15.75">
      <c r="H111" s="24" t="s">
        <v>141</v>
      </c>
      <c r="K111" s="2" t="s">
        <v>0</v>
      </c>
      <c r="L111" s="63">
        <f>I122/L106</f>
        <v>8.0036280604587999E-3</v>
      </c>
      <c r="O111" s="48"/>
      <c r="P111" s="76"/>
      <c r="Q111" s="65" t="s">
        <v>142</v>
      </c>
      <c r="R111" s="60">
        <f>R107*R110</f>
        <v>128012.60271130124</v>
      </c>
      <c r="S111" s="48"/>
      <c r="T111" s="65" t="s">
        <v>143</v>
      </c>
      <c r="U111" s="67">
        <f>O116</f>
        <v>197727</v>
      </c>
      <c r="V111" s="66"/>
      <c r="W111" s="65" t="s">
        <v>144</v>
      </c>
      <c r="X111" s="67">
        <f>I115</f>
        <v>52060</v>
      </c>
    </row>
    <row r="112" spans="1:24" ht="15.75">
      <c r="K112" s="11"/>
      <c r="L112" s="11"/>
      <c r="M112" s="11"/>
      <c r="N112" s="28" t="s">
        <v>145</v>
      </c>
      <c r="O112" s="60">
        <f>J122-O110</f>
        <v>20502.394583874295</v>
      </c>
      <c r="P112" s="76"/>
      <c r="Q112" s="65" t="s">
        <v>127</v>
      </c>
      <c r="R112" s="60">
        <f>R108*R110</f>
        <v>60183.397288698754</v>
      </c>
      <c r="S112" s="48"/>
      <c r="T112" s="65" t="s">
        <v>146</v>
      </c>
      <c r="U112" s="67">
        <f>O117</f>
        <v>60383</v>
      </c>
      <c r="V112" s="71"/>
      <c r="W112" s="48"/>
      <c r="X112" s="62"/>
    </row>
    <row r="113" spans="8:24" ht="15.75">
      <c r="H113" s="37" t="s">
        <v>103</v>
      </c>
      <c r="I113" s="60">
        <f>ONSV_AUX_2014!V56</f>
        <v>3713122</v>
      </c>
      <c r="J113" s="61">
        <f>I113-(L108*I107)</f>
        <v>3712943.892136808</v>
      </c>
      <c r="K113" s="11"/>
      <c r="L113" s="11"/>
      <c r="M113" s="11"/>
      <c r="O113" s="76"/>
      <c r="P113" s="76"/>
      <c r="Q113" s="48"/>
      <c r="R113" s="78"/>
      <c r="S113" s="48"/>
      <c r="T113" s="65" t="s">
        <v>147</v>
      </c>
      <c r="U113" s="68">
        <f>I113-J113</f>
        <v>178.10786319198087</v>
      </c>
      <c r="V113" s="71"/>
      <c r="W113" s="65" t="s">
        <v>148</v>
      </c>
      <c r="X113" s="67">
        <f>I121</f>
        <v>37461</v>
      </c>
    </row>
    <row r="114" spans="8:24" ht="15.75">
      <c r="H114" s="37" t="s">
        <v>104</v>
      </c>
      <c r="I114" s="60">
        <f>ONSV_AUX_2014!V57</f>
        <v>210657</v>
      </c>
      <c r="J114" s="10">
        <f>I114</f>
        <v>210657</v>
      </c>
      <c r="K114" s="11"/>
      <c r="L114" s="11"/>
      <c r="M114" s="11"/>
      <c r="N114" s="26" t="s">
        <v>149</v>
      </c>
      <c r="O114" s="76"/>
      <c r="P114" s="76"/>
      <c r="Q114" s="65" t="s">
        <v>150</v>
      </c>
      <c r="R114" s="60">
        <f>J116-R111</f>
        <v>286319.52200603113</v>
      </c>
      <c r="S114" s="48"/>
      <c r="T114" s="65" t="s">
        <v>151</v>
      </c>
      <c r="U114" s="72">
        <f>O119</f>
        <v>1924893.8247946692</v>
      </c>
      <c r="V114" s="48"/>
      <c r="W114" s="65" t="s">
        <v>152</v>
      </c>
      <c r="X114" s="67">
        <f>I118</f>
        <v>19035</v>
      </c>
    </row>
    <row r="115" spans="8:24" ht="15.75">
      <c r="H115" s="37" t="s">
        <v>105</v>
      </c>
      <c r="I115" s="60">
        <f>ONSV_AUX_2014!V58</f>
        <v>52060</v>
      </c>
      <c r="J115" s="10">
        <f>I115</f>
        <v>52060</v>
      </c>
      <c r="K115" s="11"/>
      <c r="L115" s="11"/>
      <c r="M115" s="11"/>
      <c r="O115" s="73"/>
      <c r="P115" s="76"/>
      <c r="Q115" s="65" t="s">
        <v>136</v>
      </c>
      <c r="R115" s="60">
        <f>J117-R112</f>
        <v>134609.2586154257</v>
      </c>
      <c r="S115" s="48"/>
      <c r="T115" s="48"/>
      <c r="U115" s="62"/>
      <c r="V115" s="77"/>
      <c r="W115" s="48"/>
      <c r="X115" s="62"/>
    </row>
    <row r="116" spans="8:24" ht="15.75">
      <c r="H116" s="37" t="s">
        <v>106</v>
      </c>
      <c r="I116" s="60">
        <f>ONSV_AUX_2014!V59</f>
        <v>414352</v>
      </c>
      <c r="J116" s="61">
        <f>I116-(L109*I107)</f>
        <v>414332.12471733236</v>
      </c>
      <c r="K116" s="11"/>
      <c r="L116" s="11"/>
      <c r="M116" s="11"/>
      <c r="N116" s="28" t="s">
        <v>143</v>
      </c>
      <c r="O116" s="60">
        <f>I104</f>
        <v>197727</v>
      </c>
      <c r="P116" s="76"/>
      <c r="Q116" s="48"/>
      <c r="R116" s="48"/>
      <c r="S116" s="77"/>
      <c r="T116" s="65" t="s">
        <v>142</v>
      </c>
      <c r="U116" s="68">
        <f>R111</f>
        <v>128012.60271130124</v>
      </c>
      <c r="V116" s="48"/>
      <c r="W116" s="65" t="s">
        <v>153</v>
      </c>
      <c r="X116" s="67">
        <f>I119</f>
        <v>975920</v>
      </c>
    </row>
    <row r="117" spans="8:24" ht="15.75">
      <c r="H117" s="37" t="s">
        <v>107</v>
      </c>
      <c r="I117" s="60">
        <f>ONSV_AUX_2014!V60</f>
        <v>194802</v>
      </c>
      <c r="J117" s="61">
        <f>I117-(L110*I107)</f>
        <v>194792.65590412446</v>
      </c>
      <c r="K117" s="11"/>
      <c r="L117" s="11"/>
      <c r="M117" s="11"/>
      <c r="N117" s="28" t="s">
        <v>146</v>
      </c>
      <c r="O117" s="60">
        <f>I108</f>
        <v>60383</v>
      </c>
      <c r="P117" s="76"/>
      <c r="Q117" s="48"/>
      <c r="R117" s="48"/>
      <c r="S117" s="48"/>
      <c r="T117" s="65" t="s">
        <v>154</v>
      </c>
      <c r="U117" s="68">
        <f>I116-J116</f>
        <v>19.875282667635474</v>
      </c>
      <c r="V117" s="48"/>
      <c r="W117" s="65" t="s">
        <v>155</v>
      </c>
      <c r="X117" s="67">
        <f>I120</f>
        <v>167774</v>
      </c>
    </row>
    <row r="118" spans="8:24" ht="15.75">
      <c r="H118" s="37" t="s">
        <v>108</v>
      </c>
      <c r="I118" s="60">
        <f>ONSV_AUX_2014!V61</f>
        <v>19035</v>
      </c>
      <c r="J118" s="10">
        <f>I118</f>
        <v>19035</v>
      </c>
      <c r="K118" s="11"/>
      <c r="L118" s="11"/>
      <c r="M118" s="11"/>
      <c r="N118" s="28" t="s">
        <v>139</v>
      </c>
      <c r="O118" s="60">
        <f>IF(OR((O107*I105&gt;J113),((O116+O117+(O107*I105))&gt;J113)),(J113-O116-O117),(O107*I105))</f>
        <v>1529940.0673421388</v>
      </c>
      <c r="P118" s="76"/>
      <c r="Q118" s="48"/>
      <c r="R118" s="78"/>
      <c r="S118" s="48"/>
      <c r="T118" s="65" t="s">
        <v>150</v>
      </c>
      <c r="U118" s="72">
        <f>R114</f>
        <v>286319.52200603113</v>
      </c>
      <c r="V118" s="48"/>
      <c r="W118" s="48"/>
      <c r="X118" s="48"/>
    </row>
    <row r="119" spans="8:24" ht="15.75">
      <c r="H119" s="37" t="s">
        <v>109</v>
      </c>
      <c r="I119" s="60">
        <f>ONSV_AUX_2014!V62</f>
        <v>975920</v>
      </c>
      <c r="J119" s="10">
        <f>I119</f>
        <v>975920</v>
      </c>
      <c r="K119" s="11"/>
      <c r="L119" s="11"/>
      <c r="M119" s="11"/>
      <c r="N119" s="28" t="s">
        <v>151</v>
      </c>
      <c r="O119" s="60">
        <f>IF((J113-O116-O118-O117)&lt;0,0,(J113-O116-O118-O117))</f>
        <v>1924893.8247946692</v>
      </c>
      <c r="P119" s="48"/>
      <c r="Q119" s="48"/>
      <c r="R119" s="48"/>
      <c r="S119" s="48"/>
      <c r="T119" s="48"/>
      <c r="U119" s="62"/>
      <c r="V119" s="48"/>
      <c r="W119" s="48"/>
      <c r="X119" s="48"/>
    </row>
    <row r="120" spans="8:24" ht="15.75">
      <c r="H120" s="37" t="s">
        <v>110</v>
      </c>
      <c r="I120" s="60">
        <f>ONSV_AUX_2014!V63</f>
        <v>167774</v>
      </c>
      <c r="J120" s="10">
        <f>I120</f>
        <v>167774</v>
      </c>
      <c r="K120" s="11"/>
      <c r="L120" s="11"/>
      <c r="M120" s="11"/>
      <c r="O120" s="48"/>
      <c r="P120" s="76"/>
      <c r="Q120" s="48"/>
      <c r="R120" s="48"/>
      <c r="S120" s="48"/>
      <c r="T120" s="79" t="s">
        <v>156</v>
      </c>
      <c r="U120" s="80">
        <f>(SUM(U106:U118,X106:X117)/SUM(I113:I122))-1</f>
        <v>0</v>
      </c>
      <c r="V120" s="48"/>
      <c r="W120" s="79" t="s">
        <v>10</v>
      </c>
      <c r="X120" s="67">
        <f>SUM(U106:U118,X106:X117)</f>
        <v>5820056</v>
      </c>
    </row>
    <row r="121" spans="8:24" ht="15.75">
      <c r="H121" s="37" t="s">
        <v>111</v>
      </c>
      <c r="I121" s="60">
        <f>ONSV_AUX_2014!V64</f>
        <v>37461</v>
      </c>
      <c r="J121" s="10">
        <f>I121</f>
        <v>37461</v>
      </c>
      <c r="K121" s="11"/>
      <c r="L121" s="11"/>
      <c r="M121" s="11"/>
      <c r="O121" s="48"/>
      <c r="P121" s="76"/>
      <c r="Q121" s="48"/>
      <c r="R121" s="48"/>
      <c r="S121" s="48"/>
      <c r="T121" s="48"/>
      <c r="U121" s="48"/>
      <c r="V121" s="48"/>
      <c r="W121" s="48"/>
      <c r="X121" s="48"/>
    </row>
    <row r="122" spans="8:24" ht="15.75">
      <c r="H122" s="37" t="s">
        <v>112</v>
      </c>
      <c r="I122" s="60">
        <f>ONSV_AUX_2014!V65</f>
        <v>34873</v>
      </c>
      <c r="J122" s="61">
        <f>I122-(L111*I107)</f>
        <v>34871.327241735366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A1:F1"/>
    <mergeCell ref="Q4:R4"/>
    <mergeCell ref="T4:X4"/>
    <mergeCell ref="K5:L5"/>
    <mergeCell ref="A25:F25"/>
    <mergeCell ref="T27:X27"/>
    <mergeCell ref="T52:X52"/>
    <mergeCell ref="K79:L79"/>
    <mergeCell ref="A100:F100"/>
    <mergeCell ref="K104:L104"/>
    <mergeCell ref="K29:L29"/>
    <mergeCell ref="A50:F50"/>
    <mergeCell ref="A75:F75"/>
    <mergeCell ref="K54:L5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9" tint="0.39997558519241921"/>
  </sheetPr>
  <dimension ref="A1:X122"/>
  <sheetViews>
    <sheetView showGridLines="0" zoomScale="90" zoomScaleNormal="90" workbookViewId="0">
      <selection activeCell="A101" sqref="A101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  <col min="27" max="28" width="10" bestFit="1" customWidth="1"/>
    <col min="30" max="30" width="10" bestFit="1" customWidth="1"/>
  </cols>
  <sheetData>
    <row r="1" spans="1:24" s="31" customFormat="1" ht="15.75">
      <c r="A1" s="101" t="str">
        <f>"RONDÔNIA/"&amp;ONSV_AUX_2018!A1&amp;""</f>
        <v>RONDÔNIA/2018</v>
      </c>
      <c r="B1" s="102"/>
      <c r="C1" s="102"/>
      <c r="D1" s="102"/>
      <c r="E1" s="102"/>
      <c r="F1" s="102"/>
    </row>
    <row r="2" spans="1:24" s="4" customFormat="1" ht="15.75">
      <c r="A2" s="32"/>
      <c r="B2" s="32"/>
      <c r="C2" s="32"/>
      <c r="D2" s="32"/>
      <c r="E2" s="32"/>
      <c r="F2" s="32"/>
    </row>
    <row r="3" spans="1:24" ht="15.75">
      <c r="A3" s="12"/>
      <c r="H3" s="23" t="s">
        <v>118</v>
      </c>
    </row>
    <row r="4" spans="1:24" ht="15.75">
      <c r="B4" s="5"/>
      <c r="J4" s="9"/>
      <c r="M4" s="25"/>
      <c r="N4" s="25"/>
      <c r="O4" s="25"/>
      <c r="P4" s="25"/>
      <c r="Q4" s="103"/>
      <c r="R4" s="103"/>
      <c r="S4" s="22"/>
      <c r="T4" s="104"/>
      <c r="U4" s="104"/>
      <c r="V4" s="104"/>
      <c r="W4" s="104"/>
      <c r="X4" s="104"/>
    </row>
    <row r="5" spans="1:24" ht="15.75">
      <c r="H5" s="36" t="s">
        <v>81</v>
      </c>
      <c r="I5" s="60">
        <f>ONSV_AUX_2018!W27</f>
        <v>10400</v>
      </c>
      <c r="J5" s="9"/>
      <c r="K5" s="104" t="s">
        <v>119</v>
      </c>
      <c r="L5" s="104"/>
      <c r="M5" s="9"/>
      <c r="N5" s="26" t="s">
        <v>120</v>
      </c>
      <c r="O5" s="26"/>
      <c r="Q5" s="26" t="s">
        <v>121</v>
      </c>
      <c r="R5" s="26"/>
      <c r="S5" s="26"/>
      <c r="T5" s="25" t="s">
        <v>122</v>
      </c>
      <c r="U5" s="25"/>
      <c r="V5" s="25"/>
      <c r="W5" s="25"/>
      <c r="X5" s="25"/>
    </row>
    <row r="6" spans="1:24" ht="15.75">
      <c r="H6" s="36" t="s">
        <v>84</v>
      </c>
      <c r="I6" s="60">
        <f>ONSV_AUX_2018!W28</f>
        <v>355412</v>
      </c>
      <c r="J6" s="9"/>
      <c r="K6" s="9"/>
      <c r="L6" s="9"/>
      <c r="M6" s="9"/>
      <c r="N6" s="9"/>
      <c r="O6" s="9"/>
      <c r="P6" s="20"/>
      <c r="Q6" s="11"/>
      <c r="R6" s="11"/>
      <c r="S6" s="11"/>
    </row>
    <row r="7" spans="1:24" ht="15.75">
      <c r="H7" s="36" t="s">
        <v>85</v>
      </c>
      <c r="I7" s="60">
        <f>ONSV_AUX_2018!W29</f>
        <v>91346</v>
      </c>
      <c r="J7" s="9"/>
      <c r="K7" s="2" t="s">
        <v>123</v>
      </c>
      <c r="L7" s="60">
        <f>I14+I17+I18+I23</f>
        <v>381341</v>
      </c>
      <c r="N7" s="28" t="s">
        <v>124</v>
      </c>
      <c r="O7" s="60">
        <f>J14+J23</f>
        <v>277945.17770184693</v>
      </c>
      <c r="P7" s="64"/>
      <c r="Q7" s="65" t="s">
        <v>125</v>
      </c>
      <c r="R7" s="60">
        <f>J17+J18</f>
        <v>103339.82229815309</v>
      </c>
      <c r="S7" s="66"/>
      <c r="T7" s="65" t="s">
        <v>126</v>
      </c>
      <c r="U7" s="67">
        <f>O11</f>
        <v>3648.4641436404686</v>
      </c>
      <c r="V7" s="48"/>
      <c r="W7" s="65" t="s">
        <v>127</v>
      </c>
      <c r="X7" s="68">
        <f>R13</f>
        <v>5641.6247109477044</v>
      </c>
    </row>
    <row r="8" spans="1:24" ht="15.75">
      <c r="H8" s="36" t="s">
        <v>101</v>
      </c>
      <c r="I8" s="60">
        <f>ONSV_AUX_2018!W30</f>
        <v>56</v>
      </c>
      <c r="J8" s="9"/>
      <c r="K8" s="27"/>
      <c r="L8" s="62"/>
      <c r="M8" s="20"/>
      <c r="N8" s="28" t="s">
        <v>128</v>
      </c>
      <c r="O8" s="69">
        <f>J14/O7</f>
        <v>0.9868734396696236</v>
      </c>
      <c r="P8" s="64"/>
      <c r="Q8" s="70" t="s">
        <v>129</v>
      </c>
      <c r="R8" s="63">
        <f>J17/R7</f>
        <v>0.87865125054424076</v>
      </c>
      <c r="S8" s="71"/>
      <c r="T8" s="65" t="s">
        <v>130</v>
      </c>
      <c r="U8" s="67">
        <f>I23-J23</f>
        <v>0.53585635953140809</v>
      </c>
      <c r="V8" s="48"/>
      <c r="W8" s="65" t="s">
        <v>131</v>
      </c>
      <c r="X8" s="68">
        <f>I18-J18</f>
        <v>1.8417951387345965</v>
      </c>
    </row>
    <row r="9" spans="1:24" ht="15.75">
      <c r="H9" s="36" t="s">
        <v>16</v>
      </c>
      <c r="I9" s="60">
        <f>ONSV_AUX_2018!W31</f>
        <v>87</v>
      </c>
      <c r="J9" s="9"/>
      <c r="K9" s="2" t="s">
        <v>132</v>
      </c>
      <c r="L9" s="63">
        <f>I14/L7</f>
        <v>0.71940074631366679</v>
      </c>
      <c r="M9" s="20"/>
      <c r="N9" s="28" t="s">
        <v>133</v>
      </c>
      <c r="O9" s="69">
        <f>J23/O7</f>
        <v>1.3126560330376348E-2</v>
      </c>
      <c r="P9" s="64"/>
      <c r="Q9" s="70" t="s">
        <v>134</v>
      </c>
      <c r="R9" s="63">
        <f>J18/R7</f>
        <v>0.12134874945575928</v>
      </c>
      <c r="S9" s="71"/>
      <c r="T9" s="65" t="s">
        <v>135</v>
      </c>
      <c r="U9" s="72">
        <f>O13</f>
        <v>0</v>
      </c>
      <c r="V9" s="73"/>
      <c r="W9" s="65" t="s">
        <v>136</v>
      </c>
      <c r="X9" s="72">
        <f>R16</f>
        <v>6898.533493913561</v>
      </c>
    </row>
    <row r="10" spans="1:24" ht="15.75">
      <c r="H10" s="36" t="s">
        <v>94</v>
      </c>
      <c r="I10" s="60">
        <f>ONSV_AUX_2018!W32</f>
        <v>477168</v>
      </c>
      <c r="J10" s="10"/>
      <c r="K10" s="2" t="s">
        <v>2</v>
      </c>
      <c r="L10" s="63">
        <f>I17/L7</f>
        <v>0.23814119121730945</v>
      </c>
      <c r="M10" s="20"/>
      <c r="N10" s="20"/>
      <c r="O10" s="74"/>
      <c r="P10" s="48"/>
      <c r="Q10" s="48"/>
      <c r="R10" s="48"/>
      <c r="S10" s="48"/>
      <c r="T10" s="48"/>
      <c r="U10" s="62"/>
      <c r="V10" s="75"/>
      <c r="W10" s="48"/>
      <c r="X10" s="62"/>
    </row>
    <row r="11" spans="1:24" ht="15.75">
      <c r="K11" s="2" t="s">
        <v>3</v>
      </c>
      <c r="L11" s="63">
        <f>I18/L7</f>
        <v>3.2889198905966054E-2</v>
      </c>
      <c r="M11" s="20"/>
      <c r="N11" s="28" t="s">
        <v>137</v>
      </c>
      <c r="O11" s="60">
        <f>IF(O9*I6&gt;J23,J23,O9*I6)</f>
        <v>3648.4641436404686</v>
      </c>
      <c r="P11" s="76"/>
      <c r="Q11" s="65" t="s">
        <v>138</v>
      </c>
      <c r="R11" s="60">
        <f>I7-I15-I16-I19-I22</f>
        <v>46491</v>
      </c>
      <c r="S11" s="77"/>
      <c r="T11" s="65" t="s">
        <v>139</v>
      </c>
      <c r="U11" s="67">
        <f>O19</f>
        <v>263809.71355820645</v>
      </c>
      <c r="V11" s="76"/>
      <c r="W11" s="65" t="s">
        <v>140</v>
      </c>
      <c r="X11" s="67">
        <f>I15</f>
        <v>30863</v>
      </c>
    </row>
    <row r="12" spans="1:24" ht="15.75">
      <c r="H12" s="24" t="s">
        <v>141</v>
      </c>
      <c r="K12" s="2" t="s">
        <v>0</v>
      </c>
      <c r="L12" s="63">
        <f>I23/L7</f>
        <v>9.5688635630577362E-3</v>
      </c>
      <c r="O12" s="48"/>
      <c r="P12" s="76"/>
      <c r="Q12" s="65" t="s">
        <v>142</v>
      </c>
      <c r="R12" s="60">
        <f>R8*R11</f>
        <v>40849.375289052296</v>
      </c>
      <c r="S12" s="48"/>
      <c r="T12" s="65" t="s">
        <v>143</v>
      </c>
      <c r="U12" s="67">
        <f>O17</f>
        <v>10400</v>
      </c>
      <c r="V12" s="66"/>
      <c r="W12" s="65" t="s">
        <v>144</v>
      </c>
      <c r="X12" s="67">
        <f>I16</f>
        <v>6672</v>
      </c>
    </row>
    <row r="13" spans="1:24" ht="15.75">
      <c r="K13" s="11"/>
      <c r="L13" s="11"/>
      <c r="M13" s="11"/>
      <c r="N13" s="28" t="s">
        <v>145</v>
      </c>
      <c r="O13" s="60">
        <f>J23-O11</f>
        <v>0</v>
      </c>
      <c r="P13" s="76"/>
      <c r="Q13" s="65" t="s">
        <v>127</v>
      </c>
      <c r="R13" s="60">
        <f>R9*R11</f>
        <v>5641.6247109477044</v>
      </c>
      <c r="S13" s="48"/>
      <c r="T13" s="65" t="s">
        <v>146</v>
      </c>
      <c r="U13" s="67">
        <f>O18</f>
        <v>87</v>
      </c>
      <c r="V13" s="71"/>
      <c r="W13" s="48"/>
      <c r="X13" s="62"/>
    </row>
    <row r="14" spans="1:24" ht="15.75">
      <c r="H14" s="37" t="s">
        <v>103</v>
      </c>
      <c r="I14" s="60">
        <f>ONSV_AUX_2018!W56</f>
        <v>274337</v>
      </c>
      <c r="J14" s="61">
        <f>I14-(L9*I8)</f>
        <v>274296.71355820645</v>
      </c>
      <c r="K14" s="11"/>
      <c r="L14" s="11"/>
      <c r="M14" s="11"/>
      <c r="O14" s="76"/>
      <c r="P14" s="76"/>
      <c r="Q14" s="48"/>
      <c r="R14" s="78"/>
      <c r="S14" s="48"/>
      <c r="T14" s="65" t="s">
        <v>147</v>
      </c>
      <c r="U14" s="68">
        <f>I14-J14</f>
        <v>40.286441793548875</v>
      </c>
      <c r="V14" s="71"/>
      <c r="W14" s="65" t="s">
        <v>148</v>
      </c>
      <c r="X14" s="67">
        <f>I22</f>
        <v>6065</v>
      </c>
    </row>
    <row r="15" spans="1:24" ht="15.75">
      <c r="H15" s="37" t="s">
        <v>104</v>
      </c>
      <c r="I15" s="60">
        <f>ONSV_AUX_2018!W57</f>
        <v>30863</v>
      </c>
      <c r="J15" s="10">
        <f>I15</f>
        <v>30863</v>
      </c>
      <c r="K15" s="11"/>
      <c r="L15" s="11"/>
      <c r="M15" s="11"/>
      <c r="N15" s="26" t="s">
        <v>149</v>
      </c>
      <c r="O15" s="76"/>
      <c r="P15" s="76"/>
      <c r="Q15" s="65" t="s">
        <v>150</v>
      </c>
      <c r="R15" s="60">
        <f>J17-R12</f>
        <v>49950.288804239528</v>
      </c>
      <c r="S15" s="48"/>
      <c r="T15" s="65" t="s">
        <v>151</v>
      </c>
      <c r="U15" s="72">
        <f>O20</f>
        <v>0</v>
      </c>
      <c r="V15" s="48"/>
      <c r="W15" s="65" t="s">
        <v>152</v>
      </c>
      <c r="X15" s="67">
        <f>I19</f>
        <v>1255</v>
      </c>
    </row>
    <row r="16" spans="1:24" ht="15.75">
      <c r="H16" s="37" t="s">
        <v>105</v>
      </c>
      <c r="I16" s="60">
        <f>ONSV_AUX_2018!W58</f>
        <v>6672</v>
      </c>
      <c r="J16" s="10">
        <f>I16</f>
        <v>6672</v>
      </c>
      <c r="K16" s="11"/>
      <c r="L16" s="11"/>
      <c r="M16" s="11"/>
      <c r="O16" s="73"/>
      <c r="P16" s="76"/>
      <c r="Q16" s="65" t="s">
        <v>136</v>
      </c>
      <c r="R16" s="60">
        <f>J18-R13</f>
        <v>6898.533493913561</v>
      </c>
      <c r="S16" s="48"/>
      <c r="T16" s="48"/>
      <c r="U16" s="62"/>
      <c r="V16" s="77"/>
      <c r="W16" s="48"/>
      <c r="X16" s="62"/>
    </row>
    <row r="17" spans="1:24" ht="15.75">
      <c r="H17" s="37" t="s">
        <v>106</v>
      </c>
      <c r="I17" s="60">
        <f>ONSV_AUX_2018!W59</f>
        <v>90813</v>
      </c>
      <c r="J17" s="61">
        <f>I17-(L10*I8)</f>
        <v>90799.664093291824</v>
      </c>
      <c r="K17" s="11"/>
      <c r="L17" s="11"/>
      <c r="M17" s="11"/>
      <c r="N17" s="28" t="s">
        <v>143</v>
      </c>
      <c r="O17" s="60">
        <f>I5</f>
        <v>10400</v>
      </c>
      <c r="P17" s="76"/>
      <c r="Q17" s="48"/>
      <c r="R17" s="48"/>
      <c r="S17" s="77"/>
      <c r="T17" s="65" t="s">
        <v>142</v>
      </c>
      <c r="U17" s="68">
        <f>R12</f>
        <v>40849.375289052296</v>
      </c>
      <c r="V17" s="48"/>
      <c r="W17" s="65" t="s">
        <v>153</v>
      </c>
      <c r="X17" s="67">
        <f>I20</f>
        <v>388565</v>
      </c>
    </row>
    <row r="18" spans="1:24" ht="15.75">
      <c r="H18" s="37" t="s">
        <v>107</v>
      </c>
      <c r="I18" s="60">
        <f>ONSV_AUX_2018!W60</f>
        <v>12542</v>
      </c>
      <c r="J18" s="61">
        <f>I18-(L11*I8)</f>
        <v>12540.158204861265</v>
      </c>
      <c r="K18" s="11"/>
      <c r="L18" s="11"/>
      <c r="M18" s="11"/>
      <c r="N18" s="28" t="s">
        <v>146</v>
      </c>
      <c r="O18" s="60">
        <f>I9</f>
        <v>87</v>
      </c>
      <c r="P18" s="76"/>
      <c r="Q18" s="48"/>
      <c r="R18" s="48"/>
      <c r="S18" s="48"/>
      <c r="T18" s="65" t="s">
        <v>154</v>
      </c>
      <c r="U18" s="68">
        <f>I17-J17</f>
        <v>13.335906708176481</v>
      </c>
      <c r="V18" s="48"/>
      <c r="W18" s="65" t="s">
        <v>155</v>
      </c>
      <c r="X18" s="67">
        <f>I21</f>
        <v>119496</v>
      </c>
    </row>
    <row r="19" spans="1:24" ht="15.75">
      <c r="H19" s="37" t="s">
        <v>108</v>
      </c>
      <c r="I19" s="60">
        <f>ONSV_AUX_2018!W61</f>
        <v>1255</v>
      </c>
      <c r="J19" s="10">
        <f>I19</f>
        <v>1255</v>
      </c>
      <c r="K19" s="11"/>
      <c r="L19" s="11"/>
      <c r="M19" s="11"/>
      <c r="N19" s="28" t="s">
        <v>139</v>
      </c>
      <c r="O19" s="60">
        <f>IF(OR((O8*I6&gt;J14),((O17+O18+(O8*I6))&gt;J14)),(J14-O17-O18),(O8*I6))</f>
        <v>263809.71355820645</v>
      </c>
      <c r="P19" s="76"/>
      <c r="Q19" s="48"/>
      <c r="R19" s="78"/>
      <c r="S19" s="48"/>
      <c r="T19" s="65" t="s">
        <v>150</v>
      </c>
      <c r="U19" s="72">
        <f>R15</f>
        <v>49950.288804239528</v>
      </c>
      <c r="V19" s="48"/>
      <c r="W19" s="48"/>
      <c r="X19" s="48"/>
    </row>
    <row r="20" spans="1:24" ht="15.75">
      <c r="H20" s="37" t="s">
        <v>109</v>
      </c>
      <c r="I20" s="60">
        <f>ONSV_AUX_2018!W62</f>
        <v>388565</v>
      </c>
      <c r="J20" s="10">
        <f t="shared" ref="J20:J22" si="0">I20</f>
        <v>388565</v>
      </c>
      <c r="K20" s="11"/>
      <c r="L20" s="11"/>
      <c r="M20" s="11"/>
      <c r="N20" s="28" t="s">
        <v>151</v>
      </c>
      <c r="O20" s="60">
        <f>IF((J14-O17-O19-O18)&lt;0,0,(J14-O17-O19-O18))</f>
        <v>0</v>
      </c>
      <c r="P20" s="48"/>
      <c r="Q20" s="48"/>
      <c r="R20" s="48"/>
      <c r="S20" s="48"/>
      <c r="T20" s="48"/>
      <c r="U20" s="62"/>
      <c r="V20" s="48"/>
      <c r="W20" s="48"/>
      <c r="X20" s="48"/>
    </row>
    <row r="21" spans="1:24" ht="15.75">
      <c r="H21" s="37" t="s">
        <v>110</v>
      </c>
      <c r="I21" s="60">
        <f>ONSV_AUX_2018!W63</f>
        <v>119496</v>
      </c>
      <c r="J21" s="10">
        <f t="shared" si="0"/>
        <v>119496</v>
      </c>
      <c r="K21" s="11"/>
      <c r="L21" s="11"/>
      <c r="M21" s="11"/>
      <c r="O21" s="48"/>
      <c r="P21" s="76"/>
      <c r="Q21" s="48"/>
      <c r="R21" s="48"/>
      <c r="S21" s="48"/>
      <c r="T21" s="79" t="s">
        <v>156</v>
      </c>
      <c r="U21" s="80">
        <f>(SUM(U7:U19,X7:X18)/SUM(I14:I23))-1</f>
        <v>0</v>
      </c>
      <c r="V21" s="48"/>
      <c r="W21" s="79" t="s">
        <v>10</v>
      </c>
      <c r="X21" s="67">
        <f>SUM(U7:U19,X7:X18)</f>
        <v>934257</v>
      </c>
    </row>
    <row r="22" spans="1:24" ht="15.75">
      <c r="H22" s="37" t="s">
        <v>111</v>
      </c>
      <c r="I22" s="60">
        <f>ONSV_AUX_2018!W64</f>
        <v>6065</v>
      </c>
      <c r="J22" s="10">
        <f t="shared" si="0"/>
        <v>6065</v>
      </c>
      <c r="K22" s="11"/>
      <c r="L22" s="11"/>
      <c r="M22" s="11"/>
      <c r="O22" s="48"/>
      <c r="P22" s="76"/>
      <c r="Q22" s="48"/>
      <c r="R22" s="48"/>
      <c r="S22" s="48"/>
      <c r="T22" s="48"/>
      <c r="U22" s="48"/>
      <c r="V22" s="48"/>
      <c r="W22" s="48"/>
      <c r="X22" s="48"/>
    </row>
    <row r="23" spans="1:24" ht="15.75">
      <c r="H23" s="37" t="s">
        <v>112</v>
      </c>
      <c r="I23" s="60">
        <f>ONSV_AUX_2018!W65</f>
        <v>3649</v>
      </c>
      <c r="J23" s="61">
        <f>I23-(L12*I8)</f>
        <v>3648.4641436404686</v>
      </c>
      <c r="K23" s="12"/>
      <c r="L23" s="12"/>
      <c r="M23" s="12"/>
      <c r="N23" s="12"/>
      <c r="O23" s="12"/>
      <c r="P23" s="12"/>
      <c r="Q23" s="4"/>
      <c r="R23" s="4"/>
    </row>
    <row r="25" spans="1:24" s="34" customFormat="1" ht="15.75">
      <c r="A25" s="101" t="str">
        <f>"RONDÔNIA/"&amp;ONSV_AUX_2017!A1&amp;""</f>
        <v>RONDÔNIA/2017</v>
      </c>
      <c r="B25" s="102"/>
      <c r="C25" s="102"/>
      <c r="D25" s="102"/>
      <c r="E25" s="102"/>
      <c r="F25" s="102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 spans="1:24" ht="15.75">
      <c r="A26" s="3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>
      <c r="A27" s="12"/>
      <c r="H27" s="23" t="s">
        <v>118</v>
      </c>
      <c r="N27" s="26"/>
      <c r="O27" s="26"/>
      <c r="P27" s="9"/>
      <c r="Q27" s="26"/>
      <c r="R27" s="26"/>
      <c r="S27" s="26"/>
      <c r="T27" s="104"/>
      <c r="U27" s="104"/>
      <c r="V27" s="104"/>
      <c r="W27" s="104"/>
      <c r="X27" s="104"/>
    </row>
    <row r="28" spans="1:24" ht="15.75">
      <c r="B28" s="5"/>
      <c r="J28" s="9"/>
      <c r="M28" s="25"/>
    </row>
    <row r="29" spans="1:24" ht="15.75">
      <c r="H29" s="36" t="s">
        <v>81</v>
      </c>
      <c r="I29" s="60">
        <f>ONSV_AUX_2017!W27</f>
        <v>10356</v>
      </c>
      <c r="J29" s="9"/>
      <c r="K29" s="104" t="s">
        <v>119</v>
      </c>
      <c r="L29" s="104"/>
      <c r="M29" s="9"/>
      <c r="N29" s="26" t="s">
        <v>120</v>
      </c>
      <c r="O29" s="26"/>
      <c r="Q29" s="26" t="s">
        <v>121</v>
      </c>
      <c r="R29" s="26"/>
      <c r="S29" s="26"/>
      <c r="T29" s="25" t="s">
        <v>122</v>
      </c>
      <c r="U29" s="25"/>
      <c r="V29" s="25"/>
      <c r="W29" s="25"/>
      <c r="X29" s="25"/>
    </row>
    <row r="30" spans="1:24" ht="15.75">
      <c r="H30" s="36" t="s">
        <v>84</v>
      </c>
      <c r="I30" s="60">
        <f>ONSV_AUX_2017!W28</f>
        <v>331080</v>
      </c>
      <c r="J30" s="9"/>
      <c r="K30" s="9"/>
      <c r="L30" s="9"/>
      <c r="M30" s="9"/>
      <c r="N30" s="9"/>
      <c r="O30" s="9"/>
      <c r="P30" s="20"/>
      <c r="Q30" s="11"/>
      <c r="R30" s="11"/>
      <c r="S30" s="11"/>
    </row>
    <row r="31" spans="1:24" ht="15.75">
      <c r="H31" s="36" t="s">
        <v>85</v>
      </c>
      <c r="I31" s="60">
        <f>ONSV_AUX_2017!W29</f>
        <v>87110</v>
      </c>
      <c r="J31" s="9"/>
      <c r="K31" s="2" t="s">
        <v>123</v>
      </c>
      <c r="L31" s="60">
        <f>I38+I41+I42+I47</f>
        <v>361510</v>
      </c>
      <c r="N31" s="28" t="s">
        <v>124</v>
      </c>
      <c r="O31" s="60">
        <f>J38+J47</f>
        <v>264224.29902354017</v>
      </c>
      <c r="P31" s="64"/>
      <c r="Q31" s="65" t="s">
        <v>125</v>
      </c>
      <c r="R31" s="60">
        <f>J41+J42</f>
        <v>97243.700976459848</v>
      </c>
      <c r="S31" s="66"/>
      <c r="T31" s="65" t="s">
        <v>126</v>
      </c>
      <c r="U31" s="67">
        <f>O35</f>
        <v>3253.6219523664627</v>
      </c>
      <c r="V31" s="48"/>
      <c r="W31" s="65" t="s">
        <v>127</v>
      </c>
      <c r="X31" s="68">
        <f>R37</f>
        <v>5251.9849056603771</v>
      </c>
    </row>
    <row r="32" spans="1:24" ht="15.75">
      <c r="H32" s="36" t="s">
        <v>101</v>
      </c>
      <c r="I32" s="60">
        <f>ONSV_AUX_2017!W30</f>
        <v>42</v>
      </c>
      <c r="J32" s="9"/>
      <c r="K32" s="27"/>
      <c r="L32" s="62"/>
      <c r="M32" s="20"/>
      <c r="N32" s="28" t="s">
        <v>128</v>
      </c>
      <c r="O32" s="69">
        <f>J38/O31</f>
        <v>0.98768613649694414</v>
      </c>
      <c r="P32" s="64"/>
      <c r="Q32" s="70" t="s">
        <v>129</v>
      </c>
      <c r="R32" s="63">
        <f>J41/R31</f>
        <v>0.87924528301886795</v>
      </c>
      <c r="S32" s="71"/>
      <c r="T32" s="65" t="s">
        <v>130</v>
      </c>
      <c r="U32" s="67">
        <f>I47-J47</f>
        <v>0.37804763353733506</v>
      </c>
      <c r="V32" s="48"/>
      <c r="W32" s="65" t="s">
        <v>131</v>
      </c>
      <c r="X32" s="68">
        <f>I42-J42</f>
        <v>1.364410389754994</v>
      </c>
    </row>
    <row r="33" spans="8:24" ht="15.75">
      <c r="H33" s="36" t="s">
        <v>16</v>
      </c>
      <c r="I33" s="60">
        <f>ONSV_AUX_2017!W31</f>
        <v>80</v>
      </c>
      <c r="J33" s="9"/>
      <c r="K33" s="2" t="s">
        <v>132</v>
      </c>
      <c r="L33" s="63">
        <f>I38/L31</f>
        <v>0.72197449586456808</v>
      </c>
      <c r="M33" s="20"/>
      <c r="N33" s="28" t="s">
        <v>133</v>
      </c>
      <c r="O33" s="69">
        <f>J47/O31</f>
        <v>1.231386350305576E-2</v>
      </c>
      <c r="P33" s="64"/>
      <c r="Q33" s="70" t="s">
        <v>134</v>
      </c>
      <c r="R33" s="63">
        <f>J42/R31</f>
        <v>0.12075471698113206</v>
      </c>
      <c r="S33" s="71"/>
      <c r="T33" s="65" t="s">
        <v>135</v>
      </c>
      <c r="U33" s="72">
        <f>O37</f>
        <v>0</v>
      </c>
      <c r="V33" s="73"/>
      <c r="W33" s="65" t="s">
        <v>136</v>
      </c>
      <c r="X33" s="72">
        <f>R40</f>
        <v>6490.6506839498679</v>
      </c>
    </row>
    <row r="34" spans="8:24" ht="15.75">
      <c r="H34" s="36" t="s">
        <v>94</v>
      </c>
      <c r="I34" s="60">
        <f>ONSV_AUX_2017!W32</f>
        <v>468421</v>
      </c>
      <c r="J34" s="10"/>
      <c r="K34" s="2" t="s">
        <v>2</v>
      </c>
      <c r="L34" s="63">
        <f>I41/L31</f>
        <v>0.23653840834278445</v>
      </c>
      <c r="M34" s="20"/>
      <c r="N34" s="20"/>
      <c r="O34" s="74"/>
      <c r="P34" s="48"/>
      <c r="Q34" s="48"/>
      <c r="R34" s="48"/>
      <c r="S34" s="48"/>
      <c r="T34" s="48"/>
      <c r="U34" s="62"/>
      <c r="V34" s="75"/>
      <c r="W34" s="48"/>
      <c r="X34" s="62"/>
    </row>
    <row r="35" spans="8:24" ht="15.75">
      <c r="K35" s="2" t="s">
        <v>3</v>
      </c>
      <c r="L35" s="63">
        <f>I42/L31</f>
        <v>3.2485961660811594E-2</v>
      </c>
      <c r="M35" s="20"/>
      <c r="N35" s="28" t="s">
        <v>137</v>
      </c>
      <c r="O35" s="60">
        <f>IF(O33*I30&gt;J47,J47,O33*I30)</f>
        <v>3253.6219523664627</v>
      </c>
      <c r="P35" s="76"/>
      <c r="Q35" s="65" t="s">
        <v>138</v>
      </c>
      <c r="R35" s="60">
        <f>I31-I39-I40-I43-I46</f>
        <v>43493</v>
      </c>
      <c r="S35" s="77"/>
      <c r="T35" s="65" t="s">
        <v>139</v>
      </c>
      <c r="U35" s="67">
        <f>O43</f>
        <v>250534.67707117368</v>
      </c>
      <c r="V35" s="76"/>
      <c r="W35" s="65" t="s">
        <v>140</v>
      </c>
      <c r="X35" s="67">
        <f>I39</f>
        <v>30300</v>
      </c>
    </row>
    <row r="36" spans="8:24" ht="15.75">
      <c r="H36" s="24" t="s">
        <v>141</v>
      </c>
      <c r="K36" s="2" t="s">
        <v>0</v>
      </c>
      <c r="L36" s="63">
        <f>I47/L31</f>
        <v>9.0011341318359112E-3</v>
      </c>
      <c r="O36" s="48"/>
      <c r="P36" s="76"/>
      <c r="Q36" s="65" t="s">
        <v>142</v>
      </c>
      <c r="R36" s="60">
        <f>R32*R35</f>
        <v>38241.015094339622</v>
      </c>
      <c r="S36" s="48"/>
      <c r="T36" s="65" t="s">
        <v>143</v>
      </c>
      <c r="U36" s="67">
        <f>O41</f>
        <v>10356</v>
      </c>
      <c r="V36" s="66"/>
      <c r="W36" s="65" t="s">
        <v>144</v>
      </c>
      <c r="X36" s="67">
        <f>I40</f>
        <v>6256</v>
      </c>
    </row>
    <row r="37" spans="8:24" ht="15.75">
      <c r="K37" s="11"/>
      <c r="L37" s="11"/>
      <c r="M37" s="11"/>
      <c r="N37" s="28" t="s">
        <v>145</v>
      </c>
      <c r="O37" s="60">
        <f>J47-O35</f>
        <v>0</v>
      </c>
      <c r="P37" s="76"/>
      <c r="Q37" s="65" t="s">
        <v>127</v>
      </c>
      <c r="R37" s="60">
        <f>R33*R35</f>
        <v>5251.9849056603771</v>
      </c>
      <c r="S37" s="48"/>
      <c r="T37" s="65" t="s">
        <v>146</v>
      </c>
      <c r="U37" s="67">
        <f>O42</f>
        <v>80</v>
      </c>
      <c r="V37" s="71"/>
      <c r="W37" s="48"/>
      <c r="X37" s="62"/>
    </row>
    <row r="38" spans="8:24" ht="15.75">
      <c r="H38" s="37" t="s">
        <v>103</v>
      </c>
      <c r="I38" s="60">
        <f>ONSV_AUX_2017!W56</f>
        <v>261001</v>
      </c>
      <c r="J38" s="61">
        <f>I38-(L33*I32)</f>
        <v>260970.67707117368</v>
      </c>
      <c r="K38" s="11"/>
      <c r="L38" s="11"/>
      <c r="M38" s="11"/>
      <c r="O38" s="76"/>
      <c r="P38" s="76"/>
      <c r="Q38" s="48"/>
      <c r="R38" s="78"/>
      <c r="S38" s="48"/>
      <c r="T38" s="65" t="s">
        <v>147</v>
      </c>
      <c r="U38" s="68">
        <f>I38-J38</f>
        <v>30.322928826324642</v>
      </c>
      <c r="V38" s="71"/>
      <c r="W38" s="65" t="s">
        <v>148</v>
      </c>
      <c r="X38" s="67">
        <f>I46</f>
        <v>5855</v>
      </c>
    </row>
    <row r="39" spans="8:24" ht="15.75">
      <c r="H39" s="37" t="s">
        <v>104</v>
      </c>
      <c r="I39" s="60">
        <f>ONSV_AUX_2017!W57</f>
        <v>30300</v>
      </c>
      <c r="J39" s="10">
        <f>I39</f>
        <v>30300</v>
      </c>
      <c r="K39" s="11"/>
      <c r="L39" s="11"/>
      <c r="M39" s="11"/>
      <c r="N39" s="26" t="s">
        <v>149</v>
      </c>
      <c r="O39" s="76"/>
      <c r="P39" s="76"/>
      <c r="Q39" s="65" t="s">
        <v>150</v>
      </c>
      <c r="R39" s="60">
        <f>J41-R36</f>
        <v>47260.050292509979</v>
      </c>
      <c r="S39" s="48"/>
      <c r="T39" s="65" t="s">
        <v>151</v>
      </c>
      <c r="U39" s="72">
        <f>O44</f>
        <v>0</v>
      </c>
      <c r="V39" s="48"/>
      <c r="W39" s="65" t="s">
        <v>152</v>
      </c>
      <c r="X39" s="67">
        <f>I43</f>
        <v>1206</v>
      </c>
    </row>
    <row r="40" spans="8:24" ht="15.75">
      <c r="H40" s="37" t="s">
        <v>105</v>
      </c>
      <c r="I40" s="60">
        <f>ONSV_AUX_2017!W58</f>
        <v>6256</v>
      </c>
      <c r="J40" s="10">
        <f>I40</f>
        <v>6256</v>
      </c>
      <c r="K40" s="11"/>
      <c r="L40" s="11"/>
      <c r="M40" s="11"/>
      <c r="O40" s="73"/>
      <c r="P40" s="76"/>
      <c r="Q40" s="65" t="s">
        <v>136</v>
      </c>
      <c r="R40" s="60">
        <f>J42-R37</f>
        <v>6490.6506839498679</v>
      </c>
      <c r="S40" s="48"/>
      <c r="T40" s="48"/>
      <c r="U40" s="62"/>
      <c r="V40" s="77"/>
      <c r="W40" s="48"/>
      <c r="X40" s="62"/>
    </row>
    <row r="41" spans="8:24" ht="15.75">
      <c r="H41" s="37" t="s">
        <v>106</v>
      </c>
      <c r="I41" s="60">
        <f>ONSV_AUX_2017!W59</f>
        <v>85511</v>
      </c>
      <c r="J41" s="61">
        <f>I41-(L34*I32)</f>
        <v>85501.065386849601</v>
      </c>
      <c r="K41" s="11"/>
      <c r="L41" s="11"/>
      <c r="M41" s="11"/>
      <c r="N41" s="28" t="s">
        <v>143</v>
      </c>
      <c r="O41" s="60">
        <f>I29</f>
        <v>10356</v>
      </c>
      <c r="P41" s="76"/>
      <c r="Q41" s="48"/>
      <c r="R41" s="48"/>
      <c r="S41" s="77"/>
      <c r="T41" s="65" t="s">
        <v>142</v>
      </c>
      <c r="U41" s="68">
        <f>R36</f>
        <v>38241.015094339622</v>
      </c>
      <c r="V41" s="48"/>
      <c r="W41" s="65" t="s">
        <v>153</v>
      </c>
      <c r="X41" s="67">
        <f>I44</f>
        <v>376828</v>
      </c>
    </row>
    <row r="42" spans="8:24" ht="15.75">
      <c r="H42" s="37" t="s">
        <v>107</v>
      </c>
      <c r="I42" s="60">
        <f>ONSV_AUX_2017!W60</f>
        <v>11744</v>
      </c>
      <c r="J42" s="61">
        <f>I42-(L35*I32)</f>
        <v>11742.635589610245</v>
      </c>
      <c r="K42" s="11"/>
      <c r="L42" s="11"/>
      <c r="M42" s="11"/>
      <c r="N42" s="28" t="s">
        <v>146</v>
      </c>
      <c r="O42" s="60">
        <f>I33</f>
        <v>80</v>
      </c>
      <c r="P42" s="76"/>
      <c r="Q42" s="48"/>
      <c r="R42" s="48"/>
      <c r="S42" s="48"/>
      <c r="T42" s="65" t="s">
        <v>154</v>
      </c>
      <c r="U42" s="68">
        <f>I41-J41</f>
        <v>9.9346131503989454</v>
      </c>
      <c r="V42" s="48"/>
      <c r="W42" s="65" t="s">
        <v>155</v>
      </c>
      <c r="X42" s="67">
        <f>I45</f>
        <v>114909</v>
      </c>
    </row>
    <row r="43" spans="8:24" ht="15.75">
      <c r="H43" s="37" t="s">
        <v>108</v>
      </c>
      <c r="I43" s="60">
        <f>ONSV_AUX_2017!W61</f>
        <v>1206</v>
      </c>
      <c r="J43" s="10">
        <f>I43</f>
        <v>1206</v>
      </c>
      <c r="K43" s="11"/>
      <c r="L43" s="11"/>
      <c r="M43" s="11"/>
      <c r="N43" s="28" t="s">
        <v>139</v>
      </c>
      <c r="O43" s="60">
        <f>IF(OR((O32*I30&gt;J38),((O41+O42+(O32*I30))&gt;J38)),(J38-O41-O42),(O32*I30))</f>
        <v>250534.67707117368</v>
      </c>
      <c r="P43" s="76"/>
      <c r="Q43" s="48"/>
      <c r="R43" s="78"/>
      <c r="S43" s="48"/>
      <c r="T43" s="65" t="s">
        <v>150</v>
      </c>
      <c r="U43" s="72">
        <f>R39</f>
        <v>47260.050292509979</v>
      </c>
      <c r="V43" s="48"/>
      <c r="W43" s="48"/>
      <c r="X43" s="48"/>
    </row>
    <row r="44" spans="8:24" ht="15.75">
      <c r="H44" s="37" t="s">
        <v>109</v>
      </c>
      <c r="I44" s="60">
        <f>ONSV_AUX_2017!W62</f>
        <v>376828</v>
      </c>
      <c r="J44" s="10">
        <f>I44</f>
        <v>376828</v>
      </c>
      <c r="K44" s="11"/>
      <c r="L44" s="11"/>
      <c r="M44" s="11"/>
      <c r="N44" s="28" t="s">
        <v>151</v>
      </c>
      <c r="O44" s="60">
        <f>IF((J38-O41-O43-O42)&lt;0,0,(J38-O41-O43-O42))</f>
        <v>0</v>
      </c>
      <c r="P44" s="48"/>
      <c r="Q44" s="48"/>
      <c r="R44" s="48"/>
      <c r="S44" s="48"/>
      <c r="T44" s="48"/>
      <c r="U44" s="62"/>
      <c r="V44" s="48"/>
      <c r="W44" s="48"/>
      <c r="X44" s="48"/>
    </row>
    <row r="45" spans="8:24" ht="15.75">
      <c r="H45" s="37" t="s">
        <v>110</v>
      </c>
      <c r="I45" s="60">
        <f>ONSV_AUX_2017!W63</f>
        <v>114909</v>
      </c>
      <c r="J45" s="10">
        <f>I45</f>
        <v>114909</v>
      </c>
      <c r="K45" s="11"/>
      <c r="L45" s="11"/>
      <c r="M45" s="11"/>
      <c r="O45" s="48"/>
      <c r="P45" s="76"/>
      <c r="Q45" s="48"/>
      <c r="R45" s="48"/>
      <c r="S45" s="48"/>
      <c r="T45" s="79" t="s">
        <v>156</v>
      </c>
      <c r="U45" s="80">
        <f>(SUM(U31:U43,X31:X42)/SUM(I38:I47))-1</f>
        <v>0</v>
      </c>
      <c r="V45" s="48"/>
      <c r="W45" s="79" t="s">
        <v>10</v>
      </c>
      <c r="X45" s="67">
        <f>SUM(U31:U43,X31:X42)</f>
        <v>896864</v>
      </c>
    </row>
    <row r="46" spans="8:24" ht="15.75">
      <c r="H46" s="37" t="s">
        <v>111</v>
      </c>
      <c r="I46" s="60">
        <f>ONSV_AUX_2017!W64</f>
        <v>5855</v>
      </c>
      <c r="J46" s="10">
        <f>I46</f>
        <v>5855</v>
      </c>
      <c r="K46" s="11"/>
      <c r="L46" s="11"/>
      <c r="M46" s="11"/>
      <c r="O46" s="48"/>
      <c r="P46" s="76"/>
      <c r="Q46" s="48"/>
      <c r="R46" s="48"/>
      <c r="S46" s="48"/>
      <c r="T46" s="48"/>
      <c r="U46" s="48"/>
      <c r="V46" s="48"/>
      <c r="W46" s="48"/>
      <c r="X46" s="48"/>
    </row>
    <row r="47" spans="8:24" ht="15.75">
      <c r="H47" s="37" t="s">
        <v>112</v>
      </c>
      <c r="I47" s="60">
        <f>ONSV_AUX_2017!W65</f>
        <v>3254</v>
      </c>
      <c r="J47" s="61">
        <f>I47-(L36*I32)</f>
        <v>3253.6219523664627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39"/>
      <c r="I48" s="40"/>
      <c r="J48" s="40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4" customFormat="1" ht="15.75">
      <c r="A50" s="101" t="str">
        <f>"RONDÔNIA/"&amp;ONSV_AUX_2016!A1&amp;""</f>
        <v>RONDÔNIA/2016</v>
      </c>
      <c r="B50" s="102"/>
      <c r="C50" s="102"/>
      <c r="D50" s="102"/>
      <c r="E50" s="102"/>
      <c r="F50" s="102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</row>
    <row r="52" spans="1:24" ht="15.75">
      <c r="H52" s="23" t="s">
        <v>118</v>
      </c>
      <c r="N52" s="26"/>
      <c r="O52" s="26"/>
      <c r="P52" s="9"/>
      <c r="Q52" s="26"/>
      <c r="R52" s="26"/>
      <c r="S52" s="26"/>
      <c r="T52" s="104"/>
      <c r="U52" s="104"/>
      <c r="V52" s="104"/>
      <c r="W52" s="104"/>
      <c r="X52" s="104"/>
    </row>
    <row r="53" spans="1:24" ht="15.75">
      <c r="J53" s="9"/>
      <c r="M53" s="25"/>
      <c r="N53" s="9"/>
      <c r="O53" s="9"/>
      <c r="P53" s="9"/>
      <c r="Q53" s="11"/>
      <c r="R53" s="11"/>
      <c r="S53" s="11"/>
    </row>
    <row r="54" spans="1:24" ht="15.75">
      <c r="H54" s="36" t="s">
        <v>81</v>
      </c>
      <c r="I54" s="60">
        <f>ONSV_AUX_2016!W27</f>
        <v>10312</v>
      </c>
      <c r="J54" s="9"/>
      <c r="K54" s="104" t="s">
        <v>119</v>
      </c>
      <c r="L54" s="104"/>
      <c r="M54" s="9"/>
      <c r="N54" s="26" t="s">
        <v>120</v>
      </c>
      <c r="O54" s="26"/>
      <c r="Q54" s="26" t="s">
        <v>121</v>
      </c>
      <c r="R54" s="26"/>
      <c r="S54" s="26"/>
      <c r="T54" s="25" t="s">
        <v>122</v>
      </c>
      <c r="U54" s="25"/>
      <c r="V54" s="25"/>
      <c r="W54" s="25"/>
      <c r="X54" s="25"/>
    </row>
    <row r="55" spans="1:24" ht="15.75">
      <c r="H55" s="36" t="s">
        <v>84</v>
      </c>
      <c r="I55" s="60">
        <f>ONSV_AUX_2016!W28</f>
        <v>309949</v>
      </c>
      <c r="J55" s="9"/>
      <c r="K55" s="9"/>
      <c r="L55" s="9"/>
      <c r="M55" s="9"/>
      <c r="N55" s="9"/>
      <c r="O55" s="9"/>
      <c r="P55" s="20"/>
      <c r="Q55" s="11"/>
      <c r="R55" s="11"/>
      <c r="S55" s="11"/>
    </row>
    <row r="56" spans="1:24" ht="15.75">
      <c r="H56" s="36" t="s">
        <v>85</v>
      </c>
      <c r="I56" s="60">
        <f>ONSV_AUX_2016!W29</f>
        <v>83147</v>
      </c>
      <c r="J56" s="9"/>
      <c r="K56" s="2" t="s">
        <v>123</v>
      </c>
      <c r="L56" s="60">
        <f>I63+I66+I67+I72</f>
        <v>345232</v>
      </c>
      <c r="N56" s="28" t="s">
        <v>124</v>
      </c>
      <c r="O56" s="60">
        <f>J63+J72</f>
        <v>253456.03605111924</v>
      </c>
      <c r="P56" s="64"/>
      <c r="Q56" s="65" t="s">
        <v>125</v>
      </c>
      <c r="R56" s="60">
        <f>J66+J67</f>
        <v>91741.963948880744</v>
      </c>
      <c r="S56" s="66"/>
      <c r="T56" s="65" t="s">
        <v>126</v>
      </c>
      <c r="U56" s="67">
        <f>O60</f>
        <v>2893.714985864578</v>
      </c>
      <c r="V56" s="48"/>
      <c r="W56" s="65" t="s">
        <v>127</v>
      </c>
      <c r="X56" s="68">
        <f>R62</f>
        <v>4932.3930529367535</v>
      </c>
    </row>
    <row r="57" spans="1:24" ht="15.75">
      <c r="H57" s="36" t="s">
        <v>101</v>
      </c>
      <c r="I57" s="60">
        <f>ONSV_AUX_2016!W30</f>
        <v>34</v>
      </c>
      <c r="J57" s="9"/>
      <c r="K57" s="27"/>
      <c r="L57" s="62"/>
      <c r="M57" s="20"/>
      <c r="N57" s="28" t="s">
        <v>128</v>
      </c>
      <c r="O57" s="69">
        <f>J63/O56</f>
        <v>0.98858297071575385</v>
      </c>
      <c r="P57" s="64"/>
      <c r="Q57" s="70" t="s">
        <v>129</v>
      </c>
      <c r="R57" s="63">
        <f>J66/R56</f>
        <v>0.87861712678880888</v>
      </c>
      <c r="S57" s="71"/>
      <c r="T57" s="65" t="s">
        <v>130</v>
      </c>
      <c r="U57" s="67">
        <f>I72-J72</f>
        <v>0.28501413542198861</v>
      </c>
      <c r="V57" s="48"/>
      <c r="W57" s="65" t="s">
        <v>131</v>
      </c>
      <c r="X57" s="68">
        <f>I67-J67</f>
        <v>1.0968218473371962</v>
      </c>
    </row>
    <row r="58" spans="1:24" ht="15.75">
      <c r="H58" s="36" t="s">
        <v>16</v>
      </c>
      <c r="I58" s="60">
        <f>ONSV_AUX_2016!W31</f>
        <v>83</v>
      </c>
      <c r="J58" s="9"/>
      <c r="K58" s="2" t="s">
        <v>132</v>
      </c>
      <c r="L58" s="63">
        <f>I63/L56</f>
        <v>0.72585102192149042</v>
      </c>
      <c r="M58" s="20"/>
      <c r="N58" s="28" t="s">
        <v>133</v>
      </c>
      <c r="O58" s="69">
        <f>J72/O56</f>
        <v>1.1417029284246157E-2</v>
      </c>
      <c r="P58" s="64"/>
      <c r="Q58" s="70" t="s">
        <v>134</v>
      </c>
      <c r="R58" s="63">
        <f>J67/R56</f>
        <v>0.12138287321119118</v>
      </c>
      <c r="S58" s="71"/>
      <c r="T58" s="65" t="s">
        <v>135</v>
      </c>
      <c r="U58" s="72">
        <f>O62</f>
        <v>0</v>
      </c>
      <c r="V58" s="73"/>
      <c r="W58" s="65" t="s">
        <v>136</v>
      </c>
      <c r="X58" s="72">
        <f>R65</f>
        <v>6203.5101252159093</v>
      </c>
    </row>
    <row r="59" spans="1:24" ht="15.75">
      <c r="H59" s="36" t="s">
        <v>94</v>
      </c>
      <c r="I59" s="60">
        <f>ONSV_AUX_2016!W32</f>
        <v>458999</v>
      </c>
      <c r="J59" s="10"/>
      <c r="K59" s="2" t="s">
        <v>2</v>
      </c>
      <c r="L59" s="63">
        <f>I66/L56</f>
        <v>0.23350674329146776</v>
      </c>
      <c r="M59" s="20"/>
      <c r="N59" s="20"/>
      <c r="O59" s="74"/>
      <c r="P59" s="48"/>
      <c r="Q59" s="48"/>
      <c r="R59" s="48"/>
      <c r="S59" s="48"/>
      <c r="T59" s="48"/>
      <c r="U59" s="62"/>
      <c r="V59" s="75"/>
      <c r="W59" s="48"/>
      <c r="X59" s="62"/>
    </row>
    <row r="60" spans="1:24" ht="15.75">
      <c r="K60" s="2" t="s">
        <v>3</v>
      </c>
      <c r="L60" s="63">
        <f>I67/L56</f>
        <v>3.2259466098160078E-2</v>
      </c>
      <c r="M60" s="20"/>
      <c r="N60" s="28" t="s">
        <v>137</v>
      </c>
      <c r="O60" s="60">
        <f>IF(O58*I55&gt;J72,J72,O58*I55)</f>
        <v>2893.714985864578</v>
      </c>
      <c r="P60" s="76"/>
      <c r="Q60" s="65" t="s">
        <v>138</v>
      </c>
      <c r="R60" s="60">
        <f>I56-I64-I65-I68-I71</f>
        <v>40635</v>
      </c>
      <c r="S60" s="77"/>
      <c r="T60" s="65" t="s">
        <v>139</v>
      </c>
      <c r="U60" s="67">
        <f>O68</f>
        <v>240167.32106525465</v>
      </c>
      <c r="V60" s="76"/>
      <c r="W60" s="65" t="s">
        <v>140</v>
      </c>
      <c r="X60" s="67">
        <f>I64</f>
        <v>29692</v>
      </c>
    </row>
    <row r="61" spans="1:24" ht="15.75">
      <c r="H61" s="24" t="s">
        <v>141</v>
      </c>
      <c r="K61" s="2" t="s">
        <v>0</v>
      </c>
      <c r="L61" s="63">
        <f>I72/L56</f>
        <v>8.3827686888816796E-3</v>
      </c>
      <c r="O61" s="48"/>
      <c r="P61" s="76"/>
      <c r="Q61" s="65" t="s">
        <v>142</v>
      </c>
      <c r="R61" s="60">
        <f>R57*R60</f>
        <v>35702.60694706325</v>
      </c>
      <c r="S61" s="48"/>
      <c r="T61" s="65" t="s">
        <v>143</v>
      </c>
      <c r="U61" s="67">
        <f>O66</f>
        <v>10312</v>
      </c>
      <c r="V61" s="66"/>
      <c r="W61" s="65" t="s">
        <v>144</v>
      </c>
      <c r="X61" s="67">
        <f>I65</f>
        <v>6020</v>
      </c>
    </row>
    <row r="62" spans="1:24" ht="15.75">
      <c r="K62" s="11"/>
      <c r="L62" s="11"/>
      <c r="M62" s="11"/>
      <c r="N62" s="28" t="s">
        <v>145</v>
      </c>
      <c r="O62" s="60">
        <f>J72-O60</f>
        <v>0</v>
      </c>
      <c r="P62" s="76"/>
      <c r="Q62" s="65" t="s">
        <v>127</v>
      </c>
      <c r="R62" s="60">
        <f>R58*R60</f>
        <v>4932.3930529367535</v>
      </c>
      <c r="S62" s="48"/>
      <c r="T62" s="65" t="s">
        <v>146</v>
      </c>
      <c r="U62" s="67">
        <f>O67</f>
        <v>83</v>
      </c>
      <c r="V62" s="71"/>
      <c r="W62" s="48"/>
      <c r="X62" s="62"/>
    </row>
    <row r="63" spans="1:24" ht="15.75">
      <c r="H63" s="37" t="s">
        <v>103</v>
      </c>
      <c r="I63" s="60">
        <f>ONSV_AUX_2016!W56</f>
        <v>250587</v>
      </c>
      <c r="J63" s="61">
        <f>I63-(L58*I57)</f>
        <v>250562.32106525465</v>
      </c>
      <c r="K63" s="11"/>
      <c r="L63" s="11"/>
      <c r="M63" s="11"/>
      <c r="O63" s="76"/>
      <c r="P63" s="76"/>
      <c r="Q63" s="48"/>
      <c r="R63" s="78"/>
      <c r="S63" s="48"/>
      <c r="T63" s="65" t="s">
        <v>147</v>
      </c>
      <c r="U63" s="68">
        <f>I63-J63</f>
        <v>24.678934745345032</v>
      </c>
      <c r="V63" s="71"/>
      <c r="W63" s="65" t="s">
        <v>148</v>
      </c>
      <c r="X63" s="67">
        <f>I71</f>
        <v>5615</v>
      </c>
    </row>
    <row r="64" spans="1:24" ht="15.75">
      <c r="H64" s="37" t="s">
        <v>104</v>
      </c>
      <c r="I64" s="60">
        <f>ONSV_AUX_2016!W57</f>
        <v>29692</v>
      </c>
      <c r="J64" s="10">
        <f>I64</f>
        <v>29692</v>
      </c>
      <c r="K64" s="11"/>
      <c r="L64" s="11"/>
      <c r="M64" s="11"/>
      <c r="N64" s="26" t="s">
        <v>149</v>
      </c>
      <c r="O64" s="76"/>
      <c r="P64" s="76"/>
      <c r="Q64" s="65" t="s">
        <v>150</v>
      </c>
      <c r="R64" s="60">
        <f>J66-R61</f>
        <v>44903.453823664837</v>
      </c>
      <c r="S64" s="48"/>
      <c r="T64" s="65" t="s">
        <v>151</v>
      </c>
      <c r="U64" s="72">
        <f>O69</f>
        <v>0</v>
      </c>
      <c r="V64" s="48"/>
      <c r="W64" s="65" t="s">
        <v>152</v>
      </c>
      <c r="X64" s="67">
        <f>I68</f>
        <v>1185</v>
      </c>
    </row>
    <row r="65" spans="1:24" ht="15.75">
      <c r="H65" s="37" t="s">
        <v>105</v>
      </c>
      <c r="I65" s="60">
        <f>ONSV_AUX_2016!W58</f>
        <v>6020</v>
      </c>
      <c r="J65" s="10">
        <f>I65</f>
        <v>6020</v>
      </c>
      <c r="K65" s="11"/>
      <c r="L65" s="11"/>
      <c r="M65" s="11"/>
      <c r="O65" s="73"/>
      <c r="P65" s="76"/>
      <c r="Q65" s="65" t="s">
        <v>136</v>
      </c>
      <c r="R65" s="60">
        <f>J67-R62</f>
        <v>6203.5101252159093</v>
      </c>
      <c r="S65" s="48"/>
      <c r="T65" s="48"/>
      <c r="U65" s="62"/>
      <c r="V65" s="77"/>
      <c r="W65" s="48"/>
      <c r="X65" s="62"/>
    </row>
    <row r="66" spans="1:24" ht="15.75">
      <c r="H66" s="37" t="s">
        <v>106</v>
      </c>
      <c r="I66" s="60">
        <f>ONSV_AUX_2016!W59</f>
        <v>80614</v>
      </c>
      <c r="J66" s="61">
        <f>I66-(L59*I57)</f>
        <v>80606.060770728087</v>
      </c>
      <c r="K66" s="11"/>
      <c r="L66" s="11"/>
      <c r="M66" s="11"/>
      <c r="N66" s="28" t="s">
        <v>143</v>
      </c>
      <c r="O66" s="60">
        <f>I54</f>
        <v>10312</v>
      </c>
      <c r="P66" s="76"/>
      <c r="Q66" s="48"/>
      <c r="R66" s="48"/>
      <c r="S66" s="77"/>
      <c r="T66" s="65" t="s">
        <v>142</v>
      </c>
      <c r="U66" s="68">
        <f>R61</f>
        <v>35702.60694706325</v>
      </c>
      <c r="V66" s="48"/>
      <c r="W66" s="65" t="s">
        <v>153</v>
      </c>
      <c r="X66" s="67">
        <f>I69</f>
        <v>364315</v>
      </c>
    </row>
    <row r="67" spans="1:24" ht="15.75">
      <c r="H67" s="37" t="s">
        <v>107</v>
      </c>
      <c r="I67" s="60">
        <f>ONSV_AUX_2016!W60</f>
        <v>11137</v>
      </c>
      <c r="J67" s="61">
        <f>I67-(L60*I57)</f>
        <v>11135.903178152663</v>
      </c>
      <c r="K67" s="11"/>
      <c r="L67" s="11"/>
      <c r="M67" s="11"/>
      <c r="N67" s="28" t="s">
        <v>146</v>
      </c>
      <c r="O67" s="60">
        <f>I58</f>
        <v>83</v>
      </c>
      <c r="P67" s="76"/>
      <c r="Q67" s="48"/>
      <c r="R67" s="48"/>
      <c r="S67" s="48"/>
      <c r="T67" s="65" t="s">
        <v>154</v>
      </c>
      <c r="U67" s="68">
        <f>I66-J66</f>
        <v>7.9392292719130637</v>
      </c>
      <c r="V67" s="48"/>
      <c r="W67" s="65" t="s">
        <v>155</v>
      </c>
      <c r="X67" s="67">
        <f>I70</f>
        <v>110365</v>
      </c>
    </row>
    <row r="68" spans="1:24" ht="15.75">
      <c r="H68" s="37" t="s">
        <v>108</v>
      </c>
      <c r="I68" s="60">
        <f>ONSV_AUX_2016!W61</f>
        <v>1185</v>
      </c>
      <c r="J68" s="10">
        <f>I68</f>
        <v>1185</v>
      </c>
      <c r="K68" s="11"/>
      <c r="L68" s="11"/>
      <c r="M68" s="11"/>
      <c r="N68" s="28" t="s">
        <v>139</v>
      </c>
      <c r="O68" s="60">
        <f>IF(OR((O57*I55&gt;J63),((O66+O67+(O57*I55))&gt;J63)),(J63-O66-O67),(O57*I55))</f>
        <v>240167.32106525465</v>
      </c>
      <c r="P68" s="76"/>
      <c r="Q68" s="48"/>
      <c r="R68" s="78"/>
      <c r="S68" s="48"/>
      <c r="T68" s="65" t="s">
        <v>150</v>
      </c>
      <c r="U68" s="72">
        <f>R64</f>
        <v>44903.453823664837</v>
      </c>
      <c r="V68" s="48"/>
      <c r="W68" s="48"/>
      <c r="X68" s="48"/>
    </row>
    <row r="69" spans="1:24" ht="15.75">
      <c r="H69" s="37" t="s">
        <v>109</v>
      </c>
      <c r="I69" s="60">
        <f>ONSV_AUX_2016!W62</f>
        <v>364315</v>
      </c>
      <c r="J69" s="10">
        <f>I69</f>
        <v>364315</v>
      </c>
      <c r="K69" s="11"/>
      <c r="L69" s="11"/>
      <c r="M69" s="11"/>
      <c r="N69" s="28" t="s">
        <v>151</v>
      </c>
      <c r="O69" s="60">
        <f>IF((J63-O66-O68-O67)&lt;0,0,(J63-O66-O68-O67))</f>
        <v>0</v>
      </c>
      <c r="P69" s="48"/>
      <c r="Q69" s="48"/>
      <c r="R69" s="48"/>
      <c r="S69" s="48"/>
      <c r="T69" s="48"/>
      <c r="U69" s="62"/>
      <c r="V69" s="48"/>
      <c r="W69" s="48"/>
      <c r="X69" s="48"/>
    </row>
    <row r="70" spans="1:24" ht="15.75">
      <c r="H70" s="37" t="s">
        <v>110</v>
      </c>
      <c r="I70" s="60">
        <f>ONSV_AUX_2016!W63</f>
        <v>110365</v>
      </c>
      <c r="J70" s="10">
        <f>I70</f>
        <v>110365</v>
      </c>
      <c r="K70" s="11"/>
      <c r="L70" s="11"/>
      <c r="M70" s="11"/>
      <c r="O70" s="48"/>
      <c r="P70" s="76"/>
      <c r="Q70" s="48"/>
      <c r="R70" s="48"/>
      <c r="S70" s="48"/>
      <c r="T70" s="79" t="s">
        <v>156</v>
      </c>
      <c r="U70" s="80">
        <f>(SUM(U56:U68,X56:X67)/SUM(I63:I72))-1</f>
        <v>0</v>
      </c>
      <c r="V70" s="48"/>
      <c r="W70" s="79" t="s">
        <v>10</v>
      </c>
      <c r="X70" s="67">
        <f>SUM(U56:U68,X56:X67)</f>
        <v>862424</v>
      </c>
    </row>
    <row r="71" spans="1:24" ht="15.75">
      <c r="H71" s="37" t="s">
        <v>111</v>
      </c>
      <c r="I71" s="60">
        <f>ONSV_AUX_2016!W64</f>
        <v>5615</v>
      </c>
      <c r="J71" s="10">
        <f>I71</f>
        <v>5615</v>
      </c>
      <c r="K71" s="11"/>
      <c r="L71" s="11"/>
      <c r="M71" s="11"/>
      <c r="O71" s="48"/>
      <c r="P71" s="76"/>
      <c r="Q71" s="48"/>
      <c r="R71" s="48"/>
      <c r="S71" s="48"/>
      <c r="T71" s="48"/>
      <c r="U71" s="48"/>
      <c r="V71" s="48"/>
      <c r="W71" s="48"/>
      <c r="X71" s="48"/>
    </row>
    <row r="72" spans="1:24" ht="15.75">
      <c r="H72" s="37" t="s">
        <v>112</v>
      </c>
      <c r="I72" s="60">
        <f>ONSV_AUX_2016!W65</f>
        <v>2894</v>
      </c>
      <c r="J72" s="61">
        <f>I72-(L61*I57)</f>
        <v>2893.714985864578</v>
      </c>
      <c r="K72" s="12"/>
      <c r="L72" s="12"/>
      <c r="M72" s="12"/>
      <c r="N72" s="12"/>
      <c r="O72" s="12"/>
      <c r="P72" s="12"/>
      <c r="Q72" s="4"/>
      <c r="R72" s="4"/>
    </row>
    <row r="75" spans="1:24" s="34" customFormat="1" ht="15.75">
      <c r="A75" s="101" t="str">
        <f>"RONDÔNIA/"&amp;ONSV_AUX_2015!A1&amp;""</f>
        <v>RONDÔNIA/2015</v>
      </c>
      <c r="B75" s="102"/>
      <c r="C75" s="102"/>
      <c r="D75" s="102"/>
      <c r="E75" s="102"/>
      <c r="F75" s="102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 spans="1:24"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>
      <c r="H77" s="23" t="s">
        <v>118</v>
      </c>
      <c r="P77" s="9"/>
    </row>
    <row r="78" spans="1:24" ht="15.75">
      <c r="J78" s="9"/>
      <c r="M78" s="25"/>
      <c r="P78" s="9"/>
    </row>
    <row r="79" spans="1:24" ht="15.75">
      <c r="H79" s="36" t="s">
        <v>81</v>
      </c>
      <c r="I79" s="60">
        <f>ONSV_AUX_2015!W27</f>
        <v>10283</v>
      </c>
      <c r="J79" s="9"/>
      <c r="K79" s="104" t="s">
        <v>119</v>
      </c>
      <c r="L79" s="104"/>
      <c r="M79" s="9"/>
      <c r="N79" s="26" t="s">
        <v>120</v>
      </c>
      <c r="O79" s="26"/>
      <c r="Q79" s="26" t="s">
        <v>121</v>
      </c>
      <c r="R79" s="26"/>
      <c r="S79" s="26"/>
      <c r="T79" s="25" t="s">
        <v>122</v>
      </c>
      <c r="U79" s="25"/>
      <c r="V79" s="25"/>
      <c r="W79" s="25"/>
      <c r="X79" s="25"/>
    </row>
    <row r="80" spans="1:24" ht="15.75">
      <c r="H80" s="36" t="s">
        <v>84</v>
      </c>
      <c r="I80" s="60">
        <f>ONSV_AUX_2015!W28</f>
        <v>280040</v>
      </c>
      <c r="J80" s="9"/>
      <c r="K80" s="9"/>
      <c r="L80" s="9"/>
      <c r="M80" s="9"/>
      <c r="N80" s="9"/>
      <c r="O80" s="9"/>
      <c r="P80" s="20"/>
      <c r="Q80" s="11"/>
      <c r="R80" s="11"/>
      <c r="S80" s="11"/>
    </row>
    <row r="81" spans="8:24" ht="15.75">
      <c r="H81" s="36" t="s">
        <v>85</v>
      </c>
      <c r="I81" s="60">
        <f>ONSV_AUX_2015!W29</f>
        <v>78925</v>
      </c>
      <c r="J81" s="9"/>
      <c r="K81" s="2" t="s">
        <v>123</v>
      </c>
      <c r="L81" s="60">
        <f>I88+I91+I92+I97</f>
        <v>326078</v>
      </c>
      <c r="N81" s="28" t="s">
        <v>124</v>
      </c>
      <c r="O81" s="60">
        <f>J88+J97</f>
        <v>240149.43037555431</v>
      </c>
      <c r="P81" s="64"/>
      <c r="Q81" s="65" t="s">
        <v>125</v>
      </c>
      <c r="R81" s="60">
        <f>J91+J92</f>
        <v>85896.569624445692</v>
      </c>
      <c r="S81" s="66"/>
      <c r="T81" s="65" t="s">
        <v>126</v>
      </c>
      <c r="U81" s="67">
        <f>O85</f>
        <v>2639.7409208839604</v>
      </c>
      <c r="V81" s="48"/>
      <c r="W81" s="65" t="s">
        <v>127</v>
      </c>
      <c r="X81" s="68">
        <f>R87</f>
        <v>4683.1244281473719</v>
      </c>
    </row>
    <row r="82" spans="8:24" ht="15.75">
      <c r="H82" s="36" t="s">
        <v>101</v>
      </c>
      <c r="I82" s="60">
        <f>ONSV_AUX_2015!W30</f>
        <v>32</v>
      </c>
      <c r="J82" s="9"/>
      <c r="K82" s="27"/>
      <c r="L82" s="62"/>
      <c r="M82" s="20"/>
      <c r="N82" s="28" t="s">
        <v>128</v>
      </c>
      <c r="O82" s="69">
        <f>J88/O81</f>
        <v>0.98900792345517607</v>
      </c>
      <c r="P82" s="64"/>
      <c r="Q82" s="70" t="s">
        <v>129</v>
      </c>
      <c r="R82" s="63">
        <f>J91/R81</f>
        <v>0.87728304522437572</v>
      </c>
      <c r="S82" s="71"/>
      <c r="T82" s="65" t="s">
        <v>130</v>
      </c>
      <c r="U82" s="67">
        <f>I97-J97</f>
        <v>0.2590791160396293</v>
      </c>
      <c r="V82" s="48"/>
      <c r="W82" s="65" t="s">
        <v>131</v>
      </c>
      <c r="X82" s="68">
        <f>I92-J92</f>
        <v>1.0345500156399794</v>
      </c>
    </row>
    <row r="83" spans="8:24" ht="15.75">
      <c r="H83" s="36" t="s">
        <v>16</v>
      </c>
      <c r="I83" s="60">
        <f>ONSV_AUX_2015!W31</f>
        <v>87</v>
      </c>
      <c r="J83" s="9"/>
      <c r="K83" s="2" t="s">
        <v>132</v>
      </c>
      <c r="L83" s="63">
        <f>I88/L81</f>
        <v>0.72845454155140799</v>
      </c>
      <c r="M83" s="20"/>
      <c r="N83" s="28" t="s">
        <v>133</v>
      </c>
      <c r="O83" s="69">
        <f>J97/O81</f>
        <v>1.0992076544823939E-2</v>
      </c>
      <c r="P83" s="64"/>
      <c r="Q83" s="70" t="s">
        <v>134</v>
      </c>
      <c r="R83" s="63">
        <f>J92/R81</f>
        <v>0.12271695477562423</v>
      </c>
      <c r="S83" s="71"/>
      <c r="T83" s="65" t="s">
        <v>135</v>
      </c>
      <c r="U83" s="72">
        <f>O87</f>
        <v>0</v>
      </c>
      <c r="V83" s="73"/>
      <c r="W83" s="65" t="s">
        <v>136</v>
      </c>
      <c r="X83" s="72">
        <f>R90</f>
        <v>5857.8410218369881</v>
      </c>
    </row>
    <row r="84" spans="8:24" ht="15.75">
      <c r="H84" s="36" t="s">
        <v>94</v>
      </c>
      <c r="I84" s="60">
        <f>ONSV_AUX_2015!W32</f>
        <v>450918</v>
      </c>
      <c r="J84" s="10"/>
      <c r="K84" s="2" t="s">
        <v>2</v>
      </c>
      <c r="L84" s="63">
        <f>I91/L81</f>
        <v>0.23111954808358737</v>
      </c>
      <c r="M84" s="20"/>
      <c r="N84" s="20"/>
      <c r="O84" s="74"/>
      <c r="P84" s="48"/>
      <c r="Q84" s="48"/>
      <c r="R84" s="48"/>
      <c r="S84" s="48"/>
      <c r="T84" s="48"/>
      <c r="U84" s="62"/>
      <c r="V84" s="75"/>
      <c r="W84" s="48"/>
      <c r="X84" s="62"/>
    </row>
    <row r="85" spans="8:24" ht="15.75">
      <c r="K85" s="2" t="s">
        <v>3</v>
      </c>
      <c r="L85" s="63">
        <f>I92/L81</f>
        <v>3.2329687988763428E-2</v>
      </c>
      <c r="M85" s="20"/>
      <c r="N85" s="28" t="s">
        <v>137</v>
      </c>
      <c r="O85" s="60">
        <f>IF(O83*I80&gt;J97,J97,O83*I80)</f>
        <v>2639.7409208839604</v>
      </c>
      <c r="P85" s="76"/>
      <c r="Q85" s="65" t="s">
        <v>138</v>
      </c>
      <c r="R85" s="60">
        <f>I81-I89-I90-I93-I96</f>
        <v>38162</v>
      </c>
      <c r="S85" s="77"/>
      <c r="T85" s="65" t="s">
        <v>139</v>
      </c>
      <c r="U85" s="67">
        <f>O93</f>
        <v>227139.68945467036</v>
      </c>
      <c r="V85" s="76"/>
      <c r="W85" s="65" t="s">
        <v>140</v>
      </c>
      <c r="X85" s="67">
        <f>I89</f>
        <v>28740</v>
      </c>
    </row>
    <row r="86" spans="8:24" ht="15.75">
      <c r="H86" s="24" t="s">
        <v>141</v>
      </c>
      <c r="K86" s="2" t="s">
        <v>0</v>
      </c>
      <c r="L86" s="63">
        <f>I97/L81</f>
        <v>8.0962223762412674E-3</v>
      </c>
      <c r="O86" s="48"/>
      <c r="P86" s="76"/>
      <c r="Q86" s="65" t="s">
        <v>142</v>
      </c>
      <c r="R86" s="60">
        <f>R82*R85</f>
        <v>33478.87557185263</v>
      </c>
      <c r="S86" s="48"/>
      <c r="T86" s="65" t="s">
        <v>143</v>
      </c>
      <c r="U86" s="67">
        <f>O91</f>
        <v>10283</v>
      </c>
      <c r="V86" s="66"/>
      <c r="W86" s="65" t="s">
        <v>144</v>
      </c>
      <c r="X86" s="67">
        <f>I90</f>
        <v>5652</v>
      </c>
    </row>
    <row r="87" spans="8:24" ht="15.75">
      <c r="K87" s="11"/>
      <c r="L87" s="11"/>
      <c r="M87" s="11"/>
      <c r="N87" s="28" t="s">
        <v>145</v>
      </c>
      <c r="O87" s="60">
        <f>J97-O85</f>
        <v>0</v>
      </c>
      <c r="P87" s="76"/>
      <c r="Q87" s="65" t="s">
        <v>127</v>
      </c>
      <c r="R87" s="60">
        <f>R83*R85</f>
        <v>4683.1244281473719</v>
      </c>
      <c r="S87" s="48"/>
      <c r="T87" s="65" t="s">
        <v>146</v>
      </c>
      <c r="U87" s="67">
        <f>O92</f>
        <v>87</v>
      </c>
      <c r="V87" s="71"/>
      <c r="W87" s="48"/>
      <c r="X87" s="62"/>
    </row>
    <row r="88" spans="8:24" ht="15.75">
      <c r="H88" s="37" t="s">
        <v>103</v>
      </c>
      <c r="I88" s="60">
        <f>ONSV_AUX_2015!W56</f>
        <v>237533</v>
      </c>
      <c r="J88" s="61">
        <f>I88-(L83*I82)</f>
        <v>237509.68945467036</v>
      </c>
      <c r="K88" s="11"/>
      <c r="L88" s="11"/>
      <c r="M88" s="11"/>
      <c r="O88" s="76"/>
      <c r="P88" s="76"/>
      <c r="Q88" s="48"/>
      <c r="R88" s="78"/>
      <c r="S88" s="48"/>
      <c r="T88" s="65" t="s">
        <v>147</v>
      </c>
      <c r="U88" s="68">
        <f>I88-J88</f>
        <v>23.31054532964481</v>
      </c>
      <c r="V88" s="71"/>
      <c r="W88" s="65" t="s">
        <v>148</v>
      </c>
      <c r="X88" s="67">
        <f>I96</f>
        <v>5244</v>
      </c>
    </row>
    <row r="89" spans="8:24" ht="15.75">
      <c r="H89" s="37" t="s">
        <v>104</v>
      </c>
      <c r="I89" s="60">
        <f>ONSV_AUX_2015!W57</f>
        <v>28740</v>
      </c>
      <c r="J89" s="10">
        <f>I89</f>
        <v>28740</v>
      </c>
      <c r="K89" s="11"/>
      <c r="L89" s="11"/>
      <c r="M89" s="11"/>
      <c r="N89" s="26" t="s">
        <v>149</v>
      </c>
      <c r="O89" s="76"/>
      <c r="P89" s="76"/>
      <c r="Q89" s="65" t="s">
        <v>150</v>
      </c>
      <c r="R89" s="60">
        <f>J91-R86</f>
        <v>41876.728602608702</v>
      </c>
      <c r="S89" s="48"/>
      <c r="T89" s="65" t="s">
        <v>151</v>
      </c>
      <c r="U89" s="72">
        <f>O94</f>
        <v>0</v>
      </c>
      <c r="V89" s="48"/>
      <c r="W89" s="65" t="s">
        <v>152</v>
      </c>
      <c r="X89" s="67">
        <f>I93</f>
        <v>1127</v>
      </c>
    </row>
    <row r="90" spans="8:24" ht="15.75">
      <c r="H90" s="37" t="s">
        <v>105</v>
      </c>
      <c r="I90" s="60">
        <f>ONSV_AUX_2015!W58</f>
        <v>5652</v>
      </c>
      <c r="J90" s="10">
        <f>I90</f>
        <v>5652</v>
      </c>
      <c r="K90" s="11"/>
      <c r="L90" s="11"/>
      <c r="M90" s="11"/>
      <c r="O90" s="73"/>
      <c r="P90" s="76"/>
      <c r="Q90" s="65" t="s">
        <v>136</v>
      </c>
      <c r="R90" s="60">
        <f>J92-R87</f>
        <v>5857.8410218369881</v>
      </c>
      <c r="S90" s="48"/>
      <c r="T90" s="48"/>
      <c r="U90" s="62"/>
      <c r="V90" s="77"/>
      <c r="W90" s="48"/>
      <c r="X90" s="62"/>
    </row>
    <row r="91" spans="8:24" ht="15.75">
      <c r="H91" s="37" t="s">
        <v>106</v>
      </c>
      <c r="I91" s="60">
        <f>ONSV_AUX_2015!W59</f>
        <v>75363</v>
      </c>
      <c r="J91" s="61">
        <f>I91-(L84*I82)</f>
        <v>75355.604174461332</v>
      </c>
      <c r="K91" s="11"/>
      <c r="L91" s="11"/>
      <c r="M91" s="11"/>
      <c r="N91" s="28" t="s">
        <v>143</v>
      </c>
      <c r="O91" s="60">
        <f>I79</f>
        <v>10283</v>
      </c>
      <c r="P91" s="76"/>
      <c r="Q91" s="48"/>
      <c r="R91" s="48"/>
      <c r="S91" s="77"/>
      <c r="T91" s="65" t="s">
        <v>142</v>
      </c>
      <c r="U91" s="68">
        <f>R86</f>
        <v>33478.87557185263</v>
      </c>
      <c r="V91" s="48"/>
      <c r="W91" s="65" t="s">
        <v>153</v>
      </c>
      <c r="X91" s="67">
        <f>I94</f>
        <v>348644</v>
      </c>
    </row>
    <row r="92" spans="8:24" ht="15.75">
      <c r="H92" s="37" t="s">
        <v>107</v>
      </c>
      <c r="I92" s="60">
        <f>ONSV_AUX_2015!W60</f>
        <v>10542</v>
      </c>
      <c r="J92" s="61">
        <f>I92-(L85*I82)</f>
        <v>10540.96544998436</v>
      </c>
      <c r="K92" s="11"/>
      <c r="L92" s="11"/>
      <c r="M92" s="11"/>
      <c r="N92" s="28" t="s">
        <v>146</v>
      </c>
      <c r="O92" s="60">
        <f>I83</f>
        <v>87</v>
      </c>
      <c r="P92" s="76"/>
      <c r="Q92" s="48"/>
      <c r="R92" s="48"/>
      <c r="S92" s="48"/>
      <c r="T92" s="65" t="s">
        <v>154</v>
      </c>
      <c r="U92" s="68">
        <f>I91-J91</f>
        <v>7.3958255386678502</v>
      </c>
      <c r="V92" s="48"/>
      <c r="W92" s="65" t="s">
        <v>155</v>
      </c>
      <c r="X92" s="67">
        <f>I95</f>
        <v>104481</v>
      </c>
    </row>
    <row r="93" spans="8:24" ht="15.75">
      <c r="H93" s="37" t="s">
        <v>108</v>
      </c>
      <c r="I93" s="60">
        <f>ONSV_AUX_2015!W61</f>
        <v>1127</v>
      </c>
      <c r="J93" s="10">
        <f>I93</f>
        <v>1127</v>
      </c>
      <c r="K93" s="11"/>
      <c r="L93" s="11"/>
      <c r="M93" s="11"/>
      <c r="N93" s="28" t="s">
        <v>139</v>
      </c>
      <c r="O93" s="60">
        <f>IF(OR((O82*I80&gt;J88),((O91+O92+(O82*I80))&gt;J88)),(J88-O91-O92),(O82*I80))</f>
        <v>227139.68945467036</v>
      </c>
      <c r="P93" s="76"/>
      <c r="Q93" s="48"/>
      <c r="R93" s="78"/>
      <c r="S93" s="48"/>
      <c r="T93" s="65" t="s">
        <v>150</v>
      </c>
      <c r="U93" s="72">
        <f>R89</f>
        <v>41876.728602608702</v>
      </c>
      <c r="V93" s="48"/>
      <c r="W93" s="48"/>
      <c r="X93" s="48"/>
    </row>
    <row r="94" spans="8:24" ht="15.75">
      <c r="H94" s="37" t="s">
        <v>109</v>
      </c>
      <c r="I94" s="60">
        <f>ONSV_AUX_2015!W62</f>
        <v>348644</v>
      </c>
      <c r="J94" s="10">
        <f>I94</f>
        <v>348644</v>
      </c>
      <c r="K94" s="11"/>
      <c r="L94" s="11"/>
      <c r="M94" s="11"/>
      <c r="N94" s="28" t="s">
        <v>151</v>
      </c>
      <c r="O94" s="60">
        <f>IF((J88-O91-O93-O92)&lt;0,0,(J88-O91-O93-O92))</f>
        <v>0</v>
      </c>
      <c r="P94" s="48"/>
      <c r="Q94" s="48"/>
      <c r="R94" s="48"/>
      <c r="S94" s="48"/>
      <c r="T94" s="48"/>
      <c r="U94" s="62"/>
      <c r="V94" s="48"/>
      <c r="W94" s="48"/>
      <c r="X94" s="48"/>
    </row>
    <row r="95" spans="8:24" ht="15.75">
      <c r="H95" s="37" t="s">
        <v>110</v>
      </c>
      <c r="I95" s="60">
        <f>ONSV_AUX_2015!W63</f>
        <v>104481</v>
      </c>
      <c r="J95" s="10">
        <f>I95</f>
        <v>104481</v>
      </c>
      <c r="K95" s="11"/>
      <c r="L95" s="11"/>
      <c r="M95" s="11"/>
      <c r="O95" s="48"/>
      <c r="P95" s="76"/>
      <c r="Q95" s="48"/>
      <c r="R95" s="48"/>
      <c r="S95" s="48"/>
      <c r="T95" s="79" t="s">
        <v>156</v>
      </c>
      <c r="U95" s="80">
        <f>(SUM(U81:U93,X81:X92)/SUM(I88:I97))-1</f>
        <v>0</v>
      </c>
      <c r="V95" s="48"/>
      <c r="W95" s="79" t="s">
        <v>10</v>
      </c>
      <c r="X95" s="67">
        <f>SUM(U81:U93,X81:X92)</f>
        <v>819966</v>
      </c>
    </row>
    <row r="96" spans="8:24" ht="15.75">
      <c r="H96" s="37" t="s">
        <v>111</v>
      </c>
      <c r="I96" s="60">
        <f>ONSV_AUX_2015!W64</f>
        <v>5244</v>
      </c>
      <c r="J96" s="10">
        <f>I96</f>
        <v>5244</v>
      </c>
      <c r="K96" s="11"/>
      <c r="L96" s="11"/>
      <c r="M96" s="11"/>
      <c r="O96" s="48"/>
      <c r="P96" s="76"/>
      <c r="Q96" s="48"/>
      <c r="R96" s="48"/>
      <c r="S96" s="48"/>
      <c r="T96" s="48"/>
      <c r="U96" s="48"/>
      <c r="V96" s="48"/>
      <c r="W96" s="48"/>
      <c r="X96" s="48"/>
    </row>
    <row r="97" spans="1:24" ht="15.75">
      <c r="H97" s="37" t="s">
        <v>112</v>
      </c>
      <c r="I97" s="60">
        <f>ONSV_AUX_2015!W65</f>
        <v>2640</v>
      </c>
      <c r="J97" s="61">
        <f>I97-(L86*I82)</f>
        <v>2639.7409208839604</v>
      </c>
      <c r="K97" s="12"/>
      <c r="L97" s="12"/>
      <c r="M97" s="12"/>
      <c r="N97" s="12"/>
      <c r="O97" s="12"/>
      <c r="P97" s="12"/>
      <c r="Q97" s="4"/>
      <c r="R97" s="4"/>
    </row>
    <row r="98" spans="1:24" ht="15.75">
      <c r="I98" s="40"/>
      <c r="J98" s="21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4" ht="15.75">
      <c r="I99" s="40"/>
      <c r="J99" s="21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4" s="34" customFormat="1" ht="15.75">
      <c r="A100" s="101" t="str">
        <f>"RONDÔNIA/"&amp;ONSV_AUX_2014!A1&amp;""</f>
        <v>RONDÔNIA/2014</v>
      </c>
      <c r="B100" s="102"/>
      <c r="C100" s="102"/>
      <c r="D100" s="102"/>
      <c r="E100" s="102"/>
      <c r="F100" s="102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</row>
    <row r="101" spans="1:24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>
      <c r="H102" s="23" t="s">
        <v>118</v>
      </c>
      <c r="N102" s="26"/>
      <c r="O102" s="26"/>
      <c r="P102" s="9"/>
      <c r="Q102" s="26"/>
      <c r="R102" s="26"/>
      <c r="S102" s="26"/>
      <c r="T102" s="25"/>
      <c r="U102" s="25"/>
      <c r="V102" s="25"/>
      <c r="W102" s="25"/>
      <c r="X102" s="25"/>
    </row>
    <row r="103" spans="1:24" ht="15.75">
      <c r="J103" s="9"/>
      <c r="M103" s="25"/>
      <c r="N103" s="9"/>
      <c r="O103" s="9"/>
      <c r="P103" s="9"/>
      <c r="Q103" s="11"/>
      <c r="R103" s="11"/>
      <c r="S103" s="11"/>
    </row>
    <row r="104" spans="1:24" ht="15.75">
      <c r="H104" s="36" t="s">
        <v>81</v>
      </c>
      <c r="I104" s="60">
        <f>ONSV_AUX_2014!W27</f>
        <v>10236</v>
      </c>
      <c r="J104" s="9"/>
      <c r="K104" s="104" t="s">
        <v>119</v>
      </c>
      <c r="L104" s="104"/>
      <c r="M104" s="9"/>
      <c r="N104" s="26" t="s">
        <v>120</v>
      </c>
      <c r="O104" s="26"/>
      <c r="Q104" s="26" t="s">
        <v>121</v>
      </c>
      <c r="R104" s="26"/>
      <c r="S104" s="26"/>
      <c r="T104" s="25" t="s">
        <v>122</v>
      </c>
      <c r="U104" s="25"/>
      <c r="V104" s="25"/>
      <c r="W104" s="25"/>
      <c r="X104" s="25"/>
    </row>
    <row r="105" spans="1:24" ht="15.75">
      <c r="H105" s="36" t="s">
        <v>84</v>
      </c>
      <c r="I105" s="60">
        <f>ONSV_AUX_2014!W28</f>
        <v>239223</v>
      </c>
      <c r="J105" s="9"/>
      <c r="K105" s="9"/>
      <c r="L105" s="9"/>
      <c r="M105" s="9"/>
      <c r="N105" s="9"/>
      <c r="O105" s="9"/>
      <c r="P105" s="20"/>
      <c r="Q105" s="11"/>
      <c r="R105" s="11"/>
      <c r="S105" s="11"/>
    </row>
    <row r="106" spans="1:24" ht="15.75">
      <c r="H106" s="36" t="s">
        <v>85</v>
      </c>
      <c r="I106" s="60">
        <f>ONSV_AUX_2014!W29</f>
        <v>73789</v>
      </c>
      <c r="J106" s="9"/>
      <c r="K106" s="2" t="s">
        <v>123</v>
      </c>
      <c r="L106" s="60">
        <f>I113+I116+I117+I122</f>
        <v>301362</v>
      </c>
      <c r="N106" s="28" t="s">
        <v>124</v>
      </c>
      <c r="O106" s="60">
        <f>J113+J122</f>
        <v>223151.04291184689</v>
      </c>
      <c r="P106" s="64"/>
      <c r="Q106" s="65" t="s">
        <v>125</v>
      </c>
      <c r="R106" s="60">
        <f>J116+J117</f>
        <v>78179.957088153125</v>
      </c>
      <c r="S106" s="66"/>
      <c r="T106" s="65" t="s">
        <v>126</v>
      </c>
      <c r="U106" s="67">
        <f>O110</f>
        <v>2368.7563096873528</v>
      </c>
      <c r="V106" s="48"/>
      <c r="W106" s="65" t="s">
        <v>127</v>
      </c>
      <c r="X106" s="68">
        <f>R112</f>
        <v>4391.3259323681377</v>
      </c>
    </row>
    <row r="107" spans="1:24" ht="15.75">
      <c r="H107" s="36" t="s">
        <v>101</v>
      </c>
      <c r="I107" s="60">
        <f>ONSV_AUX_2014!W30</f>
        <v>31</v>
      </c>
      <c r="J107" s="9"/>
      <c r="K107" s="27"/>
      <c r="L107" s="62"/>
      <c r="M107" s="20"/>
      <c r="N107" s="28" t="s">
        <v>128</v>
      </c>
      <c r="O107" s="69">
        <f>J113/O106</f>
        <v>0.98938496419833843</v>
      </c>
      <c r="P107" s="64"/>
      <c r="Q107" s="70" t="s">
        <v>129</v>
      </c>
      <c r="R107" s="63">
        <f>J116/R106</f>
        <v>0.87501918452959526</v>
      </c>
      <c r="S107" s="71"/>
      <c r="T107" s="65" t="s">
        <v>130</v>
      </c>
      <c r="U107" s="67">
        <f>I122-J122</f>
        <v>0.24369031264723162</v>
      </c>
      <c r="V107" s="48"/>
      <c r="W107" s="65" t="s">
        <v>131</v>
      </c>
      <c r="X107" s="68">
        <f>I117-J117</f>
        <v>1.0052096813797107</v>
      </c>
    </row>
    <row r="108" spans="1:24" ht="15.75">
      <c r="H108" s="36" t="s">
        <v>16</v>
      </c>
      <c r="I108" s="60">
        <f>ONSV_AUX_2014!W31</f>
        <v>105</v>
      </c>
      <c r="J108" s="9"/>
      <c r="K108" s="2" t="s">
        <v>132</v>
      </c>
      <c r="L108" s="63">
        <f>I113/L106</f>
        <v>0.73269025291841705</v>
      </c>
      <c r="M108" s="20"/>
      <c r="N108" s="28" t="s">
        <v>133</v>
      </c>
      <c r="O108" s="69">
        <f>J122/O106</f>
        <v>1.0615035801661484E-2</v>
      </c>
      <c r="P108" s="64"/>
      <c r="Q108" s="70" t="s">
        <v>134</v>
      </c>
      <c r="R108" s="63">
        <f>J117/R106</f>
        <v>0.12498081547040465</v>
      </c>
      <c r="S108" s="71"/>
      <c r="T108" s="65" t="s">
        <v>135</v>
      </c>
      <c r="U108" s="72">
        <f>O112</f>
        <v>0</v>
      </c>
      <c r="V108" s="73"/>
      <c r="W108" s="65" t="s">
        <v>136</v>
      </c>
      <c r="X108" s="72">
        <f>R115</f>
        <v>5379.6688579504826</v>
      </c>
    </row>
    <row r="109" spans="1:24" ht="15.75">
      <c r="H109" s="36" t="s">
        <v>94</v>
      </c>
      <c r="I109" s="60">
        <f>ONSV_AUX_2014!W32</f>
        <v>442691</v>
      </c>
      <c r="J109" s="10"/>
      <c r="K109" s="2" t="s">
        <v>2</v>
      </c>
      <c r="L109" s="63">
        <f>I116/L106</f>
        <v>0.22702265050006304</v>
      </c>
      <c r="M109" s="20"/>
      <c r="N109" s="20"/>
      <c r="O109" s="74"/>
      <c r="P109" s="48"/>
      <c r="Q109" s="48"/>
      <c r="R109" s="48"/>
      <c r="S109" s="48"/>
      <c r="T109" s="48"/>
      <c r="U109" s="62"/>
      <c r="V109" s="75"/>
      <c r="W109" s="48"/>
      <c r="X109" s="62"/>
    </row>
    <row r="110" spans="1:24" ht="15.75">
      <c r="K110" s="2" t="s">
        <v>3</v>
      </c>
      <c r="L110" s="63">
        <f>I117/L106</f>
        <v>3.2426118754189312E-2</v>
      </c>
      <c r="M110" s="20"/>
      <c r="N110" s="28" t="s">
        <v>137</v>
      </c>
      <c r="O110" s="60">
        <f>IF(O108*I105&gt;J122,J122,O108*I105)</f>
        <v>2368.7563096873528</v>
      </c>
      <c r="P110" s="76"/>
      <c r="Q110" s="65" t="s">
        <v>138</v>
      </c>
      <c r="R110" s="60">
        <f>I106-I114-I115-I118-I121</f>
        <v>35136</v>
      </c>
      <c r="S110" s="77"/>
      <c r="T110" s="65" t="s">
        <v>139</v>
      </c>
      <c r="U110" s="67">
        <f>O118</f>
        <v>210441.28660215953</v>
      </c>
      <c r="V110" s="76"/>
      <c r="W110" s="65" t="s">
        <v>140</v>
      </c>
      <c r="X110" s="67">
        <f>I114</f>
        <v>27324</v>
      </c>
    </row>
    <row r="111" spans="1:24" ht="15.75">
      <c r="H111" s="24" t="s">
        <v>141</v>
      </c>
      <c r="K111" s="2" t="s">
        <v>0</v>
      </c>
      <c r="L111" s="63">
        <f>I122/L106</f>
        <v>7.8609778273305859E-3</v>
      </c>
      <c r="O111" s="48"/>
      <c r="P111" s="76"/>
      <c r="Q111" s="65" t="s">
        <v>142</v>
      </c>
      <c r="R111" s="60">
        <f>R107*R110</f>
        <v>30744.674067631859</v>
      </c>
      <c r="S111" s="48"/>
      <c r="T111" s="65" t="s">
        <v>143</v>
      </c>
      <c r="U111" s="67">
        <f>O116</f>
        <v>10236</v>
      </c>
      <c r="V111" s="66"/>
      <c r="W111" s="65" t="s">
        <v>144</v>
      </c>
      <c r="X111" s="67">
        <f>I115</f>
        <v>5308</v>
      </c>
    </row>
    <row r="112" spans="1:24" ht="15.75">
      <c r="K112" s="11"/>
      <c r="L112" s="11"/>
      <c r="M112" s="11"/>
      <c r="N112" s="28" t="s">
        <v>145</v>
      </c>
      <c r="O112" s="60">
        <f>J122-O110</f>
        <v>0</v>
      </c>
      <c r="P112" s="76"/>
      <c r="Q112" s="65" t="s">
        <v>127</v>
      </c>
      <c r="R112" s="60">
        <f>R108*R110</f>
        <v>4391.3259323681377</v>
      </c>
      <c r="S112" s="48"/>
      <c r="T112" s="65" t="s">
        <v>146</v>
      </c>
      <c r="U112" s="67">
        <f>O117</f>
        <v>105</v>
      </c>
      <c r="V112" s="71"/>
      <c r="W112" s="48"/>
      <c r="X112" s="62"/>
    </row>
    <row r="113" spans="8:24" ht="15.75">
      <c r="H113" s="37" t="s">
        <v>103</v>
      </c>
      <c r="I113" s="60">
        <f>ONSV_AUX_2014!W56</f>
        <v>220805</v>
      </c>
      <c r="J113" s="61">
        <f>I113-(L108*I107)</f>
        <v>220782.28660215953</v>
      </c>
      <c r="K113" s="11"/>
      <c r="L113" s="11"/>
      <c r="M113" s="11"/>
      <c r="O113" s="76"/>
      <c r="P113" s="76"/>
      <c r="Q113" s="48"/>
      <c r="R113" s="78"/>
      <c r="S113" s="48"/>
      <c r="T113" s="65" t="s">
        <v>147</v>
      </c>
      <c r="U113" s="68">
        <f>I113-J113</f>
        <v>22.713397840474499</v>
      </c>
      <c r="V113" s="71"/>
      <c r="W113" s="65" t="s">
        <v>148</v>
      </c>
      <c r="X113" s="67">
        <f>I121</f>
        <v>4965</v>
      </c>
    </row>
    <row r="114" spans="8:24" ht="15.75">
      <c r="H114" s="37" t="s">
        <v>104</v>
      </c>
      <c r="I114" s="60">
        <f>ONSV_AUX_2014!W57</f>
        <v>27324</v>
      </c>
      <c r="J114" s="10">
        <f>I114</f>
        <v>27324</v>
      </c>
      <c r="K114" s="11"/>
      <c r="L114" s="11"/>
      <c r="M114" s="11"/>
      <c r="N114" s="26" t="s">
        <v>149</v>
      </c>
      <c r="O114" s="76"/>
      <c r="P114" s="76"/>
      <c r="Q114" s="65" t="s">
        <v>150</v>
      </c>
      <c r="R114" s="60">
        <f>J116-R111</f>
        <v>37664.288230202641</v>
      </c>
      <c r="S114" s="48"/>
      <c r="T114" s="65" t="s">
        <v>151</v>
      </c>
      <c r="U114" s="72">
        <f>O119</f>
        <v>0</v>
      </c>
      <c r="V114" s="48"/>
      <c r="W114" s="65" t="s">
        <v>152</v>
      </c>
      <c r="X114" s="67">
        <f>I118</f>
        <v>1056</v>
      </c>
    </row>
    <row r="115" spans="8:24" ht="15.75">
      <c r="H115" s="37" t="s">
        <v>105</v>
      </c>
      <c r="I115" s="60">
        <f>ONSV_AUX_2014!W58</f>
        <v>5308</v>
      </c>
      <c r="J115" s="10">
        <f>I115</f>
        <v>5308</v>
      </c>
      <c r="K115" s="11"/>
      <c r="L115" s="11"/>
      <c r="M115" s="11"/>
      <c r="O115" s="73"/>
      <c r="P115" s="76"/>
      <c r="Q115" s="65" t="s">
        <v>136</v>
      </c>
      <c r="R115" s="60">
        <f>J117-R112</f>
        <v>5379.6688579504826</v>
      </c>
      <c r="S115" s="48"/>
      <c r="T115" s="48"/>
      <c r="U115" s="62"/>
      <c r="V115" s="77"/>
      <c r="W115" s="48"/>
      <c r="X115" s="62"/>
    </row>
    <row r="116" spans="8:24" ht="15.75">
      <c r="H116" s="37" t="s">
        <v>106</v>
      </c>
      <c r="I116" s="60">
        <f>ONSV_AUX_2014!W59</f>
        <v>68416</v>
      </c>
      <c r="J116" s="61">
        <f>I116-(L109*I107)</f>
        <v>68408.9622978345</v>
      </c>
      <c r="K116" s="11"/>
      <c r="L116" s="11"/>
      <c r="M116" s="11"/>
      <c r="N116" s="28" t="s">
        <v>143</v>
      </c>
      <c r="O116" s="60">
        <f>I104</f>
        <v>10236</v>
      </c>
      <c r="P116" s="76"/>
      <c r="Q116" s="48"/>
      <c r="R116" s="48"/>
      <c r="S116" s="77"/>
      <c r="T116" s="65" t="s">
        <v>142</v>
      </c>
      <c r="U116" s="68">
        <f>R111</f>
        <v>30744.674067631859</v>
      </c>
      <c r="V116" s="48"/>
      <c r="W116" s="65" t="s">
        <v>153</v>
      </c>
      <c r="X116" s="67">
        <f>I119</f>
        <v>328930</v>
      </c>
    </row>
    <row r="117" spans="8:24" ht="15.75">
      <c r="H117" s="37" t="s">
        <v>107</v>
      </c>
      <c r="I117" s="60">
        <f>ONSV_AUX_2014!W60</f>
        <v>9772</v>
      </c>
      <c r="J117" s="61">
        <f>I117-(L110*I107)</f>
        <v>9770.9947903186203</v>
      </c>
      <c r="K117" s="11"/>
      <c r="L117" s="11"/>
      <c r="M117" s="11"/>
      <c r="N117" s="28" t="s">
        <v>146</v>
      </c>
      <c r="O117" s="60">
        <f>I108</f>
        <v>105</v>
      </c>
      <c r="P117" s="76"/>
      <c r="Q117" s="48"/>
      <c r="R117" s="48"/>
      <c r="S117" s="48"/>
      <c r="T117" s="65" t="s">
        <v>154</v>
      </c>
      <c r="U117" s="68">
        <f>I116-J116</f>
        <v>7.0377021655003773</v>
      </c>
      <c r="V117" s="48"/>
      <c r="W117" s="65" t="s">
        <v>155</v>
      </c>
      <c r="X117" s="67">
        <f>I120</f>
        <v>96720</v>
      </c>
    </row>
    <row r="118" spans="8:24" ht="15.75">
      <c r="H118" s="37" t="s">
        <v>108</v>
      </c>
      <c r="I118" s="60">
        <f>ONSV_AUX_2014!W61</f>
        <v>1056</v>
      </c>
      <c r="J118" s="10">
        <f>I118</f>
        <v>1056</v>
      </c>
      <c r="K118" s="11"/>
      <c r="L118" s="11"/>
      <c r="M118" s="11"/>
      <c r="N118" s="28" t="s">
        <v>139</v>
      </c>
      <c r="O118" s="60">
        <f>IF(OR((O107*I105&gt;J113),((O116+O117+(O107*I105))&gt;J113)),(J113-O116-O117),(O107*I105))</f>
        <v>210441.28660215953</v>
      </c>
      <c r="P118" s="76"/>
      <c r="Q118" s="48"/>
      <c r="R118" s="78"/>
      <c r="S118" s="48"/>
      <c r="T118" s="65" t="s">
        <v>150</v>
      </c>
      <c r="U118" s="72">
        <f>R114</f>
        <v>37664.288230202641</v>
      </c>
      <c r="V118" s="48"/>
      <c r="W118" s="48"/>
      <c r="X118" s="48"/>
    </row>
    <row r="119" spans="8:24" ht="15.75">
      <c r="H119" s="37" t="s">
        <v>109</v>
      </c>
      <c r="I119" s="60">
        <f>ONSV_AUX_2014!W62</f>
        <v>328930</v>
      </c>
      <c r="J119" s="10">
        <f>I119</f>
        <v>328930</v>
      </c>
      <c r="K119" s="11"/>
      <c r="L119" s="11"/>
      <c r="M119" s="11"/>
      <c r="N119" s="28" t="s">
        <v>151</v>
      </c>
      <c r="O119" s="60">
        <f>IF((J113-O116-O118-O117)&lt;0,0,(J113-O116-O118-O117))</f>
        <v>0</v>
      </c>
      <c r="P119" s="48"/>
      <c r="Q119" s="48"/>
      <c r="R119" s="48"/>
      <c r="S119" s="48"/>
      <c r="T119" s="48"/>
      <c r="U119" s="62"/>
      <c r="V119" s="48"/>
      <c r="W119" s="48"/>
      <c r="X119" s="48"/>
    </row>
    <row r="120" spans="8:24" ht="15.75">
      <c r="H120" s="37" t="s">
        <v>110</v>
      </c>
      <c r="I120" s="60">
        <f>ONSV_AUX_2014!W63</f>
        <v>96720</v>
      </c>
      <c r="J120" s="10">
        <f>I120</f>
        <v>96720</v>
      </c>
      <c r="K120" s="11"/>
      <c r="L120" s="11"/>
      <c r="M120" s="11"/>
      <c r="O120" s="48"/>
      <c r="P120" s="76"/>
      <c r="Q120" s="48"/>
      <c r="R120" s="48"/>
      <c r="S120" s="48"/>
      <c r="T120" s="79" t="s">
        <v>156</v>
      </c>
      <c r="U120" s="80">
        <f>(SUM(U106:U118,X106:X117)/SUM(I113:I122))-1</f>
        <v>0</v>
      </c>
      <c r="V120" s="48"/>
      <c r="W120" s="79" t="s">
        <v>10</v>
      </c>
      <c r="X120" s="67">
        <f>SUM(U106:U118,X106:X117)</f>
        <v>765665</v>
      </c>
    </row>
    <row r="121" spans="8:24" ht="15.75">
      <c r="H121" s="37" t="s">
        <v>111</v>
      </c>
      <c r="I121" s="60">
        <f>ONSV_AUX_2014!W64</f>
        <v>4965</v>
      </c>
      <c r="J121" s="10">
        <f>I121</f>
        <v>4965</v>
      </c>
      <c r="K121" s="11"/>
      <c r="L121" s="11"/>
      <c r="M121" s="11"/>
      <c r="O121" s="48"/>
      <c r="P121" s="76"/>
      <c r="Q121" s="48"/>
      <c r="R121" s="48"/>
      <c r="S121" s="48"/>
      <c r="T121" s="48"/>
      <c r="U121" s="48"/>
      <c r="V121" s="48"/>
      <c r="W121" s="48"/>
      <c r="X121" s="48"/>
    </row>
    <row r="122" spans="8:24" ht="15.75">
      <c r="H122" s="37" t="s">
        <v>112</v>
      </c>
      <c r="I122" s="60">
        <f>ONSV_AUX_2014!W65</f>
        <v>2369</v>
      </c>
      <c r="J122" s="61">
        <f>I122-(L111*I107)</f>
        <v>2368.7563096873528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A1:F1"/>
    <mergeCell ref="Q4:R4"/>
    <mergeCell ref="T4:X4"/>
    <mergeCell ref="K5:L5"/>
    <mergeCell ref="A25:F25"/>
    <mergeCell ref="T27:X27"/>
    <mergeCell ref="T52:X52"/>
    <mergeCell ref="K79:L79"/>
    <mergeCell ref="A100:F100"/>
    <mergeCell ref="K104:L104"/>
    <mergeCell ref="K29:L29"/>
    <mergeCell ref="A50:F50"/>
    <mergeCell ref="A75:F75"/>
    <mergeCell ref="K54:L5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9" tint="0.39997558519241921"/>
  </sheetPr>
  <dimension ref="A1:X122"/>
  <sheetViews>
    <sheetView showGridLines="0" topLeftCell="A16" zoomScale="90" zoomScaleNormal="90" workbookViewId="0">
      <selection activeCell="A101" sqref="A101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  <col min="27" max="28" width="10" bestFit="1" customWidth="1"/>
    <col min="30" max="30" width="10" bestFit="1" customWidth="1"/>
  </cols>
  <sheetData>
    <row r="1" spans="1:24" s="31" customFormat="1" ht="15.75">
      <c r="A1" s="101" t="str">
        <f>"RORAIMA/"&amp;ONSV_AUX_2018!A1&amp;""</f>
        <v>RORAIMA/2018</v>
      </c>
      <c r="B1" s="102"/>
      <c r="C1" s="102"/>
      <c r="D1" s="102"/>
      <c r="E1" s="102"/>
      <c r="F1" s="102"/>
    </row>
    <row r="2" spans="1:24" s="4" customFormat="1" ht="15.75">
      <c r="A2" s="32"/>
      <c r="B2" s="32"/>
      <c r="C2" s="32"/>
      <c r="D2" s="32"/>
      <c r="E2" s="32"/>
      <c r="F2" s="32"/>
    </row>
    <row r="3" spans="1:24" ht="15.75">
      <c r="A3" s="12"/>
      <c r="H3" s="23" t="s">
        <v>118</v>
      </c>
    </row>
    <row r="4" spans="1:24" ht="15.75">
      <c r="B4" s="5"/>
      <c r="J4" s="9"/>
      <c r="M4" s="25"/>
      <c r="N4" s="25"/>
      <c r="O4" s="25"/>
      <c r="P4" s="25"/>
      <c r="Q4" s="103"/>
      <c r="R4" s="103"/>
      <c r="S4" s="22"/>
      <c r="T4" s="104"/>
      <c r="U4" s="104"/>
      <c r="V4" s="104"/>
      <c r="W4" s="104"/>
      <c r="X4" s="104"/>
    </row>
    <row r="5" spans="1:24" ht="15.75">
      <c r="H5" s="36" t="s">
        <v>81</v>
      </c>
      <c r="I5" s="60">
        <f>ONSV_AUX_2018!X27</f>
        <v>1448</v>
      </c>
      <c r="J5" s="9"/>
      <c r="K5" s="104" t="s">
        <v>119</v>
      </c>
      <c r="L5" s="104"/>
      <c r="M5" s="9"/>
      <c r="N5" s="26" t="s">
        <v>120</v>
      </c>
      <c r="O5" s="26"/>
      <c r="Q5" s="26" t="s">
        <v>121</v>
      </c>
      <c r="R5" s="26"/>
      <c r="S5" s="26"/>
      <c r="T5" s="25" t="s">
        <v>122</v>
      </c>
      <c r="U5" s="25"/>
      <c r="V5" s="25"/>
      <c r="W5" s="25"/>
      <c r="X5" s="25"/>
    </row>
    <row r="6" spans="1:24" ht="15.75">
      <c r="H6" s="36" t="s">
        <v>84</v>
      </c>
      <c r="I6" s="60">
        <f>ONSV_AUX_2018!X28</f>
        <v>80516</v>
      </c>
      <c r="J6" s="9"/>
      <c r="K6" s="9"/>
      <c r="L6" s="9"/>
      <c r="M6" s="9"/>
      <c r="N6" s="9"/>
      <c r="O6" s="9"/>
      <c r="P6" s="20"/>
      <c r="Q6" s="11"/>
      <c r="R6" s="11"/>
      <c r="S6" s="11"/>
    </row>
    <row r="7" spans="1:24" ht="15.75">
      <c r="H7" s="36" t="s">
        <v>85</v>
      </c>
      <c r="I7" s="60">
        <f>ONSV_AUX_2018!X29</f>
        <v>19027</v>
      </c>
      <c r="J7" s="9"/>
      <c r="K7" s="2" t="s">
        <v>123</v>
      </c>
      <c r="L7" s="60">
        <f>I14+I17+I18+I23</f>
        <v>104612</v>
      </c>
      <c r="N7" s="28" t="s">
        <v>124</v>
      </c>
      <c r="O7" s="60">
        <f>J14+J23</f>
        <v>73161.812029212713</v>
      </c>
      <c r="P7" s="64"/>
      <c r="Q7" s="65" t="s">
        <v>125</v>
      </c>
      <c r="R7" s="60">
        <f>J17+J18</f>
        <v>31424.18797078729</v>
      </c>
      <c r="S7" s="66"/>
      <c r="T7" s="65" t="s">
        <v>126</v>
      </c>
      <c r="U7" s="67">
        <f>O11</f>
        <v>1278.6821205980193</v>
      </c>
      <c r="V7" s="48"/>
      <c r="W7" s="65" t="s">
        <v>127</v>
      </c>
      <c r="X7" s="68">
        <f>R13</f>
        <v>1819.2065411046069</v>
      </c>
    </row>
    <row r="8" spans="1:24" ht="15.75">
      <c r="H8" s="36" t="s">
        <v>101</v>
      </c>
      <c r="I8" s="60">
        <f>ONSV_AUX_2018!X30</f>
        <v>26</v>
      </c>
      <c r="J8" s="9"/>
      <c r="K8" s="27"/>
      <c r="L8" s="62"/>
      <c r="M8" s="20"/>
      <c r="N8" s="28" t="s">
        <v>128</v>
      </c>
      <c r="O8" s="69">
        <f>J14/O7</f>
        <v>0.98252254714402842</v>
      </c>
      <c r="P8" s="64"/>
      <c r="Q8" s="70" t="s">
        <v>129</v>
      </c>
      <c r="R8" s="63">
        <f>J17/R7</f>
        <v>0.84111733265461952</v>
      </c>
      <c r="S8" s="71"/>
      <c r="T8" s="65" t="s">
        <v>130</v>
      </c>
      <c r="U8" s="67">
        <f>I23-J23</f>
        <v>0.31787940198069009</v>
      </c>
      <c r="V8" s="48"/>
      <c r="W8" s="65" t="s">
        <v>131</v>
      </c>
      <c r="X8" s="68">
        <f>I18-J18</f>
        <v>1.2411960386953069</v>
      </c>
    </row>
    <row r="9" spans="1:24" ht="15.75">
      <c r="H9" s="36" t="s">
        <v>16</v>
      </c>
      <c r="I9" s="60">
        <f>ONSV_AUX_2018!X31</f>
        <v>47</v>
      </c>
      <c r="J9" s="9"/>
      <c r="K9" s="2" t="s">
        <v>132</v>
      </c>
      <c r="L9" s="63">
        <f>I14/L7</f>
        <v>0.68731120712728944</v>
      </c>
      <c r="M9" s="20"/>
      <c r="N9" s="28" t="s">
        <v>133</v>
      </c>
      <c r="O9" s="69">
        <f>J23/O7</f>
        <v>1.7477452855971576E-2</v>
      </c>
      <c r="P9" s="64"/>
      <c r="Q9" s="70" t="s">
        <v>134</v>
      </c>
      <c r="R9" s="63">
        <f>J18/R7</f>
        <v>0.15888266734538051</v>
      </c>
      <c r="S9" s="71"/>
      <c r="T9" s="65" t="s">
        <v>135</v>
      </c>
      <c r="U9" s="72">
        <f>O13</f>
        <v>0</v>
      </c>
      <c r="V9" s="73"/>
      <c r="W9" s="65" t="s">
        <v>136</v>
      </c>
      <c r="X9" s="72">
        <f>R16</f>
        <v>3173.5522628566978</v>
      </c>
    </row>
    <row r="10" spans="1:24" ht="15.75">
      <c r="H10" s="36" t="s">
        <v>94</v>
      </c>
      <c r="I10" s="60">
        <f>ONSV_AUX_2018!X32</f>
        <v>110724</v>
      </c>
      <c r="J10" s="10"/>
      <c r="K10" s="2" t="s">
        <v>2</v>
      </c>
      <c r="L10" s="63">
        <f>I17/L7</f>
        <v>0.25272435284670974</v>
      </c>
      <c r="M10" s="20"/>
      <c r="N10" s="20"/>
      <c r="O10" s="74"/>
      <c r="P10" s="48"/>
      <c r="Q10" s="48"/>
      <c r="R10" s="48"/>
      <c r="S10" s="48"/>
      <c r="T10" s="48"/>
      <c r="U10" s="62"/>
      <c r="V10" s="75"/>
      <c r="W10" s="48"/>
      <c r="X10" s="62"/>
    </row>
    <row r="11" spans="1:24" ht="15.75">
      <c r="K11" s="2" t="s">
        <v>3</v>
      </c>
      <c r="L11" s="63">
        <f>I18/L7</f>
        <v>4.7738309180591139E-2</v>
      </c>
      <c r="M11" s="20"/>
      <c r="N11" s="28" t="s">
        <v>137</v>
      </c>
      <c r="O11" s="60">
        <f>IF(O9*I6&gt;J23,J23,O9*I6)</f>
        <v>1278.6821205980193</v>
      </c>
      <c r="P11" s="76"/>
      <c r="Q11" s="65" t="s">
        <v>138</v>
      </c>
      <c r="R11" s="60">
        <f>I7-I15-I16-I19-I22</f>
        <v>11450</v>
      </c>
      <c r="S11" s="77"/>
      <c r="T11" s="65" t="s">
        <v>139</v>
      </c>
      <c r="U11" s="67">
        <f>O19</f>
        <v>70388.12990861469</v>
      </c>
      <c r="V11" s="76"/>
      <c r="W11" s="65" t="s">
        <v>140</v>
      </c>
      <c r="X11" s="67">
        <f>I15</f>
        <v>5000</v>
      </c>
    </row>
    <row r="12" spans="1:24" ht="15.75">
      <c r="H12" s="24" t="s">
        <v>141</v>
      </c>
      <c r="K12" s="2" t="s">
        <v>0</v>
      </c>
      <c r="L12" s="63">
        <f>I23/L7</f>
        <v>1.2226130845409704E-2</v>
      </c>
      <c r="O12" s="48"/>
      <c r="P12" s="76"/>
      <c r="Q12" s="65" t="s">
        <v>142</v>
      </c>
      <c r="R12" s="60">
        <f>R8*R11</f>
        <v>9630.793458895394</v>
      </c>
      <c r="S12" s="48"/>
      <c r="T12" s="65" t="s">
        <v>143</v>
      </c>
      <c r="U12" s="67">
        <f>O17</f>
        <v>1448</v>
      </c>
      <c r="V12" s="66"/>
      <c r="W12" s="65" t="s">
        <v>144</v>
      </c>
      <c r="X12" s="67">
        <f>I16</f>
        <v>760</v>
      </c>
    </row>
    <row r="13" spans="1:24" ht="15.75">
      <c r="K13" s="11"/>
      <c r="L13" s="11"/>
      <c r="M13" s="11"/>
      <c r="N13" s="28" t="s">
        <v>145</v>
      </c>
      <c r="O13" s="60">
        <f>J23-O11</f>
        <v>0</v>
      </c>
      <c r="P13" s="76"/>
      <c r="Q13" s="65" t="s">
        <v>127</v>
      </c>
      <c r="R13" s="60">
        <f>R9*R11</f>
        <v>1819.2065411046069</v>
      </c>
      <c r="S13" s="48"/>
      <c r="T13" s="65" t="s">
        <v>146</v>
      </c>
      <c r="U13" s="67">
        <f>O18</f>
        <v>47</v>
      </c>
      <c r="V13" s="71"/>
      <c r="W13" s="48"/>
      <c r="X13" s="62"/>
    </row>
    <row r="14" spans="1:24" ht="15.75">
      <c r="H14" s="37" t="s">
        <v>103</v>
      </c>
      <c r="I14" s="60">
        <f>ONSV_AUX_2018!X56</f>
        <v>71901</v>
      </c>
      <c r="J14" s="61">
        <f>I14-(L9*I8)</f>
        <v>71883.12990861469</v>
      </c>
      <c r="K14" s="11"/>
      <c r="L14" s="11"/>
      <c r="M14" s="11"/>
      <c r="O14" s="76"/>
      <c r="P14" s="76"/>
      <c r="Q14" s="48"/>
      <c r="R14" s="78"/>
      <c r="S14" s="48"/>
      <c r="T14" s="65" t="s">
        <v>147</v>
      </c>
      <c r="U14" s="68">
        <f>I14-J14</f>
        <v>17.870091385309934</v>
      </c>
      <c r="V14" s="71"/>
      <c r="W14" s="65" t="s">
        <v>148</v>
      </c>
      <c r="X14" s="67">
        <f>I22</f>
        <v>1131</v>
      </c>
    </row>
    <row r="15" spans="1:24" ht="15.75">
      <c r="H15" s="37" t="s">
        <v>104</v>
      </c>
      <c r="I15" s="60">
        <f>ONSV_AUX_2018!X57</f>
        <v>5000</v>
      </c>
      <c r="J15" s="10">
        <f>I15</f>
        <v>5000</v>
      </c>
      <c r="K15" s="11"/>
      <c r="L15" s="11"/>
      <c r="M15" s="11"/>
      <c r="N15" s="26" t="s">
        <v>149</v>
      </c>
      <c r="O15" s="76"/>
      <c r="P15" s="76"/>
      <c r="Q15" s="65" t="s">
        <v>150</v>
      </c>
      <c r="R15" s="60">
        <f>J17-R12</f>
        <v>16800.635707930593</v>
      </c>
      <c r="S15" s="48"/>
      <c r="T15" s="65" t="s">
        <v>151</v>
      </c>
      <c r="U15" s="72">
        <f>O20</f>
        <v>0</v>
      </c>
      <c r="V15" s="48"/>
      <c r="W15" s="65" t="s">
        <v>152</v>
      </c>
      <c r="X15" s="67">
        <f>I19</f>
        <v>686</v>
      </c>
    </row>
    <row r="16" spans="1:24" ht="15.75">
      <c r="H16" s="37" t="s">
        <v>105</v>
      </c>
      <c r="I16" s="60">
        <f>ONSV_AUX_2018!X58</f>
        <v>760</v>
      </c>
      <c r="J16" s="10">
        <f>I16</f>
        <v>760</v>
      </c>
      <c r="K16" s="11"/>
      <c r="L16" s="11"/>
      <c r="M16" s="11"/>
      <c r="O16" s="73"/>
      <c r="P16" s="76"/>
      <c r="Q16" s="65" t="s">
        <v>136</v>
      </c>
      <c r="R16" s="60">
        <f>J18-R13</f>
        <v>3173.5522628566978</v>
      </c>
      <c r="S16" s="48"/>
      <c r="T16" s="48"/>
      <c r="U16" s="62"/>
      <c r="V16" s="77"/>
      <c r="W16" s="48"/>
      <c r="X16" s="62"/>
    </row>
    <row r="17" spans="1:24" ht="15.75">
      <c r="H17" s="37" t="s">
        <v>106</v>
      </c>
      <c r="I17" s="60">
        <f>ONSV_AUX_2018!X59</f>
        <v>26438</v>
      </c>
      <c r="J17" s="61">
        <f>I17-(L10*I8)</f>
        <v>26431.429166825987</v>
      </c>
      <c r="K17" s="11"/>
      <c r="L17" s="11"/>
      <c r="M17" s="11"/>
      <c r="N17" s="28" t="s">
        <v>143</v>
      </c>
      <c r="O17" s="60">
        <f>I5</f>
        <v>1448</v>
      </c>
      <c r="P17" s="76"/>
      <c r="Q17" s="48"/>
      <c r="R17" s="48"/>
      <c r="S17" s="77"/>
      <c r="T17" s="65" t="s">
        <v>142</v>
      </c>
      <c r="U17" s="68">
        <f>R12</f>
        <v>9630.793458895394</v>
      </c>
      <c r="V17" s="48"/>
      <c r="W17" s="65" t="s">
        <v>153</v>
      </c>
      <c r="X17" s="67">
        <f>I20</f>
        <v>79142</v>
      </c>
    </row>
    <row r="18" spans="1:24" ht="15.75">
      <c r="H18" s="37" t="s">
        <v>107</v>
      </c>
      <c r="I18" s="60">
        <f>ONSV_AUX_2018!X60</f>
        <v>4994</v>
      </c>
      <c r="J18" s="61">
        <f>I18-(L11*I8)</f>
        <v>4992.7588039613047</v>
      </c>
      <c r="K18" s="11"/>
      <c r="L18" s="11"/>
      <c r="M18" s="11"/>
      <c r="N18" s="28" t="s">
        <v>146</v>
      </c>
      <c r="O18" s="60">
        <f>I9</f>
        <v>47</v>
      </c>
      <c r="P18" s="76"/>
      <c r="Q18" s="48"/>
      <c r="R18" s="48"/>
      <c r="S18" s="48"/>
      <c r="T18" s="65" t="s">
        <v>154</v>
      </c>
      <c r="U18" s="68">
        <f>I17-J17</f>
        <v>6.5708331740133872</v>
      </c>
      <c r="V18" s="48"/>
      <c r="W18" s="65" t="s">
        <v>155</v>
      </c>
      <c r="X18" s="67">
        <f>I21</f>
        <v>20106</v>
      </c>
    </row>
    <row r="19" spans="1:24" ht="15.75">
      <c r="H19" s="37" t="s">
        <v>108</v>
      </c>
      <c r="I19" s="60">
        <f>ONSV_AUX_2018!X61</f>
        <v>686</v>
      </c>
      <c r="J19" s="10">
        <f>I19</f>
        <v>686</v>
      </c>
      <c r="K19" s="11"/>
      <c r="L19" s="11"/>
      <c r="M19" s="11"/>
      <c r="N19" s="28" t="s">
        <v>139</v>
      </c>
      <c r="O19" s="60">
        <f>IF(OR((O8*I6&gt;J14),((O17+O18+(O8*I6))&gt;J14)),(J14-O17-O18),(O8*I6))</f>
        <v>70388.12990861469</v>
      </c>
      <c r="P19" s="76"/>
      <c r="Q19" s="48"/>
      <c r="R19" s="78"/>
      <c r="S19" s="48"/>
      <c r="T19" s="65" t="s">
        <v>150</v>
      </c>
      <c r="U19" s="72">
        <f>R15</f>
        <v>16800.635707930593</v>
      </c>
      <c r="V19" s="48"/>
      <c r="W19" s="48"/>
      <c r="X19" s="48"/>
    </row>
    <row r="20" spans="1:24" ht="15.75">
      <c r="H20" s="37" t="s">
        <v>109</v>
      </c>
      <c r="I20" s="60">
        <f>ONSV_AUX_2018!X62</f>
        <v>79142</v>
      </c>
      <c r="J20" s="10">
        <f t="shared" ref="J20:J22" si="0">I20</f>
        <v>79142</v>
      </c>
      <c r="K20" s="11"/>
      <c r="L20" s="11"/>
      <c r="M20" s="11"/>
      <c r="N20" s="28" t="s">
        <v>151</v>
      </c>
      <c r="O20" s="60">
        <f>IF((J14-O17-O19-O18)&lt;0,0,(J14-O17-O19-O18))</f>
        <v>0</v>
      </c>
      <c r="P20" s="48"/>
      <c r="Q20" s="48"/>
      <c r="R20" s="48"/>
      <c r="S20" s="48"/>
      <c r="T20" s="48"/>
      <c r="U20" s="62"/>
      <c r="V20" s="48"/>
      <c r="W20" s="48"/>
      <c r="X20" s="48"/>
    </row>
    <row r="21" spans="1:24" ht="15.75">
      <c r="H21" s="37" t="s">
        <v>110</v>
      </c>
      <c r="I21" s="60">
        <f>ONSV_AUX_2018!X63</f>
        <v>20106</v>
      </c>
      <c r="J21" s="10">
        <f t="shared" si="0"/>
        <v>20106</v>
      </c>
      <c r="K21" s="11"/>
      <c r="L21" s="11"/>
      <c r="M21" s="11"/>
      <c r="O21" s="48"/>
      <c r="P21" s="76"/>
      <c r="Q21" s="48"/>
      <c r="R21" s="48"/>
      <c r="S21" s="48"/>
      <c r="T21" s="79" t="s">
        <v>156</v>
      </c>
      <c r="U21" s="80">
        <f>(SUM(U7:U19,X7:X18)/SUM(I14:I23))-1</f>
        <v>0</v>
      </c>
      <c r="V21" s="48"/>
      <c r="W21" s="79" t="s">
        <v>10</v>
      </c>
      <c r="X21" s="67">
        <f>SUM(U7:U19,X7:X18)</f>
        <v>211437</v>
      </c>
    </row>
    <row r="22" spans="1:24" ht="15.75">
      <c r="H22" s="37" t="s">
        <v>111</v>
      </c>
      <c r="I22" s="60">
        <f>ONSV_AUX_2018!X64</f>
        <v>1131</v>
      </c>
      <c r="J22" s="10">
        <f t="shared" si="0"/>
        <v>1131</v>
      </c>
      <c r="K22" s="11"/>
      <c r="L22" s="11"/>
      <c r="M22" s="11"/>
      <c r="O22" s="48"/>
      <c r="P22" s="76"/>
      <c r="Q22" s="48"/>
      <c r="R22" s="48"/>
      <c r="S22" s="48"/>
      <c r="T22" s="48"/>
      <c r="U22" s="48"/>
      <c r="V22" s="48"/>
      <c r="W22" s="48"/>
      <c r="X22" s="48"/>
    </row>
    <row r="23" spans="1:24" ht="15.75">
      <c r="H23" s="37" t="s">
        <v>112</v>
      </c>
      <c r="I23" s="60">
        <f>ONSV_AUX_2018!X65</f>
        <v>1279</v>
      </c>
      <c r="J23" s="61">
        <f>I23-(L12*I8)</f>
        <v>1278.6821205980193</v>
      </c>
      <c r="K23" s="12"/>
      <c r="L23" s="12"/>
      <c r="M23" s="12"/>
      <c r="N23" s="12"/>
      <c r="O23" s="12"/>
      <c r="P23" s="12"/>
      <c r="Q23" s="4"/>
      <c r="R23" s="4"/>
    </row>
    <row r="25" spans="1:24" s="34" customFormat="1" ht="15" customHeight="1">
      <c r="A25" s="101" t="str">
        <f>"RORAIMA/"&amp;ONSV_AUX_2017!A1&amp;""</f>
        <v>RORAIMA/2017</v>
      </c>
      <c r="B25" s="102"/>
      <c r="C25" s="102"/>
      <c r="D25" s="102"/>
      <c r="E25" s="102"/>
      <c r="F25" s="102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 spans="1:24" ht="15.75">
      <c r="A26" s="3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>
      <c r="A27" s="12"/>
      <c r="H27" s="23" t="s">
        <v>118</v>
      </c>
      <c r="N27" s="26"/>
      <c r="O27" s="26"/>
      <c r="P27" s="9"/>
      <c r="Q27" s="26"/>
      <c r="R27" s="26"/>
      <c r="S27" s="26"/>
      <c r="T27" s="104"/>
      <c r="U27" s="104"/>
      <c r="V27" s="104"/>
      <c r="W27" s="104"/>
      <c r="X27" s="104"/>
    </row>
    <row r="28" spans="1:24" ht="15.75">
      <c r="B28" s="5"/>
      <c r="J28" s="9"/>
      <c r="M28" s="25"/>
    </row>
    <row r="29" spans="1:24" ht="15.75">
      <c r="H29" s="36" t="s">
        <v>81</v>
      </c>
      <c r="I29" s="60">
        <f>ONSV_AUX_2017!X27</f>
        <v>1444</v>
      </c>
      <c r="J29" s="9"/>
      <c r="K29" s="104" t="s">
        <v>119</v>
      </c>
      <c r="L29" s="104"/>
      <c r="M29" s="9"/>
      <c r="N29" s="26" t="s">
        <v>120</v>
      </c>
      <c r="O29" s="26"/>
      <c r="Q29" s="26" t="s">
        <v>121</v>
      </c>
      <c r="R29" s="26"/>
      <c r="S29" s="26"/>
      <c r="T29" s="25" t="s">
        <v>122</v>
      </c>
      <c r="U29" s="25"/>
      <c r="V29" s="25"/>
      <c r="W29" s="25"/>
      <c r="X29" s="25"/>
    </row>
    <row r="30" spans="1:24" ht="15.75">
      <c r="H30" s="36" t="s">
        <v>84</v>
      </c>
      <c r="I30" s="60">
        <f>ONSV_AUX_2017!X28</f>
        <v>74052</v>
      </c>
      <c r="J30" s="9"/>
      <c r="K30" s="9"/>
      <c r="L30" s="9"/>
      <c r="M30" s="9"/>
      <c r="N30" s="9"/>
      <c r="O30" s="9"/>
      <c r="P30" s="20"/>
      <c r="Q30" s="11"/>
      <c r="R30" s="11"/>
      <c r="S30" s="11"/>
    </row>
    <row r="31" spans="1:24" ht="15.75">
      <c r="H31" s="36" t="s">
        <v>85</v>
      </c>
      <c r="I31" s="60">
        <f>ONSV_AUX_2017!X29</f>
        <v>17702</v>
      </c>
      <c r="J31" s="9"/>
      <c r="K31" s="2" t="s">
        <v>123</v>
      </c>
      <c r="L31" s="60">
        <f>I38+I41+I42+I47</f>
        <v>98585</v>
      </c>
      <c r="N31" s="28" t="s">
        <v>124</v>
      </c>
      <c r="O31" s="60">
        <f>J38+J47</f>
        <v>69434.50169904143</v>
      </c>
      <c r="P31" s="64"/>
      <c r="Q31" s="65" t="s">
        <v>125</v>
      </c>
      <c r="R31" s="60">
        <f>J41+J42</f>
        <v>29128.498300958563</v>
      </c>
      <c r="S31" s="66"/>
      <c r="T31" s="65" t="s">
        <v>126</v>
      </c>
      <c r="U31" s="67">
        <f>O35</f>
        <v>1169.7389055130091</v>
      </c>
      <c r="V31" s="48"/>
      <c r="W31" s="65" t="s">
        <v>127</v>
      </c>
      <c r="X31" s="68">
        <f>R37</f>
        <v>1711.9463875064355</v>
      </c>
    </row>
    <row r="32" spans="1:24" ht="15.75">
      <c r="H32" s="36" t="s">
        <v>101</v>
      </c>
      <c r="I32" s="60">
        <f>ONSV_AUX_2017!X30</f>
        <v>22</v>
      </c>
      <c r="J32" s="9"/>
      <c r="K32" s="27"/>
      <c r="L32" s="62"/>
      <c r="M32" s="20"/>
      <c r="N32" s="28" t="s">
        <v>128</v>
      </c>
      <c r="O32" s="69">
        <f>J38/O31</f>
        <v>0.98315334773218155</v>
      </c>
      <c r="P32" s="64"/>
      <c r="Q32" s="70" t="s">
        <v>129</v>
      </c>
      <c r="R32" s="63">
        <f>J41/R31</f>
        <v>0.83809850695040333</v>
      </c>
      <c r="S32" s="71"/>
      <c r="T32" s="65" t="s">
        <v>130</v>
      </c>
      <c r="U32" s="67">
        <f>I47-J47</f>
        <v>0.26109448699094173</v>
      </c>
      <c r="V32" s="48"/>
      <c r="W32" s="65" t="s">
        <v>131</v>
      </c>
      <c r="X32" s="68">
        <f>I42-J42</f>
        <v>1.0526347821678428</v>
      </c>
    </row>
    <row r="33" spans="8:24" ht="15.75">
      <c r="H33" s="36" t="s">
        <v>16</v>
      </c>
      <c r="I33" s="60">
        <f>ONSV_AUX_2017!X31</f>
        <v>43</v>
      </c>
      <c r="J33" s="9"/>
      <c r="K33" s="2" t="s">
        <v>132</v>
      </c>
      <c r="L33" s="63">
        <f>I38/L31</f>
        <v>0.69260029416239788</v>
      </c>
      <c r="M33" s="20"/>
      <c r="N33" s="28" t="s">
        <v>133</v>
      </c>
      <c r="O33" s="69">
        <f>J47/O31</f>
        <v>1.6846652267818576E-2</v>
      </c>
      <c r="P33" s="64"/>
      <c r="Q33" s="70" t="s">
        <v>134</v>
      </c>
      <c r="R33" s="63">
        <f>J42/R31</f>
        <v>0.1619014930495967</v>
      </c>
      <c r="S33" s="71"/>
      <c r="T33" s="65" t="s">
        <v>135</v>
      </c>
      <c r="U33" s="72">
        <f>O37</f>
        <v>0</v>
      </c>
      <c r="V33" s="73"/>
      <c r="W33" s="65" t="s">
        <v>136</v>
      </c>
      <c r="X33" s="72">
        <f>R40</f>
        <v>3004.0009777113964</v>
      </c>
    </row>
    <row r="34" spans="8:24" ht="15.75">
      <c r="H34" s="36" t="s">
        <v>94</v>
      </c>
      <c r="I34" s="60">
        <f>ONSV_AUX_2017!X32</f>
        <v>109298</v>
      </c>
      <c r="J34" s="10"/>
      <c r="K34" s="2" t="s">
        <v>2</v>
      </c>
      <c r="L34" s="63">
        <f>I41/L31</f>
        <v>0.24768473905766597</v>
      </c>
      <c r="M34" s="20"/>
      <c r="N34" s="20"/>
      <c r="O34" s="74"/>
      <c r="P34" s="48"/>
      <c r="Q34" s="48"/>
      <c r="R34" s="48"/>
      <c r="S34" s="48"/>
      <c r="T34" s="48"/>
      <c r="U34" s="62"/>
      <c r="V34" s="75"/>
      <c r="W34" s="48"/>
      <c r="X34" s="62"/>
    </row>
    <row r="35" spans="8:24" ht="15.75">
      <c r="K35" s="2" t="s">
        <v>3</v>
      </c>
      <c r="L35" s="63">
        <f>I42/L31</f>
        <v>4.7847035553076026E-2</v>
      </c>
      <c r="M35" s="20"/>
      <c r="N35" s="28" t="s">
        <v>137</v>
      </c>
      <c r="O35" s="60">
        <f>IF(O33*I30&gt;J47,J47,O33*I30)</f>
        <v>1169.7389055130091</v>
      </c>
      <c r="P35" s="76"/>
      <c r="Q35" s="65" t="s">
        <v>138</v>
      </c>
      <c r="R35" s="60">
        <f>I31-I39-I40-I43-I46</f>
        <v>10574</v>
      </c>
      <c r="S35" s="77"/>
      <c r="T35" s="65" t="s">
        <v>139</v>
      </c>
      <c r="U35" s="67">
        <f>O43</f>
        <v>66777.762793528425</v>
      </c>
      <c r="V35" s="76"/>
      <c r="W35" s="65" t="s">
        <v>140</v>
      </c>
      <c r="X35" s="67">
        <f>I39</f>
        <v>4741</v>
      </c>
    </row>
    <row r="36" spans="8:24" ht="15.75">
      <c r="H36" s="24" t="s">
        <v>141</v>
      </c>
      <c r="K36" s="2" t="s">
        <v>0</v>
      </c>
      <c r="L36" s="63">
        <f>I47/L31</f>
        <v>1.1867931226860071E-2</v>
      </c>
      <c r="O36" s="48"/>
      <c r="P36" s="76"/>
      <c r="Q36" s="65" t="s">
        <v>142</v>
      </c>
      <c r="R36" s="60">
        <f>R32*R35</f>
        <v>8862.0536124935643</v>
      </c>
      <c r="S36" s="48"/>
      <c r="T36" s="65" t="s">
        <v>143</v>
      </c>
      <c r="U36" s="67">
        <f>O41</f>
        <v>1444</v>
      </c>
      <c r="V36" s="66"/>
      <c r="W36" s="65" t="s">
        <v>144</v>
      </c>
      <c r="X36" s="67">
        <f>I40</f>
        <v>674</v>
      </c>
    </row>
    <row r="37" spans="8:24" ht="15.75">
      <c r="K37" s="11"/>
      <c r="L37" s="11"/>
      <c r="M37" s="11"/>
      <c r="N37" s="28" t="s">
        <v>145</v>
      </c>
      <c r="O37" s="60">
        <f>J47-O35</f>
        <v>0</v>
      </c>
      <c r="P37" s="76"/>
      <c r="Q37" s="65" t="s">
        <v>127</v>
      </c>
      <c r="R37" s="60">
        <f>R33*R35</f>
        <v>1711.9463875064355</v>
      </c>
      <c r="S37" s="48"/>
      <c r="T37" s="65" t="s">
        <v>146</v>
      </c>
      <c r="U37" s="67">
        <f>O42</f>
        <v>43</v>
      </c>
      <c r="V37" s="71"/>
      <c r="W37" s="48"/>
      <c r="X37" s="62"/>
    </row>
    <row r="38" spans="8:24" ht="15.75">
      <c r="H38" s="37" t="s">
        <v>103</v>
      </c>
      <c r="I38" s="60">
        <f>ONSV_AUX_2017!X56</f>
        <v>68280</v>
      </c>
      <c r="J38" s="61">
        <f>I38-(L33*I32)</f>
        <v>68264.762793528425</v>
      </c>
      <c r="K38" s="11"/>
      <c r="L38" s="11"/>
      <c r="M38" s="11"/>
      <c r="O38" s="76"/>
      <c r="P38" s="76"/>
      <c r="Q38" s="48"/>
      <c r="R38" s="78"/>
      <c r="S38" s="48"/>
      <c r="T38" s="65" t="s">
        <v>147</v>
      </c>
      <c r="U38" s="68">
        <f>I38-J38</f>
        <v>15.237206471574609</v>
      </c>
      <c r="V38" s="71"/>
      <c r="W38" s="65" t="s">
        <v>148</v>
      </c>
      <c r="X38" s="67">
        <f>I46</f>
        <v>1048</v>
      </c>
    </row>
    <row r="39" spans="8:24" ht="15.75">
      <c r="H39" s="37" t="s">
        <v>104</v>
      </c>
      <c r="I39" s="60">
        <f>ONSV_AUX_2017!X57</f>
        <v>4741</v>
      </c>
      <c r="J39" s="10">
        <f>I39</f>
        <v>4741</v>
      </c>
      <c r="K39" s="11"/>
      <c r="L39" s="11"/>
      <c r="M39" s="11"/>
      <c r="N39" s="26" t="s">
        <v>149</v>
      </c>
      <c r="O39" s="76"/>
      <c r="P39" s="76"/>
      <c r="Q39" s="65" t="s">
        <v>150</v>
      </c>
      <c r="R39" s="60">
        <f>J41-R36</f>
        <v>15550.497323247168</v>
      </c>
      <c r="S39" s="48"/>
      <c r="T39" s="65" t="s">
        <v>151</v>
      </c>
      <c r="U39" s="72">
        <f>O44</f>
        <v>0</v>
      </c>
      <c r="V39" s="48"/>
      <c r="W39" s="65" t="s">
        <v>152</v>
      </c>
      <c r="X39" s="67">
        <f>I43</f>
        <v>665</v>
      </c>
    </row>
    <row r="40" spans="8:24" ht="15.75">
      <c r="H40" s="37" t="s">
        <v>105</v>
      </c>
      <c r="I40" s="60">
        <f>ONSV_AUX_2017!X58</f>
        <v>674</v>
      </c>
      <c r="J40" s="10">
        <f>I40</f>
        <v>674</v>
      </c>
      <c r="K40" s="11"/>
      <c r="L40" s="11"/>
      <c r="M40" s="11"/>
      <c r="O40" s="73"/>
      <c r="P40" s="76"/>
      <c r="Q40" s="65" t="s">
        <v>136</v>
      </c>
      <c r="R40" s="60">
        <f>J42-R37</f>
        <v>3004.0009777113964</v>
      </c>
      <c r="S40" s="48"/>
      <c r="T40" s="48"/>
      <c r="U40" s="62"/>
      <c r="V40" s="77"/>
      <c r="W40" s="48"/>
      <c r="X40" s="62"/>
    </row>
    <row r="41" spans="8:24" ht="15.75">
      <c r="H41" s="37" t="s">
        <v>106</v>
      </c>
      <c r="I41" s="60">
        <f>ONSV_AUX_2017!X59</f>
        <v>24418</v>
      </c>
      <c r="J41" s="61">
        <f>I41-(L34*I32)</f>
        <v>24412.550935740732</v>
      </c>
      <c r="K41" s="11"/>
      <c r="L41" s="11"/>
      <c r="M41" s="11"/>
      <c r="N41" s="28" t="s">
        <v>143</v>
      </c>
      <c r="O41" s="60">
        <f>I29</f>
        <v>1444</v>
      </c>
      <c r="P41" s="76"/>
      <c r="Q41" s="48"/>
      <c r="R41" s="48"/>
      <c r="S41" s="77"/>
      <c r="T41" s="65" t="s">
        <v>142</v>
      </c>
      <c r="U41" s="68">
        <f>R36</f>
        <v>8862.0536124935643</v>
      </c>
      <c r="V41" s="48"/>
      <c r="W41" s="65" t="s">
        <v>153</v>
      </c>
      <c r="X41" s="67">
        <f>I44</f>
        <v>76868</v>
      </c>
    </row>
    <row r="42" spans="8:24" ht="15.75">
      <c r="H42" s="37" t="s">
        <v>107</v>
      </c>
      <c r="I42" s="60">
        <f>ONSV_AUX_2017!X60</f>
        <v>4717</v>
      </c>
      <c r="J42" s="61">
        <f>I42-(L35*I32)</f>
        <v>4715.9473652178322</v>
      </c>
      <c r="K42" s="11"/>
      <c r="L42" s="11"/>
      <c r="M42" s="11"/>
      <c r="N42" s="28" t="s">
        <v>146</v>
      </c>
      <c r="O42" s="60">
        <f>I33</f>
        <v>43</v>
      </c>
      <c r="P42" s="76"/>
      <c r="Q42" s="48"/>
      <c r="R42" s="48"/>
      <c r="S42" s="48"/>
      <c r="T42" s="65" t="s">
        <v>154</v>
      </c>
      <c r="U42" s="68">
        <f>I41-J41</f>
        <v>5.4490642592681979</v>
      </c>
      <c r="V42" s="48"/>
      <c r="W42" s="65" t="s">
        <v>155</v>
      </c>
      <c r="X42" s="67">
        <f>I45</f>
        <v>19568</v>
      </c>
    </row>
    <row r="43" spans="8:24" ht="15.75">
      <c r="H43" s="37" t="s">
        <v>108</v>
      </c>
      <c r="I43" s="60">
        <f>ONSV_AUX_2017!X61</f>
        <v>665</v>
      </c>
      <c r="J43" s="10">
        <f>I43</f>
        <v>665</v>
      </c>
      <c r="K43" s="11"/>
      <c r="L43" s="11"/>
      <c r="M43" s="11"/>
      <c r="N43" s="28" t="s">
        <v>139</v>
      </c>
      <c r="O43" s="60">
        <f>IF(OR((O32*I30&gt;J38),((O41+O42+(O32*I30))&gt;J38)),(J38-O41-O42),(O32*I30))</f>
        <v>66777.762793528425</v>
      </c>
      <c r="P43" s="76"/>
      <c r="Q43" s="48"/>
      <c r="R43" s="78"/>
      <c r="S43" s="48"/>
      <c r="T43" s="65" t="s">
        <v>150</v>
      </c>
      <c r="U43" s="72">
        <f>R39</f>
        <v>15550.497323247168</v>
      </c>
      <c r="V43" s="48"/>
      <c r="W43" s="48"/>
      <c r="X43" s="48"/>
    </row>
    <row r="44" spans="8:24" ht="15.75">
      <c r="H44" s="37" t="s">
        <v>109</v>
      </c>
      <c r="I44" s="60">
        <f>ONSV_AUX_2017!X62</f>
        <v>76868</v>
      </c>
      <c r="J44" s="10">
        <f>I44</f>
        <v>76868</v>
      </c>
      <c r="K44" s="11"/>
      <c r="L44" s="11"/>
      <c r="M44" s="11"/>
      <c r="N44" s="28" t="s">
        <v>151</v>
      </c>
      <c r="O44" s="60">
        <f>IF((J38-O41-O43-O42)&lt;0,0,(J38-O41-O43-O42))</f>
        <v>0</v>
      </c>
      <c r="P44" s="48"/>
      <c r="Q44" s="48"/>
      <c r="R44" s="48"/>
      <c r="S44" s="48"/>
      <c r="T44" s="48"/>
      <c r="U44" s="62"/>
      <c r="V44" s="48"/>
      <c r="W44" s="48"/>
      <c r="X44" s="48"/>
    </row>
    <row r="45" spans="8:24" ht="15.75">
      <c r="H45" s="37" t="s">
        <v>110</v>
      </c>
      <c r="I45" s="60">
        <f>ONSV_AUX_2017!X63</f>
        <v>19568</v>
      </c>
      <c r="J45" s="10">
        <f>I45</f>
        <v>19568</v>
      </c>
      <c r="K45" s="11"/>
      <c r="L45" s="11"/>
      <c r="M45" s="11"/>
      <c r="O45" s="48"/>
      <c r="P45" s="76"/>
      <c r="Q45" s="48"/>
      <c r="R45" s="48"/>
      <c r="S45" s="48"/>
      <c r="T45" s="79" t="s">
        <v>156</v>
      </c>
      <c r="U45" s="80">
        <f>(SUM(U31:U43,X31:X42)/SUM(I38:I47))-1</f>
        <v>0</v>
      </c>
      <c r="V45" s="48"/>
      <c r="W45" s="79" t="s">
        <v>10</v>
      </c>
      <c r="X45" s="67">
        <f>SUM(U31:U43,X31:X42)</f>
        <v>202149</v>
      </c>
    </row>
    <row r="46" spans="8:24" ht="15.75">
      <c r="H46" s="37" t="s">
        <v>111</v>
      </c>
      <c r="I46" s="60">
        <f>ONSV_AUX_2017!X64</f>
        <v>1048</v>
      </c>
      <c r="J46" s="10">
        <f>I46</f>
        <v>1048</v>
      </c>
      <c r="K46" s="11"/>
      <c r="L46" s="11"/>
      <c r="M46" s="11"/>
      <c r="O46" s="48"/>
      <c r="P46" s="76"/>
      <c r="Q46" s="48"/>
      <c r="R46" s="48"/>
      <c r="S46" s="48"/>
      <c r="T46" s="48"/>
      <c r="U46" s="48"/>
      <c r="V46" s="48"/>
      <c r="W46" s="48"/>
      <c r="X46" s="48"/>
    </row>
    <row r="47" spans="8:24" ht="15.75">
      <c r="H47" s="37" t="s">
        <v>112</v>
      </c>
      <c r="I47" s="60">
        <f>ONSV_AUX_2017!X65</f>
        <v>1170</v>
      </c>
      <c r="J47" s="61">
        <f>I47-(L36*I32)</f>
        <v>1169.7389055130091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39"/>
      <c r="I48" s="40"/>
      <c r="J48" s="40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4" customFormat="1" ht="15.75">
      <c r="A50" s="101" t="str">
        <f>"RORAIMA/"&amp;ONSV_AUX_2016!A1&amp;""</f>
        <v>RORAIMA/2016</v>
      </c>
      <c r="B50" s="102"/>
      <c r="C50" s="102"/>
      <c r="D50" s="102"/>
      <c r="E50" s="102"/>
      <c r="F50" s="102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</row>
    <row r="52" spans="1:24" ht="15.75">
      <c r="B52" s="41"/>
      <c r="H52" s="23" t="s">
        <v>118</v>
      </c>
      <c r="N52" s="26"/>
      <c r="O52" s="26"/>
      <c r="P52" s="9"/>
      <c r="Q52" s="26"/>
      <c r="R52" s="26"/>
      <c r="S52" s="26"/>
      <c r="T52" s="104"/>
      <c r="U52" s="104"/>
      <c r="V52" s="104"/>
      <c r="W52" s="104"/>
      <c r="X52" s="104"/>
    </row>
    <row r="53" spans="1:24" ht="15.75">
      <c r="J53" s="9"/>
      <c r="M53" s="25"/>
      <c r="N53" s="9"/>
      <c r="O53" s="9"/>
      <c r="P53" s="9"/>
      <c r="Q53" s="11"/>
      <c r="R53" s="11"/>
      <c r="S53" s="11"/>
    </row>
    <row r="54" spans="1:24" ht="15.75">
      <c r="H54" s="36" t="s">
        <v>81</v>
      </c>
      <c r="I54" s="60">
        <f>ONSV_AUX_2016!X27</f>
        <v>1440</v>
      </c>
      <c r="J54" s="9"/>
      <c r="K54" s="104" t="s">
        <v>119</v>
      </c>
      <c r="L54" s="104"/>
      <c r="M54" s="9"/>
      <c r="N54" s="26" t="s">
        <v>120</v>
      </c>
      <c r="O54" s="26"/>
      <c r="Q54" s="26" t="s">
        <v>121</v>
      </c>
      <c r="R54" s="26"/>
      <c r="S54" s="26"/>
      <c r="T54" s="25" t="s">
        <v>122</v>
      </c>
      <c r="U54" s="25"/>
      <c r="V54" s="25"/>
      <c r="W54" s="25"/>
      <c r="X54" s="25"/>
    </row>
    <row r="55" spans="1:24" ht="15.75">
      <c r="H55" s="36" t="s">
        <v>84</v>
      </c>
      <c r="I55" s="60">
        <f>ONSV_AUX_2016!X28</f>
        <v>67846</v>
      </c>
      <c r="J55" s="9"/>
      <c r="K55" s="9"/>
      <c r="L55" s="9"/>
      <c r="M55" s="9"/>
      <c r="N55" s="9"/>
      <c r="O55" s="9"/>
      <c r="P55" s="20"/>
      <c r="Q55" s="11"/>
      <c r="R55" s="11"/>
      <c r="S55" s="11"/>
    </row>
    <row r="56" spans="1:24" ht="15.75">
      <c r="H56" s="36" t="s">
        <v>85</v>
      </c>
      <c r="I56" s="60">
        <f>ONSV_AUX_2016!X29</f>
        <v>16392</v>
      </c>
      <c r="J56" s="9"/>
      <c r="K56" s="2" t="s">
        <v>123</v>
      </c>
      <c r="L56" s="60">
        <f>I63+I66+I67+I72</f>
        <v>92900</v>
      </c>
      <c r="N56" s="28" t="s">
        <v>124</v>
      </c>
      <c r="O56" s="60">
        <f>J63+J72</f>
        <v>65946.089547900963</v>
      </c>
      <c r="P56" s="64"/>
      <c r="Q56" s="65" t="s">
        <v>125</v>
      </c>
      <c r="R56" s="60">
        <f>J66+J67</f>
        <v>26932.910452099029</v>
      </c>
      <c r="S56" s="66"/>
      <c r="T56" s="65" t="s">
        <v>126</v>
      </c>
      <c r="U56" s="67">
        <f>O60</f>
        <v>1082.7551883745964</v>
      </c>
      <c r="V56" s="48"/>
      <c r="W56" s="65" t="s">
        <v>127</v>
      </c>
      <c r="X56" s="68">
        <f>R62</f>
        <v>1611.0371580236833</v>
      </c>
    </row>
    <row r="57" spans="1:24" ht="15.75">
      <c r="H57" s="36" t="s">
        <v>101</v>
      </c>
      <c r="I57" s="60">
        <f>ONSV_AUX_2016!X30</f>
        <v>21</v>
      </c>
      <c r="J57" s="9"/>
      <c r="K57" s="27"/>
      <c r="L57" s="62"/>
      <c r="M57" s="20"/>
      <c r="N57" s="28" t="s">
        <v>128</v>
      </c>
      <c r="O57" s="69">
        <f>J63/O56</f>
        <v>0.98358120707690921</v>
      </c>
      <c r="P57" s="64"/>
      <c r="Q57" s="70" t="s">
        <v>129</v>
      </c>
      <c r="R57" s="63">
        <f>J66/R56</f>
        <v>0.83258472846059617</v>
      </c>
      <c r="S57" s="71"/>
      <c r="T57" s="65" t="s">
        <v>130</v>
      </c>
      <c r="U57" s="67">
        <f>I72-J72</f>
        <v>0.24481162540359946</v>
      </c>
      <c r="V57" s="48"/>
      <c r="W57" s="65" t="s">
        <v>131</v>
      </c>
      <c r="X57" s="68">
        <f>I67-J67</f>
        <v>1.0194833153927902</v>
      </c>
    </row>
    <row r="58" spans="1:24" ht="15.75">
      <c r="H58" s="36" t="s">
        <v>16</v>
      </c>
      <c r="I58" s="60">
        <f>ONSV_AUX_2016!X31</f>
        <v>38</v>
      </c>
      <c r="J58" s="9"/>
      <c r="K58" s="2" t="s">
        <v>132</v>
      </c>
      <c r="L58" s="63">
        <f>I63/L56</f>
        <v>0.69836383207750274</v>
      </c>
      <c r="M58" s="20"/>
      <c r="N58" s="28" t="s">
        <v>133</v>
      </c>
      <c r="O58" s="69">
        <f>J72/O56</f>
        <v>1.6418792923090921E-2</v>
      </c>
      <c r="P58" s="64"/>
      <c r="Q58" s="70" t="s">
        <v>134</v>
      </c>
      <c r="R58" s="63">
        <f>J67/R56</f>
        <v>0.16741527153940386</v>
      </c>
      <c r="S58" s="71"/>
      <c r="T58" s="65" t="s">
        <v>135</v>
      </c>
      <c r="U58" s="72">
        <f>O62</f>
        <v>0</v>
      </c>
      <c r="V58" s="73"/>
      <c r="W58" s="65" t="s">
        <v>136</v>
      </c>
      <c r="X58" s="72">
        <f>R65</f>
        <v>2897.9433586609239</v>
      </c>
    </row>
    <row r="59" spans="1:24" ht="15.75">
      <c r="H59" s="36" t="s">
        <v>94</v>
      </c>
      <c r="I59" s="60">
        <f>ONSV_AUX_2016!X32</f>
        <v>107482</v>
      </c>
      <c r="J59" s="10"/>
      <c r="K59" s="2" t="s">
        <v>2</v>
      </c>
      <c r="L59" s="63">
        <f>I66/L56</f>
        <v>0.24143164693218513</v>
      </c>
      <c r="M59" s="20"/>
      <c r="N59" s="20"/>
      <c r="O59" s="74"/>
      <c r="P59" s="48"/>
      <c r="Q59" s="48"/>
      <c r="R59" s="48"/>
      <c r="S59" s="48"/>
      <c r="T59" s="48"/>
      <c r="U59" s="62"/>
      <c r="V59" s="75"/>
      <c r="W59" s="48"/>
      <c r="X59" s="62"/>
    </row>
    <row r="60" spans="1:24" ht="15.75">
      <c r="K60" s="2" t="s">
        <v>3</v>
      </c>
      <c r="L60" s="63">
        <f>I67/L56</f>
        <v>4.8546824542518838E-2</v>
      </c>
      <c r="M60" s="20"/>
      <c r="N60" s="28" t="s">
        <v>137</v>
      </c>
      <c r="O60" s="60">
        <f>IF(O58*I55&gt;J72,J72,O58*I55)</f>
        <v>1082.7551883745964</v>
      </c>
      <c r="P60" s="76"/>
      <c r="Q60" s="65" t="s">
        <v>138</v>
      </c>
      <c r="R60" s="60">
        <f>I56-I64-I65-I68-I71</f>
        <v>9623</v>
      </c>
      <c r="S60" s="77"/>
      <c r="T60" s="65" t="s">
        <v>139</v>
      </c>
      <c r="U60" s="67">
        <f>O68</f>
        <v>63385.334359526372</v>
      </c>
      <c r="V60" s="76"/>
      <c r="W60" s="65" t="s">
        <v>140</v>
      </c>
      <c r="X60" s="67">
        <f>I64</f>
        <v>4514</v>
      </c>
    </row>
    <row r="61" spans="1:24" ht="15.75">
      <c r="H61" s="24" t="s">
        <v>141</v>
      </c>
      <c r="K61" s="2" t="s">
        <v>0</v>
      </c>
      <c r="L61" s="63">
        <f>I72/L56</f>
        <v>1.1657696447793325E-2</v>
      </c>
      <c r="O61" s="48"/>
      <c r="P61" s="76"/>
      <c r="Q61" s="65" t="s">
        <v>142</v>
      </c>
      <c r="R61" s="60">
        <f>R57*R60</f>
        <v>8011.9628419763167</v>
      </c>
      <c r="S61" s="48"/>
      <c r="T61" s="65" t="s">
        <v>143</v>
      </c>
      <c r="U61" s="67">
        <f>O66</f>
        <v>1440</v>
      </c>
      <c r="V61" s="66"/>
      <c r="W61" s="65" t="s">
        <v>144</v>
      </c>
      <c r="X61" s="67">
        <f>I65</f>
        <v>603</v>
      </c>
    </row>
    <row r="62" spans="1:24" ht="15.75">
      <c r="K62" s="11"/>
      <c r="L62" s="11"/>
      <c r="M62" s="11"/>
      <c r="N62" s="28" t="s">
        <v>145</v>
      </c>
      <c r="O62" s="60">
        <f>J72-O60</f>
        <v>0</v>
      </c>
      <c r="P62" s="76"/>
      <c r="Q62" s="65" t="s">
        <v>127</v>
      </c>
      <c r="R62" s="60">
        <f>R58*R60</f>
        <v>1611.0371580236833</v>
      </c>
      <c r="S62" s="48"/>
      <c r="T62" s="65" t="s">
        <v>146</v>
      </c>
      <c r="U62" s="67">
        <f>O67</f>
        <v>38</v>
      </c>
      <c r="V62" s="71"/>
      <c r="W62" s="48"/>
      <c r="X62" s="62"/>
    </row>
    <row r="63" spans="1:24" ht="15.75">
      <c r="H63" s="37" t="s">
        <v>103</v>
      </c>
      <c r="I63" s="60">
        <f>ONSV_AUX_2016!X56</f>
        <v>64878</v>
      </c>
      <c r="J63" s="61">
        <f>I63-(L58*I57)</f>
        <v>64863.334359526372</v>
      </c>
      <c r="K63" s="11"/>
      <c r="L63" s="11"/>
      <c r="M63" s="11"/>
      <c r="O63" s="76"/>
      <c r="P63" s="76"/>
      <c r="Q63" s="48"/>
      <c r="R63" s="78"/>
      <c r="S63" s="48"/>
      <c r="T63" s="65" t="s">
        <v>147</v>
      </c>
      <c r="U63" s="68">
        <f>I63-J63</f>
        <v>14.665640473627718</v>
      </c>
      <c r="V63" s="71"/>
      <c r="W63" s="65" t="s">
        <v>148</v>
      </c>
      <c r="X63" s="67">
        <f>I71</f>
        <v>1009</v>
      </c>
    </row>
    <row r="64" spans="1:24" ht="15.75">
      <c r="H64" s="37" t="s">
        <v>104</v>
      </c>
      <c r="I64" s="60">
        <f>ONSV_AUX_2016!X57</f>
        <v>4514</v>
      </c>
      <c r="J64" s="10">
        <f>I64</f>
        <v>4514</v>
      </c>
      <c r="K64" s="11"/>
      <c r="L64" s="11"/>
      <c r="M64" s="11"/>
      <c r="N64" s="26" t="s">
        <v>149</v>
      </c>
      <c r="O64" s="76"/>
      <c r="P64" s="76"/>
      <c r="Q64" s="65" t="s">
        <v>150</v>
      </c>
      <c r="R64" s="60">
        <f>J66-R61</f>
        <v>14411.967093438107</v>
      </c>
      <c r="S64" s="48"/>
      <c r="T64" s="65" t="s">
        <v>151</v>
      </c>
      <c r="U64" s="72">
        <f>O69</f>
        <v>0</v>
      </c>
      <c r="V64" s="48"/>
      <c r="W64" s="65" t="s">
        <v>152</v>
      </c>
      <c r="X64" s="67">
        <f>I68</f>
        <v>643</v>
      </c>
    </row>
    <row r="65" spans="1:24" ht="15.75">
      <c r="H65" s="37" t="s">
        <v>105</v>
      </c>
      <c r="I65" s="60">
        <f>ONSV_AUX_2016!X58</f>
        <v>603</v>
      </c>
      <c r="J65" s="10">
        <f>I65</f>
        <v>603</v>
      </c>
      <c r="K65" s="11"/>
      <c r="L65" s="11"/>
      <c r="M65" s="11"/>
      <c r="O65" s="73"/>
      <c r="P65" s="76"/>
      <c r="Q65" s="65" t="s">
        <v>136</v>
      </c>
      <c r="R65" s="60">
        <f>J67-R62</f>
        <v>2897.9433586609239</v>
      </c>
      <c r="S65" s="48"/>
      <c r="T65" s="48"/>
      <c r="U65" s="62"/>
      <c r="V65" s="77"/>
      <c r="W65" s="48"/>
      <c r="X65" s="62"/>
    </row>
    <row r="66" spans="1:24" ht="15.75">
      <c r="H66" s="37" t="s">
        <v>106</v>
      </c>
      <c r="I66" s="60">
        <f>ONSV_AUX_2016!X59</f>
        <v>22429</v>
      </c>
      <c r="J66" s="61">
        <f>I66-(L59*I57)</f>
        <v>22423.929935414424</v>
      </c>
      <c r="K66" s="11"/>
      <c r="L66" s="11"/>
      <c r="M66" s="11"/>
      <c r="N66" s="28" t="s">
        <v>143</v>
      </c>
      <c r="O66" s="60">
        <f>I54</f>
        <v>1440</v>
      </c>
      <c r="P66" s="76"/>
      <c r="Q66" s="48"/>
      <c r="R66" s="48"/>
      <c r="S66" s="77"/>
      <c r="T66" s="65" t="s">
        <v>142</v>
      </c>
      <c r="U66" s="68">
        <f>R61</f>
        <v>8011.9628419763167</v>
      </c>
      <c r="V66" s="48"/>
      <c r="W66" s="65" t="s">
        <v>153</v>
      </c>
      <c r="X66" s="67">
        <f>I69</f>
        <v>74218</v>
      </c>
    </row>
    <row r="67" spans="1:24" ht="15.75">
      <c r="H67" s="37" t="s">
        <v>107</v>
      </c>
      <c r="I67" s="60">
        <f>ONSV_AUX_2016!X60</f>
        <v>4510</v>
      </c>
      <c r="J67" s="61">
        <f>I67-(L60*I57)</f>
        <v>4508.9805166846072</v>
      </c>
      <c r="K67" s="11"/>
      <c r="L67" s="11"/>
      <c r="M67" s="11"/>
      <c r="N67" s="28" t="s">
        <v>146</v>
      </c>
      <c r="O67" s="60">
        <f>I58</f>
        <v>38</v>
      </c>
      <c r="P67" s="76"/>
      <c r="Q67" s="48"/>
      <c r="R67" s="48"/>
      <c r="S67" s="48"/>
      <c r="T67" s="65" t="s">
        <v>154</v>
      </c>
      <c r="U67" s="68">
        <f>I66-J66</f>
        <v>5.0700645855758921</v>
      </c>
      <c r="V67" s="48"/>
      <c r="W67" s="65" t="s">
        <v>155</v>
      </c>
      <c r="X67" s="67">
        <f>I70</f>
        <v>18835</v>
      </c>
    </row>
    <row r="68" spans="1:24" ht="15.75">
      <c r="H68" s="37" t="s">
        <v>108</v>
      </c>
      <c r="I68" s="60">
        <f>ONSV_AUX_2016!X61</f>
        <v>643</v>
      </c>
      <c r="J68" s="10">
        <f>I68</f>
        <v>643</v>
      </c>
      <c r="K68" s="11"/>
      <c r="L68" s="11"/>
      <c r="M68" s="11"/>
      <c r="N68" s="28" t="s">
        <v>139</v>
      </c>
      <c r="O68" s="60">
        <f>IF(OR((O57*I55&gt;J63),((O66+O67+(O57*I55))&gt;J63)),(J63-O66-O67),(O57*I55))</f>
        <v>63385.334359526372</v>
      </c>
      <c r="P68" s="76"/>
      <c r="Q68" s="48"/>
      <c r="R68" s="78"/>
      <c r="S68" s="48"/>
      <c r="T68" s="65" t="s">
        <v>150</v>
      </c>
      <c r="U68" s="72">
        <f>R64</f>
        <v>14411.967093438107</v>
      </c>
      <c r="V68" s="48"/>
      <c r="W68" s="48"/>
      <c r="X68" s="48"/>
    </row>
    <row r="69" spans="1:24" ht="15.75">
      <c r="H69" s="37" t="s">
        <v>109</v>
      </c>
      <c r="I69" s="60">
        <f>ONSV_AUX_2016!X62</f>
        <v>74218</v>
      </c>
      <c r="J69" s="10">
        <f>I69</f>
        <v>74218</v>
      </c>
      <c r="K69" s="11"/>
      <c r="L69" s="11"/>
      <c r="M69" s="11"/>
      <c r="N69" s="28" t="s">
        <v>151</v>
      </c>
      <c r="O69" s="60">
        <f>IF((J63-O66-O68-O67)&lt;0,0,(J63-O66-O68-O67))</f>
        <v>0</v>
      </c>
      <c r="P69" s="48"/>
      <c r="Q69" s="48"/>
      <c r="R69" s="48"/>
      <c r="S69" s="48"/>
      <c r="T69" s="48"/>
      <c r="U69" s="62"/>
      <c r="V69" s="48"/>
      <c r="W69" s="48"/>
      <c r="X69" s="48"/>
    </row>
    <row r="70" spans="1:24" ht="15.75">
      <c r="H70" s="37" t="s">
        <v>110</v>
      </c>
      <c r="I70" s="60">
        <f>ONSV_AUX_2016!X63</f>
        <v>18835</v>
      </c>
      <c r="J70" s="10">
        <f>I70</f>
        <v>18835</v>
      </c>
      <c r="K70" s="11"/>
      <c r="L70" s="11"/>
      <c r="M70" s="11"/>
      <c r="O70" s="48"/>
      <c r="P70" s="76"/>
      <c r="Q70" s="48"/>
      <c r="R70" s="48"/>
      <c r="S70" s="48"/>
      <c r="T70" s="79" t="s">
        <v>156</v>
      </c>
      <c r="U70" s="80">
        <f>(SUM(U56:U68,X56:X67)/SUM(I63:I72))-1</f>
        <v>0</v>
      </c>
      <c r="V70" s="48"/>
      <c r="W70" s="79" t="s">
        <v>10</v>
      </c>
      <c r="X70" s="67">
        <f>SUM(U56:U68,X56:X67)</f>
        <v>192722</v>
      </c>
    </row>
    <row r="71" spans="1:24" ht="15.75">
      <c r="H71" s="37" t="s">
        <v>111</v>
      </c>
      <c r="I71" s="60">
        <f>ONSV_AUX_2016!X64</f>
        <v>1009</v>
      </c>
      <c r="J71" s="10">
        <f>I71</f>
        <v>1009</v>
      </c>
      <c r="K71" s="11"/>
      <c r="L71" s="11"/>
      <c r="M71" s="11"/>
      <c r="O71" s="48"/>
      <c r="P71" s="76"/>
      <c r="Q71" s="48"/>
      <c r="R71" s="48"/>
      <c r="S71" s="48"/>
      <c r="T71" s="48"/>
      <c r="U71" s="48"/>
      <c r="V71" s="48"/>
      <c r="W71" s="48"/>
      <c r="X71" s="48"/>
    </row>
    <row r="72" spans="1:24" ht="15.75">
      <c r="H72" s="37" t="s">
        <v>112</v>
      </c>
      <c r="I72" s="60">
        <f>ONSV_AUX_2016!X65</f>
        <v>1083</v>
      </c>
      <c r="J72" s="61">
        <f>I72-(L61*I57)</f>
        <v>1082.7551883745964</v>
      </c>
      <c r="K72" s="12"/>
      <c r="L72" s="12"/>
      <c r="M72" s="12"/>
      <c r="N72" s="12"/>
      <c r="O72" s="12"/>
      <c r="P72" s="12"/>
      <c r="Q72" s="4"/>
      <c r="R72" s="4"/>
    </row>
    <row r="75" spans="1:24" s="34" customFormat="1" ht="15.75">
      <c r="A75" s="101" t="str">
        <f>"RORAIMA/"&amp;ONSV_AUX_2015!A1&amp;""</f>
        <v>RORAIMA/2015</v>
      </c>
      <c r="B75" s="102"/>
      <c r="C75" s="102"/>
      <c r="D75" s="102"/>
      <c r="E75" s="102"/>
      <c r="F75" s="102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 spans="1:24"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>
      <c r="H77" s="23" t="s">
        <v>118</v>
      </c>
      <c r="P77" s="9"/>
    </row>
    <row r="78" spans="1:24" ht="15.75">
      <c r="J78" s="9"/>
      <c r="M78" s="25"/>
      <c r="P78" s="9"/>
    </row>
    <row r="79" spans="1:24" ht="15.75">
      <c r="H79" s="36" t="s">
        <v>81</v>
      </c>
      <c r="I79" s="60">
        <f>ONSV_AUX_2015!X27</f>
        <v>1435</v>
      </c>
      <c r="J79" s="9"/>
      <c r="K79" s="104" t="s">
        <v>119</v>
      </c>
      <c r="L79" s="104"/>
      <c r="M79" s="9"/>
      <c r="N79" s="26" t="s">
        <v>120</v>
      </c>
      <c r="O79" s="26"/>
      <c r="Q79" s="26" t="s">
        <v>121</v>
      </c>
      <c r="R79" s="26"/>
      <c r="S79" s="26"/>
      <c r="T79" s="25" t="s">
        <v>122</v>
      </c>
      <c r="U79" s="25"/>
      <c r="V79" s="25"/>
      <c r="W79" s="25"/>
      <c r="X79" s="25"/>
    </row>
    <row r="80" spans="1:24" ht="15.75">
      <c r="H80" s="36" t="s">
        <v>84</v>
      </c>
      <c r="I80" s="60">
        <f>ONSV_AUX_2015!X28</f>
        <v>60411</v>
      </c>
      <c r="J80" s="9"/>
      <c r="K80" s="9"/>
      <c r="L80" s="9"/>
      <c r="M80" s="9"/>
      <c r="N80" s="9"/>
      <c r="O80" s="9"/>
      <c r="P80" s="20"/>
      <c r="Q80" s="11"/>
      <c r="R80" s="11"/>
      <c r="S80" s="11"/>
    </row>
    <row r="81" spans="8:24" ht="15.75">
      <c r="H81" s="36" t="s">
        <v>85</v>
      </c>
      <c r="I81" s="60">
        <f>ONSV_AUX_2015!X29</f>
        <v>15458</v>
      </c>
      <c r="J81" s="9"/>
      <c r="K81" s="2" t="s">
        <v>123</v>
      </c>
      <c r="L81" s="60">
        <f>I88+I91+I92+I97</f>
        <v>86938</v>
      </c>
      <c r="N81" s="28" t="s">
        <v>124</v>
      </c>
      <c r="O81" s="60">
        <f>J88+J97</f>
        <v>61628.528353539303</v>
      </c>
      <c r="P81" s="64"/>
      <c r="Q81" s="65" t="s">
        <v>125</v>
      </c>
      <c r="R81" s="60">
        <f>J91+J92</f>
        <v>25290.471646460694</v>
      </c>
      <c r="S81" s="66"/>
      <c r="T81" s="65" t="s">
        <v>126</v>
      </c>
      <c r="U81" s="67">
        <f>O85</f>
        <v>982.9699393270821</v>
      </c>
      <c r="V81" s="48"/>
      <c r="W81" s="65" t="s">
        <v>127</v>
      </c>
      <c r="X81" s="68">
        <f>R87</f>
        <v>1546.9045698924731</v>
      </c>
    </row>
    <row r="82" spans="8:24" ht="15.75">
      <c r="H82" s="36" t="s">
        <v>101</v>
      </c>
      <c r="I82" s="60">
        <f>ONSV_AUX_2015!X30</f>
        <v>19</v>
      </c>
      <c r="J82" s="9"/>
      <c r="K82" s="27"/>
      <c r="L82" s="62"/>
      <c r="M82" s="20"/>
      <c r="N82" s="28" t="s">
        <v>128</v>
      </c>
      <c r="O82" s="69">
        <f>J88/O81</f>
        <v>0.98372862658576954</v>
      </c>
      <c r="P82" s="64"/>
      <c r="Q82" s="70" t="s">
        <v>129</v>
      </c>
      <c r="R82" s="63">
        <f>J91/R81</f>
        <v>0.82997311827956988</v>
      </c>
      <c r="S82" s="71"/>
      <c r="T82" s="65" t="s">
        <v>130</v>
      </c>
      <c r="U82" s="67">
        <f>I97-J97</f>
        <v>0.21920219006653952</v>
      </c>
      <c r="V82" s="48"/>
      <c r="W82" s="65" t="s">
        <v>131</v>
      </c>
      <c r="X82" s="68">
        <f>I92-J92</f>
        <v>0.9399687133363841</v>
      </c>
    </row>
    <row r="83" spans="8:24" ht="15.75">
      <c r="H83" s="36" t="s">
        <v>16</v>
      </c>
      <c r="I83" s="60">
        <f>ONSV_AUX_2015!X31</f>
        <v>34</v>
      </c>
      <c r="J83" s="9"/>
      <c r="K83" s="2" t="s">
        <v>132</v>
      </c>
      <c r="L83" s="63">
        <f>I88/L81</f>
        <v>0.69749706687524438</v>
      </c>
      <c r="M83" s="20"/>
      <c r="N83" s="28" t="s">
        <v>133</v>
      </c>
      <c r="O83" s="69">
        <f>J97/O81</f>
        <v>1.6271373414230555E-2</v>
      </c>
      <c r="P83" s="64"/>
      <c r="Q83" s="70" t="s">
        <v>134</v>
      </c>
      <c r="R83" s="63">
        <f>J92/R81</f>
        <v>0.1700268817204301</v>
      </c>
      <c r="S83" s="71"/>
      <c r="T83" s="65" t="s">
        <v>135</v>
      </c>
      <c r="U83" s="72">
        <f>O87</f>
        <v>19.810858482851359</v>
      </c>
      <c r="V83" s="73"/>
      <c r="W83" s="65" t="s">
        <v>136</v>
      </c>
      <c r="X83" s="72">
        <f>R90</f>
        <v>2753.1554613941908</v>
      </c>
    </row>
    <row r="84" spans="8:24" ht="15.75">
      <c r="H84" s="36" t="s">
        <v>94</v>
      </c>
      <c r="I84" s="60">
        <f>ONSV_AUX_2015!X32</f>
        <v>105491</v>
      </c>
      <c r="J84" s="10"/>
      <c r="K84" s="2" t="s">
        <v>2</v>
      </c>
      <c r="L84" s="63">
        <f>I91/L81</f>
        <v>0.24149393820883849</v>
      </c>
      <c r="M84" s="20"/>
      <c r="N84" s="20"/>
      <c r="O84" s="74"/>
      <c r="P84" s="48"/>
      <c r="Q84" s="48"/>
      <c r="R84" s="48"/>
      <c r="S84" s="48"/>
      <c r="T84" s="48"/>
      <c r="U84" s="62"/>
      <c r="V84" s="75"/>
      <c r="W84" s="48"/>
      <c r="X84" s="62"/>
    </row>
    <row r="85" spans="8:24" ht="15.75">
      <c r="K85" s="2" t="s">
        <v>3</v>
      </c>
      <c r="L85" s="63">
        <f>I92/L81</f>
        <v>4.9472037543996872E-2</v>
      </c>
      <c r="M85" s="20"/>
      <c r="N85" s="28" t="s">
        <v>137</v>
      </c>
      <c r="O85" s="60">
        <f>IF(O83*I80&gt;J97,J97,O83*I80)</f>
        <v>982.9699393270821</v>
      </c>
      <c r="P85" s="76"/>
      <c r="Q85" s="65" t="s">
        <v>138</v>
      </c>
      <c r="R85" s="60">
        <f>I81-I89-I90-I93-I96</f>
        <v>9098</v>
      </c>
      <c r="S85" s="77"/>
      <c r="T85" s="65" t="s">
        <v>139</v>
      </c>
      <c r="U85" s="67">
        <f>O93</f>
        <v>59156.747555729373</v>
      </c>
      <c r="V85" s="76"/>
      <c r="W85" s="65" t="s">
        <v>140</v>
      </c>
      <c r="X85" s="67">
        <f>I89</f>
        <v>4268</v>
      </c>
    </row>
    <row r="86" spans="8:24" ht="15.75">
      <c r="H86" s="24" t="s">
        <v>141</v>
      </c>
      <c r="K86" s="2" t="s">
        <v>0</v>
      </c>
      <c r="L86" s="63">
        <f>I97/L81</f>
        <v>1.1536957371920219E-2</v>
      </c>
      <c r="O86" s="48"/>
      <c r="P86" s="76"/>
      <c r="Q86" s="65" t="s">
        <v>142</v>
      </c>
      <c r="R86" s="60">
        <f>R82*R85</f>
        <v>7551.0954301075271</v>
      </c>
      <c r="S86" s="48"/>
      <c r="T86" s="65" t="s">
        <v>143</v>
      </c>
      <c r="U86" s="67">
        <f>O91</f>
        <v>1435</v>
      </c>
      <c r="V86" s="66"/>
      <c r="W86" s="65" t="s">
        <v>144</v>
      </c>
      <c r="X86" s="67">
        <f>I90</f>
        <v>535</v>
      </c>
    </row>
    <row r="87" spans="8:24" ht="15.75">
      <c r="K87" s="11"/>
      <c r="L87" s="11"/>
      <c r="M87" s="11"/>
      <c r="N87" s="28" t="s">
        <v>145</v>
      </c>
      <c r="O87" s="60">
        <f>J97-O85</f>
        <v>19.810858482851359</v>
      </c>
      <c r="P87" s="76"/>
      <c r="Q87" s="65" t="s">
        <v>127</v>
      </c>
      <c r="R87" s="60">
        <f>R83*R85</f>
        <v>1546.9045698924731</v>
      </c>
      <c r="S87" s="48"/>
      <c r="T87" s="65" t="s">
        <v>146</v>
      </c>
      <c r="U87" s="67">
        <f>O92</f>
        <v>34</v>
      </c>
      <c r="V87" s="71"/>
      <c r="W87" s="48"/>
      <c r="X87" s="62"/>
    </row>
    <row r="88" spans="8:24" ht="15.75">
      <c r="H88" s="37" t="s">
        <v>103</v>
      </c>
      <c r="I88" s="60">
        <f>ONSV_AUX_2015!X56</f>
        <v>60639</v>
      </c>
      <c r="J88" s="61">
        <f>I88-(L83*I82)</f>
        <v>60625.747555729373</v>
      </c>
      <c r="K88" s="11"/>
      <c r="L88" s="11"/>
      <c r="M88" s="11"/>
      <c r="O88" s="76"/>
      <c r="P88" s="76"/>
      <c r="Q88" s="48"/>
      <c r="R88" s="78"/>
      <c r="S88" s="48"/>
      <c r="T88" s="65" t="s">
        <v>147</v>
      </c>
      <c r="U88" s="68">
        <f>I88-J88</f>
        <v>13.252444270627166</v>
      </c>
      <c r="V88" s="71"/>
      <c r="W88" s="65" t="s">
        <v>148</v>
      </c>
      <c r="X88" s="67">
        <f>I96</f>
        <v>939</v>
      </c>
    </row>
    <row r="89" spans="8:24" ht="15.75">
      <c r="H89" s="37" t="s">
        <v>104</v>
      </c>
      <c r="I89" s="60">
        <f>ONSV_AUX_2015!X57</f>
        <v>4268</v>
      </c>
      <c r="J89" s="10">
        <f>I89</f>
        <v>4268</v>
      </c>
      <c r="K89" s="11"/>
      <c r="L89" s="11"/>
      <c r="M89" s="11"/>
      <c r="N89" s="26" t="s">
        <v>149</v>
      </c>
      <c r="O89" s="76"/>
      <c r="P89" s="76"/>
      <c r="Q89" s="65" t="s">
        <v>150</v>
      </c>
      <c r="R89" s="60">
        <f>J91-R86</f>
        <v>13439.316185066504</v>
      </c>
      <c r="S89" s="48"/>
      <c r="T89" s="65" t="s">
        <v>151</v>
      </c>
      <c r="U89" s="72">
        <f>O94</f>
        <v>0</v>
      </c>
      <c r="V89" s="48"/>
      <c r="W89" s="65" t="s">
        <v>152</v>
      </c>
      <c r="X89" s="67">
        <f>I93</f>
        <v>618</v>
      </c>
    </row>
    <row r="90" spans="8:24" ht="15.75">
      <c r="H90" s="37" t="s">
        <v>105</v>
      </c>
      <c r="I90" s="60">
        <f>ONSV_AUX_2015!X58</f>
        <v>535</v>
      </c>
      <c r="J90" s="10">
        <f>I90</f>
        <v>535</v>
      </c>
      <c r="K90" s="11"/>
      <c r="L90" s="11"/>
      <c r="M90" s="11"/>
      <c r="O90" s="73"/>
      <c r="P90" s="76"/>
      <c r="Q90" s="65" t="s">
        <v>136</v>
      </c>
      <c r="R90" s="60">
        <f>J92-R87</f>
        <v>2753.1554613941908</v>
      </c>
      <c r="S90" s="48"/>
      <c r="T90" s="48"/>
      <c r="U90" s="62"/>
      <c r="V90" s="77"/>
      <c r="W90" s="48"/>
      <c r="X90" s="62"/>
    </row>
    <row r="91" spans="8:24" ht="15.75">
      <c r="H91" s="37" t="s">
        <v>106</v>
      </c>
      <c r="I91" s="60">
        <f>ONSV_AUX_2015!X59</f>
        <v>20995</v>
      </c>
      <c r="J91" s="61">
        <f>I91-(L84*I82)</f>
        <v>20990.411615174031</v>
      </c>
      <c r="K91" s="11"/>
      <c r="L91" s="11"/>
      <c r="M91" s="11"/>
      <c r="N91" s="28" t="s">
        <v>143</v>
      </c>
      <c r="O91" s="60">
        <f>I79</f>
        <v>1435</v>
      </c>
      <c r="P91" s="76"/>
      <c r="Q91" s="48"/>
      <c r="R91" s="48"/>
      <c r="S91" s="77"/>
      <c r="T91" s="65" t="s">
        <v>142</v>
      </c>
      <c r="U91" s="68">
        <f>R86</f>
        <v>7551.0954301075271</v>
      </c>
      <c r="V91" s="48"/>
      <c r="W91" s="65" t="s">
        <v>153</v>
      </c>
      <c r="X91" s="67">
        <f>I94</f>
        <v>71038</v>
      </c>
    </row>
    <row r="92" spans="8:24" ht="15.75">
      <c r="H92" s="37" t="s">
        <v>107</v>
      </c>
      <c r="I92" s="60">
        <f>ONSV_AUX_2015!X60</f>
        <v>4301</v>
      </c>
      <c r="J92" s="61">
        <f>I92-(L85*I82)</f>
        <v>4300.0600312866636</v>
      </c>
      <c r="K92" s="11"/>
      <c r="L92" s="11"/>
      <c r="M92" s="11"/>
      <c r="N92" s="28" t="s">
        <v>146</v>
      </c>
      <c r="O92" s="60">
        <f>I83</f>
        <v>34</v>
      </c>
      <c r="P92" s="76"/>
      <c r="Q92" s="48"/>
      <c r="R92" s="48"/>
      <c r="S92" s="48"/>
      <c r="T92" s="65" t="s">
        <v>154</v>
      </c>
      <c r="U92" s="68">
        <f>I91-J91</f>
        <v>4.5883848259691149</v>
      </c>
      <c r="V92" s="48"/>
      <c r="W92" s="65" t="s">
        <v>155</v>
      </c>
      <c r="X92" s="67">
        <f>I95</f>
        <v>17835</v>
      </c>
    </row>
    <row r="93" spans="8:24" ht="15.75">
      <c r="H93" s="37" t="s">
        <v>108</v>
      </c>
      <c r="I93" s="60">
        <f>ONSV_AUX_2015!X61</f>
        <v>618</v>
      </c>
      <c r="J93" s="10">
        <f>I93</f>
        <v>618</v>
      </c>
      <c r="K93" s="11"/>
      <c r="L93" s="11"/>
      <c r="M93" s="11"/>
      <c r="N93" s="28" t="s">
        <v>139</v>
      </c>
      <c r="O93" s="60">
        <f>IF(OR((O82*I80&gt;J88),((O91+O92+(O82*I80))&gt;J88)),(J88-O91-O92),(O82*I80))</f>
        <v>59156.747555729373</v>
      </c>
      <c r="P93" s="76"/>
      <c r="Q93" s="48"/>
      <c r="R93" s="78"/>
      <c r="S93" s="48"/>
      <c r="T93" s="65" t="s">
        <v>150</v>
      </c>
      <c r="U93" s="72">
        <f>R89</f>
        <v>13439.316185066504</v>
      </c>
      <c r="V93" s="48"/>
      <c r="W93" s="48"/>
      <c r="X93" s="48"/>
    </row>
    <row r="94" spans="8:24" ht="15.75">
      <c r="H94" s="37" t="s">
        <v>109</v>
      </c>
      <c r="I94" s="60">
        <f>ONSV_AUX_2015!X62</f>
        <v>71038</v>
      </c>
      <c r="J94" s="10">
        <f>I94</f>
        <v>71038</v>
      </c>
      <c r="K94" s="11"/>
      <c r="L94" s="11"/>
      <c r="M94" s="11"/>
      <c r="N94" s="28" t="s">
        <v>151</v>
      </c>
      <c r="O94" s="60">
        <f>IF((J88-O91-O93-O92)&lt;0,0,(J88-O91-O93-O92))</f>
        <v>0</v>
      </c>
      <c r="P94" s="48"/>
      <c r="Q94" s="48"/>
      <c r="R94" s="48"/>
      <c r="S94" s="48"/>
      <c r="T94" s="48"/>
      <c r="U94" s="62"/>
      <c r="V94" s="48"/>
      <c r="W94" s="48"/>
      <c r="X94" s="48"/>
    </row>
    <row r="95" spans="8:24" ht="15.75">
      <c r="H95" s="37" t="s">
        <v>110</v>
      </c>
      <c r="I95" s="60">
        <f>ONSV_AUX_2015!X63</f>
        <v>17835</v>
      </c>
      <c r="J95" s="10">
        <f>I95</f>
        <v>17835</v>
      </c>
      <c r="K95" s="11"/>
      <c r="L95" s="11"/>
      <c r="M95" s="11"/>
      <c r="O95" s="48"/>
      <c r="P95" s="76"/>
      <c r="Q95" s="48"/>
      <c r="R95" s="48"/>
      <c r="S95" s="48"/>
      <c r="T95" s="79" t="s">
        <v>156</v>
      </c>
      <c r="U95" s="80">
        <f>(SUM(U81:U93,X81:X92)/SUM(I88:I97))-1</f>
        <v>0</v>
      </c>
      <c r="V95" s="48"/>
      <c r="W95" s="79" t="s">
        <v>10</v>
      </c>
      <c r="X95" s="67">
        <f>SUM(U81:U93,X81:X92)</f>
        <v>182171</v>
      </c>
    </row>
    <row r="96" spans="8:24" ht="15.75">
      <c r="H96" s="37" t="s">
        <v>111</v>
      </c>
      <c r="I96" s="60">
        <f>ONSV_AUX_2015!X64</f>
        <v>939</v>
      </c>
      <c r="J96" s="10">
        <f>I96</f>
        <v>939</v>
      </c>
      <c r="K96" s="11"/>
      <c r="L96" s="11"/>
      <c r="M96" s="11"/>
      <c r="O96" s="48"/>
      <c r="P96" s="76"/>
      <c r="Q96" s="48"/>
      <c r="R96" s="48"/>
      <c r="S96" s="48"/>
      <c r="T96" s="48"/>
      <c r="U96" s="48"/>
      <c r="V96" s="48"/>
      <c r="W96" s="48"/>
      <c r="X96" s="48"/>
    </row>
    <row r="97" spans="1:24" ht="15.75">
      <c r="H97" s="37" t="s">
        <v>112</v>
      </c>
      <c r="I97" s="60">
        <f>ONSV_AUX_2015!X65</f>
        <v>1003</v>
      </c>
      <c r="J97" s="61">
        <f>I97-(L86*I82)</f>
        <v>1002.7807978099335</v>
      </c>
      <c r="K97" s="12"/>
      <c r="L97" s="12"/>
      <c r="M97" s="12"/>
      <c r="N97" s="12"/>
      <c r="O97" s="12"/>
      <c r="P97" s="12"/>
      <c r="Q97" s="4"/>
      <c r="R97" s="4"/>
    </row>
    <row r="98" spans="1:24" ht="15.75">
      <c r="I98" s="40"/>
      <c r="J98" s="21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4" ht="15.75">
      <c r="I99" s="40"/>
      <c r="J99" s="21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4" s="34" customFormat="1" ht="15.75">
      <c r="A100" s="101" t="str">
        <f>"RORAIMA/"&amp;ONSV_AUX_2014!A1&amp;""</f>
        <v>RORAIMA/2014</v>
      </c>
      <c r="B100" s="102"/>
      <c r="C100" s="102"/>
      <c r="D100" s="102"/>
      <c r="E100" s="102"/>
      <c r="F100" s="102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</row>
    <row r="101" spans="1:24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>
      <c r="H102" s="23" t="s">
        <v>118</v>
      </c>
      <c r="N102" s="26"/>
      <c r="O102" s="26"/>
      <c r="P102" s="9"/>
      <c r="Q102" s="26"/>
      <c r="R102" s="26"/>
      <c r="S102" s="26"/>
      <c r="T102" s="25"/>
      <c r="U102" s="25"/>
      <c r="V102" s="25"/>
      <c r="W102" s="25"/>
      <c r="X102" s="25"/>
    </row>
    <row r="103" spans="1:24" ht="15.75">
      <c r="J103" s="9"/>
      <c r="M103" s="25"/>
      <c r="N103" s="9"/>
      <c r="O103" s="9"/>
      <c r="P103" s="9"/>
      <c r="Q103" s="11"/>
      <c r="R103" s="11"/>
      <c r="S103" s="11"/>
    </row>
    <row r="104" spans="1:24" ht="15.75">
      <c r="H104" s="36" t="s">
        <v>81</v>
      </c>
      <c r="I104" s="60">
        <f>ONSV_AUX_2014!X27</f>
        <v>1418</v>
      </c>
      <c r="J104" s="9"/>
      <c r="K104" s="104" t="s">
        <v>119</v>
      </c>
      <c r="L104" s="104"/>
      <c r="M104" s="9"/>
      <c r="N104" s="26" t="s">
        <v>120</v>
      </c>
      <c r="O104" s="26"/>
      <c r="Q104" s="26" t="s">
        <v>121</v>
      </c>
      <c r="R104" s="26"/>
      <c r="S104" s="26"/>
      <c r="T104" s="25" t="s">
        <v>122</v>
      </c>
      <c r="U104" s="25"/>
      <c r="V104" s="25"/>
      <c r="W104" s="25"/>
      <c r="X104" s="25"/>
    </row>
    <row r="105" spans="1:24" ht="15.75">
      <c r="H105" s="36" t="s">
        <v>84</v>
      </c>
      <c r="I105" s="60">
        <f>ONSV_AUX_2014!X28</f>
        <v>50764</v>
      </c>
      <c r="J105" s="9"/>
      <c r="K105" s="9"/>
      <c r="L105" s="9"/>
      <c r="M105" s="9"/>
      <c r="N105" s="9"/>
      <c r="O105" s="9"/>
      <c r="P105" s="20"/>
      <c r="Q105" s="11"/>
      <c r="R105" s="11"/>
      <c r="S105" s="11"/>
    </row>
    <row r="106" spans="1:24" ht="15.75">
      <c r="H106" s="36" t="s">
        <v>85</v>
      </c>
      <c r="I106" s="60">
        <f>ONSV_AUX_2014!X29</f>
        <v>14270</v>
      </c>
      <c r="J106" s="9"/>
      <c r="K106" s="2" t="s">
        <v>123</v>
      </c>
      <c r="L106" s="60">
        <f>I113+I116+I117+I122</f>
        <v>79729</v>
      </c>
      <c r="N106" s="28" t="s">
        <v>124</v>
      </c>
      <c r="O106" s="60">
        <f>J113+J122</f>
        <v>56615.504897841434</v>
      </c>
      <c r="P106" s="64"/>
      <c r="Q106" s="65" t="s">
        <v>125</v>
      </c>
      <c r="R106" s="60">
        <f>J116+J117</f>
        <v>23094.495102158566</v>
      </c>
      <c r="S106" s="66"/>
      <c r="T106" s="65" t="s">
        <v>126</v>
      </c>
      <c r="U106" s="67">
        <f>O110</f>
        <v>807.68447262003576</v>
      </c>
      <c r="V106" s="48"/>
      <c r="W106" s="65" t="s">
        <v>127</v>
      </c>
      <c r="X106" s="68">
        <f>R112</f>
        <v>1450.1965367965367</v>
      </c>
    </row>
    <row r="107" spans="1:24" ht="15.75">
      <c r="H107" s="36" t="s">
        <v>101</v>
      </c>
      <c r="I107" s="60">
        <f>ONSV_AUX_2014!X30</f>
        <v>19</v>
      </c>
      <c r="J107" s="9"/>
      <c r="K107" s="27"/>
      <c r="L107" s="62"/>
      <c r="M107" s="20"/>
      <c r="N107" s="28" t="s">
        <v>128</v>
      </c>
      <c r="O107" s="69">
        <f>J113/O106</f>
        <v>0.98408942414663869</v>
      </c>
      <c r="P107" s="64"/>
      <c r="Q107" s="70" t="s">
        <v>129</v>
      </c>
      <c r="R107" s="63">
        <f>J116/R106</f>
        <v>0.82640692640692637</v>
      </c>
      <c r="S107" s="71"/>
      <c r="T107" s="65" t="s">
        <v>130</v>
      </c>
      <c r="U107" s="67">
        <f>I122-J122</f>
        <v>0.21471484654261985</v>
      </c>
      <c r="V107" s="48"/>
      <c r="W107" s="65" t="s">
        <v>131</v>
      </c>
      <c r="X107" s="68">
        <f>I117-J117</f>
        <v>0.95561213611108542</v>
      </c>
    </row>
    <row r="108" spans="1:24" ht="15.75">
      <c r="H108" s="36" t="s">
        <v>16</v>
      </c>
      <c r="I108" s="60">
        <f>ONSV_AUX_2014!X31</f>
        <v>27</v>
      </c>
      <c r="J108" s="9"/>
      <c r="K108" s="2" t="s">
        <v>132</v>
      </c>
      <c r="L108" s="63">
        <f>I113/L106</f>
        <v>0.69896775326418237</v>
      </c>
      <c r="M108" s="20"/>
      <c r="N108" s="28" t="s">
        <v>133</v>
      </c>
      <c r="O108" s="69">
        <f>J122/O106</f>
        <v>1.5910575853361354E-2</v>
      </c>
      <c r="P108" s="64"/>
      <c r="Q108" s="70" t="s">
        <v>134</v>
      </c>
      <c r="R108" s="63">
        <f>J117/R106</f>
        <v>0.17359307359307358</v>
      </c>
      <c r="S108" s="71"/>
      <c r="T108" s="65" t="s">
        <v>135</v>
      </c>
      <c r="U108" s="72">
        <f>O112</f>
        <v>93.100812533421617</v>
      </c>
      <c r="V108" s="73"/>
      <c r="W108" s="65" t="s">
        <v>136</v>
      </c>
      <c r="X108" s="72">
        <f>R115</f>
        <v>2558.8478510673522</v>
      </c>
    </row>
    <row r="109" spans="1:24" ht="15.75">
      <c r="H109" s="36" t="s">
        <v>94</v>
      </c>
      <c r="I109" s="60">
        <f>ONSV_AUX_2014!X32</f>
        <v>103021</v>
      </c>
      <c r="J109" s="10"/>
      <c r="K109" s="2" t="s">
        <v>2</v>
      </c>
      <c r="L109" s="63">
        <f>I116/L106</f>
        <v>0.23943608975404182</v>
      </c>
      <c r="M109" s="20"/>
      <c r="N109" s="20"/>
      <c r="O109" s="74"/>
      <c r="P109" s="48"/>
      <c r="Q109" s="48"/>
      <c r="R109" s="48"/>
      <c r="S109" s="48"/>
      <c r="T109" s="48"/>
      <c r="U109" s="62"/>
      <c r="V109" s="75"/>
      <c r="W109" s="48"/>
      <c r="X109" s="62"/>
    </row>
    <row r="110" spans="1:24" ht="15.75">
      <c r="K110" s="2" t="s">
        <v>3</v>
      </c>
      <c r="L110" s="63">
        <f>I117/L106</f>
        <v>5.0295375584793488E-2</v>
      </c>
      <c r="M110" s="20"/>
      <c r="N110" s="28" t="s">
        <v>137</v>
      </c>
      <c r="O110" s="60">
        <f>IF(O108*I105&gt;J122,J122,O108*I105)</f>
        <v>807.68447262003576</v>
      </c>
      <c r="P110" s="76"/>
      <c r="Q110" s="65" t="s">
        <v>138</v>
      </c>
      <c r="R110" s="60">
        <f>I106-I114-I115-I118-I121</f>
        <v>8354</v>
      </c>
      <c r="S110" s="77"/>
      <c r="T110" s="65" t="s">
        <v>139</v>
      </c>
      <c r="U110" s="67">
        <f>O118</f>
        <v>49956.315527379964</v>
      </c>
      <c r="V110" s="76"/>
      <c r="W110" s="65" t="s">
        <v>140</v>
      </c>
      <c r="X110" s="67">
        <f>I114</f>
        <v>3981</v>
      </c>
    </row>
    <row r="111" spans="1:24" ht="15.75">
      <c r="H111" s="24" t="s">
        <v>141</v>
      </c>
      <c r="K111" s="2" t="s">
        <v>0</v>
      </c>
      <c r="L111" s="63">
        <f>I122/L106</f>
        <v>1.1300781396982278E-2</v>
      </c>
      <c r="O111" s="48"/>
      <c r="P111" s="76"/>
      <c r="Q111" s="65" t="s">
        <v>142</v>
      </c>
      <c r="R111" s="60">
        <f>R107*R110</f>
        <v>6903.8034632034633</v>
      </c>
      <c r="S111" s="48"/>
      <c r="T111" s="65" t="s">
        <v>143</v>
      </c>
      <c r="U111" s="67">
        <f>O116</f>
        <v>1418</v>
      </c>
      <c r="V111" s="66"/>
      <c r="W111" s="65" t="s">
        <v>144</v>
      </c>
      <c r="X111" s="67">
        <f>I115</f>
        <v>489</v>
      </c>
    </row>
    <row r="112" spans="1:24" ht="15.75">
      <c r="K112" s="11"/>
      <c r="L112" s="11"/>
      <c r="M112" s="11"/>
      <c r="N112" s="28" t="s">
        <v>145</v>
      </c>
      <c r="O112" s="60">
        <f>J122-O110</f>
        <v>93.100812533421617</v>
      </c>
      <c r="P112" s="76"/>
      <c r="Q112" s="65" t="s">
        <v>127</v>
      </c>
      <c r="R112" s="60">
        <f>R108*R110</f>
        <v>1450.1965367965367</v>
      </c>
      <c r="S112" s="48"/>
      <c r="T112" s="65" t="s">
        <v>146</v>
      </c>
      <c r="U112" s="67">
        <f>O117</f>
        <v>27</v>
      </c>
      <c r="V112" s="71"/>
      <c r="W112" s="48"/>
      <c r="X112" s="62"/>
    </row>
    <row r="113" spans="8:24" ht="15.75">
      <c r="H113" s="37" t="s">
        <v>103</v>
      </c>
      <c r="I113" s="60">
        <f>ONSV_AUX_2014!X56</f>
        <v>55728</v>
      </c>
      <c r="J113" s="61">
        <f>I113-(L108*I107)</f>
        <v>55714.719612687979</v>
      </c>
      <c r="K113" s="11"/>
      <c r="L113" s="11"/>
      <c r="M113" s="11"/>
      <c r="O113" s="76"/>
      <c r="P113" s="76"/>
      <c r="Q113" s="48"/>
      <c r="R113" s="78"/>
      <c r="S113" s="48"/>
      <c r="T113" s="65" t="s">
        <v>147</v>
      </c>
      <c r="U113" s="68">
        <f>I113-J113</f>
        <v>13.280387312021048</v>
      </c>
      <c r="V113" s="71"/>
      <c r="W113" s="65" t="s">
        <v>148</v>
      </c>
      <c r="X113" s="67">
        <f>I121</f>
        <v>859</v>
      </c>
    </row>
    <row r="114" spans="8:24" ht="15.75">
      <c r="H114" s="37" t="s">
        <v>104</v>
      </c>
      <c r="I114" s="60">
        <f>ONSV_AUX_2014!X57</f>
        <v>3981</v>
      </c>
      <c r="J114" s="10">
        <f>I114</f>
        <v>3981</v>
      </c>
      <c r="K114" s="11"/>
      <c r="L114" s="11"/>
      <c r="M114" s="11"/>
      <c r="N114" s="26" t="s">
        <v>149</v>
      </c>
      <c r="O114" s="76"/>
      <c r="P114" s="76"/>
      <c r="Q114" s="65" t="s">
        <v>150</v>
      </c>
      <c r="R114" s="60">
        <f>J116-R111</f>
        <v>12181.647251091212</v>
      </c>
      <c r="S114" s="48"/>
      <c r="T114" s="65" t="s">
        <v>151</v>
      </c>
      <c r="U114" s="72">
        <f>O119</f>
        <v>4313.4040853080151</v>
      </c>
      <c r="V114" s="48"/>
      <c r="W114" s="65" t="s">
        <v>152</v>
      </c>
      <c r="X114" s="67">
        <f>I118</f>
        <v>587</v>
      </c>
    </row>
    <row r="115" spans="8:24" ht="15.75">
      <c r="H115" s="37" t="s">
        <v>105</v>
      </c>
      <c r="I115" s="60">
        <f>ONSV_AUX_2014!X58</f>
        <v>489</v>
      </c>
      <c r="J115" s="10">
        <f>I115</f>
        <v>489</v>
      </c>
      <c r="K115" s="11"/>
      <c r="L115" s="11"/>
      <c r="M115" s="11"/>
      <c r="O115" s="73"/>
      <c r="P115" s="76"/>
      <c r="Q115" s="65" t="s">
        <v>136</v>
      </c>
      <c r="R115" s="60">
        <f>J117-R112</f>
        <v>2558.8478510673522</v>
      </c>
      <c r="S115" s="48"/>
      <c r="T115" s="48"/>
      <c r="U115" s="62"/>
      <c r="V115" s="77"/>
      <c r="W115" s="48"/>
      <c r="X115" s="62"/>
    </row>
    <row r="116" spans="8:24" ht="15.75">
      <c r="H116" s="37" t="s">
        <v>106</v>
      </c>
      <c r="I116" s="60">
        <f>ONSV_AUX_2014!X59</f>
        <v>19090</v>
      </c>
      <c r="J116" s="61">
        <f>I116-(L109*I107)</f>
        <v>19085.450714294675</v>
      </c>
      <c r="K116" s="11"/>
      <c r="L116" s="11"/>
      <c r="M116" s="11"/>
      <c r="N116" s="28" t="s">
        <v>143</v>
      </c>
      <c r="O116" s="60">
        <f>I104</f>
        <v>1418</v>
      </c>
      <c r="P116" s="76"/>
      <c r="Q116" s="48"/>
      <c r="R116" s="48"/>
      <c r="S116" s="77"/>
      <c r="T116" s="65" t="s">
        <v>142</v>
      </c>
      <c r="U116" s="68">
        <f>R111</f>
        <v>6903.8034632034633</v>
      </c>
      <c r="V116" s="48"/>
      <c r="W116" s="65" t="s">
        <v>153</v>
      </c>
      <c r="X116" s="67">
        <f>I119</f>
        <v>66797</v>
      </c>
    </row>
    <row r="117" spans="8:24" ht="15.75">
      <c r="H117" s="37" t="s">
        <v>107</v>
      </c>
      <c r="I117" s="60">
        <f>ONSV_AUX_2014!X60</f>
        <v>4010</v>
      </c>
      <c r="J117" s="61">
        <f>I117-(L110*I107)</f>
        <v>4009.0443878638889</v>
      </c>
      <c r="K117" s="11"/>
      <c r="L117" s="11"/>
      <c r="M117" s="11"/>
      <c r="N117" s="28" t="s">
        <v>146</v>
      </c>
      <c r="O117" s="60">
        <f>I108</f>
        <v>27</v>
      </c>
      <c r="P117" s="76"/>
      <c r="Q117" s="48"/>
      <c r="R117" s="48"/>
      <c r="S117" s="48"/>
      <c r="T117" s="65" t="s">
        <v>154</v>
      </c>
      <c r="U117" s="68">
        <f>I116-J116</f>
        <v>4.5492857053250191</v>
      </c>
      <c r="V117" s="48"/>
      <c r="W117" s="65" t="s">
        <v>155</v>
      </c>
      <c r="X117" s="67">
        <f>I120</f>
        <v>16500</v>
      </c>
    </row>
    <row r="118" spans="8:24" ht="15.75">
      <c r="H118" s="37" t="s">
        <v>108</v>
      </c>
      <c r="I118" s="60">
        <f>ONSV_AUX_2014!X61</f>
        <v>587</v>
      </c>
      <c r="J118" s="10">
        <f>I118</f>
        <v>587</v>
      </c>
      <c r="K118" s="11"/>
      <c r="L118" s="11"/>
      <c r="M118" s="11"/>
      <c r="N118" s="28" t="s">
        <v>139</v>
      </c>
      <c r="O118" s="60">
        <f>IF(OR((O107*I105&gt;J113),((O116+O117+(O107*I105))&gt;J113)),(J113-O116-O117),(O107*I105))</f>
        <v>49956.315527379964</v>
      </c>
      <c r="P118" s="76"/>
      <c r="Q118" s="48"/>
      <c r="R118" s="78"/>
      <c r="S118" s="48"/>
      <c r="T118" s="65" t="s">
        <v>150</v>
      </c>
      <c r="U118" s="72">
        <f>R114</f>
        <v>12181.647251091212</v>
      </c>
      <c r="V118" s="48"/>
      <c r="W118" s="48"/>
      <c r="X118" s="48"/>
    </row>
    <row r="119" spans="8:24" ht="15.75">
      <c r="H119" s="37" t="s">
        <v>109</v>
      </c>
      <c r="I119" s="60">
        <f>ONSV_AUX_2014!X62</f>
        <v>66797</v>
      </c>
      <c r="J119" s="10">
        <f>I119</f>
        <v>66797</v>
      </c>
      <c r="K119" s="11"/>
      <c r="L119" s="11"/>
      <c r="M119" s="11"/>
      <c r="N119" s="28" t="s">
        <v>151</v>
      </c>
      <c r="O119" s="60">
        <f>IF((J113-O116-O118-O117)&lt;0,0,(J113-O116-O118-O117))</f>
        <v>4313.4040853080151</v>
      </c>
      <c r="P119" s="48"/>
      <c r="Q119" s="48"/>
      <c r="R119" s="48"/>
      <c r="S119" s="48"/>
      <c r="T119" s="48"/>
      <c r="U119" s="62"/>
      <c r="V119" s="48"/>
      <c r="W119" s="48"/>
      <c r="X119" s="48"/>
    </row>
    <row r="120" spans="8:24" ht="15.75">
      <c r="H120" s="37" t="s">
        <v>110</v>
      </c>
      <c r="I120" s="60">
        <f>ONSV_AUX_2014!X63</f>
        <v>16500</v>
      </c>
      <c r="J120" s="10">
        <f>I120</f>
        <v>16500</v>
      </c>
      <c r="K120" s="11"/>
      <c r="L120" s="11"/>
      <c r="M120" s="11"/>
      <c r="O120" s="48"/>
      <c r="P120" s="76"/>
      <c r="Q120" s="48"/>
      <c r="R120" s="48"/>
      <c r="S120" s="48"/>
      <c r="T120" s="79" t="s">
        <v>156</v>
      </c>
      <c r="U120" s="80">
        <f>(SUM(U106:U118,X106:X117)/SUM(I113:I122))-1</f>
        <v>0</v>
      </c>
      <c r="V120" s="48"/>
      <c r="W120" s="79" t="s">
        <v>10</v>
      </c>
      <c r="X120" s="67">
        <f>SUM(U106:U118,X106:X117)</f>
        <v>168942</v>
      </c>
    </row>
    <row r="121" spans="8:24" ht="15.75">
      <c r="H121" s="37" t="s">
        <v>111</v>
      </c>
      <c r="I121" s="60">
        <f>ONSV_AUX_2014!X64</f>
        <v>859</v>
      </c>
      <c r="J121" s="10">
        <f>I121</f>
        <v>859</v>
      </c>
      <c r="K121" s="11"/>
      <c r="L121" s="11"/>
      <c r="M121" s="11"/>
      <c r="O121" s="48"/>
      <c r="P121" s="76"/>
      <c r="Q121" s="48"/>
      <c r="R121" s="48"/>
      <c r="S121" s="48"/>
      <c r="T121" s="48"/>
      <c r="U121" s="48"/>
      <c r="V121" s="48"/>
      <c r="W121" s="48"/>
      <c r="X121" s="48"/>
    </row>
    <row r="122" spans="8:24" ht="15.75">
      <c r="H122" s="37" t="s">
        <v>112</v>
      </c>
      <c r="I122" s="60">
        <f>ONSV_AUX_2014!X65</f>
        <v>901</v>
      </c>
      <c r="J122" s="61">
        <f>I122-(L111*I107)</f>
        <v>900.78528515345738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A1:F1"/>
    <mergeCell ref="Q4:R4"/>
    <mergeCell ref="T4:X4"/>
    <mergeCell ref="K5:L5"/>
    <mergeCell ref="A25:F25"/>
    <mergeCell ref="T27:X27"/>
    <mergeCell ref="T52:X52"/>
    <mergeCell ref="K79:L79"/>
    <mergeCell ref="A100:F100"/>
    <mergeCell ref="K104:L104"/>
    <mergeCell ref="K29:L29"/>
    <mergeCell ref="A50:F50"/>
    <mergeCell ref="A75:F75"/>
    <mergeCell ref="K54:L5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9" tint="0.39997558519241921"/>
  </sheetPr>
  <dimension ref="A1:X122"/>
  <sheetViews>
    <sheetView showGridLines="0" zoomScale="90" zoomScaleNormal="90" workbookViewId="0">
      <selection activeCell="A101" sqref="A101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  <col min="27" max="28" width="10" bestFit="1" customWidth="1"/>
    <col min="30" max="30" width="10" bestFit="1" customWidth="1"/>
  </cols>
  <sheetData>
    <row r="1" spans="1:24" s="31" customFormat="1" ht="15.75">
      <c r="A1" s="101" t="str">
        <f>"SANTA CATARINA/"&amp;ONSV_AUX_2018!A1&amp;""</f>
        <v>SANTA CATARINA/2018</v>
      </c>
      <c r="B1" s="102"/>
      <c r="C1" s="102"/>
      <c r="D1" s="102"/>
      <c r="E1" s="102"/>
      <c r="F1" s="102"/>
    </row>
    <row r="2" spans="1:24" s="4" customFormat="1" ht="15.75">
      <c r="A2" s="32"/>
      <c r="B2" s="32"/>
      <c r="C2" s="32"/>
      <c r="D2" s="32"/>
      <c r="E2" s="32"/>
      <c r="F2" s="32"/>
    </row>
    <row r="3" spans="1:24" ht="15.75">
      <c r="A3" s="12"/>
      <c r="H3" s="23" t="s">
        <v>118</v>
      </c>
    </row>
    <row r="4" spans="1:24" ht="15.75">
      <c r="B4" s="5"/>
      <c r="J4" s="9"/>
      <c r="M4" s="25"/>
      <c r="N4" s="25"/>
      <c r="O4" s="25"/>
      <c r="P4" s="25"/>
      <c r="Q4" s="103"/>
      <c r="R4" s="103"/>
      <c r="S4" s="22"/>
      <c r="T4" s="104"/>
      <c r="U4" s="104"/>
      <c r="V4" s="104"/>
      <c r="W4" s="104"/>
      <c r="X4" s="104"/>
    </row>
    <row r="5" spans="1:24" ht="15.75">
      <c r="H5" s="36" t="s">
        <v>81</v>
      </c>
      <c r="I5" s="60">
        <f>ONSV_AUX_2018!Y27</f>
        <v>132633</v>
      </c>
      <c r="J5" s="9"/>
      <c r="K5" s="104" t="s">
        <v>119</v>
      </c>
      <c r="L5" s="104"/>
      <c r="M5" s="9"/>
      <c r="N5" s="26" t="s">
        <v>120</v>
      </c>
      <c r="O5" s="26"/>
      <c r="Q5" s="26" t="s">
        <v>121</v>
      </c>
      <c r="R5" s="26"/>
      <c r="S5" s="26"/>
      <c r="T5" s="25" t="s">
        <v>122</v>
      </c>
      <c r="U5" s="25"/>
      <c r="V5" s="25"/>
      <c r="W5" s="25"/>
      <c r="X5" s="25"/>
    </row>
    <row r="6" spans="1:24" ht="15.75">
      <c r="H6" s="36" t="s">
        <v>84</v>
      </c>
      <c r="I6" s="60">
        <f>ONSV_AUX_2018!Y28</f>
        <v>1909807</v>
      </c>
      <c r="J6" s="9"/>
      <c r="K6" s="9"/>
      <c r="L6" s="9"/>
      <c r="M6" s="9"/>
      <c r="N6" s="9"/>
      <c r="O6" s="9"/>
      <c r="P6" s="20"/>
      <c r="Q6" s="11"/>
      <c r="R6" s="11"/>
      <c r="S6" s="11"/>
    </row>
    <row r="7" spans="1:24" ht="15.75">
      <c r="H7" s="36" t="s">
        <v>85</v>
      </c>
      <c r="I7" s="60">
        <f>ONSV_AUX_2018!Y29</f>
        <v>401853</v>
      </c>
      <c r="J7" s="9"/>
      <c r="K7" s="2" t="s">
        <v>123</v>
      </c>
      <c r="L7" s="60">
        <f>I14+I17+I18+I23</f>
        <v>3504206</v>
      </c>
      <c r="N7" s="28" t="s">
        <v>124</v>
      </c>
      <c r="O7" s="60">
        <f>J14+J23</f>
        <v>2939347.4882127363</v>
      </c>
      <c r="P7" s="64"/>
      <c r="Q7" s="65" t="s">
        <v>125</v>
      </c>
      <c r="R7" s="60">
        <f>J17+J18</f>
        <v>564147.51178726368</v>
      </c>
      <c r="S7" s="66"/>
      <c r="T7" s="65" t="s">
        <v>126</v>
      </c>
      <c r="U7" s="67">
        <f>O11</f>
        <v>37830.489441975762</v>
      </c>
      <c r="V7" s="48"/>
      <c r="W7" s="65" t="s">
        <v>127</v>
      </c>
      <c r="X7" s="68">
        <f>R13</f>
        <v>53239.047577189318</v>
      </c>
    </row>
    <row r="8" spans="1:24" ht="15.75">
      <c r="H8" s="36" t="s">
        <v>101</v>
      </c>
      <c r="I8" s="60">
        <f>ONSV_AUX_2018!Y30</f>
        <v>711</v>
      </c>
      <c r="J8" s="9"/>
      <c r="K8" s="27"/>
      <c r="L8" s="62"/>
      <c r="M8" s="20"/>
      <c r="N8" s="28" t="s">
        <v>128</v>
      </c>
      <c r="O8" s="69">
        <f>J14/O7</f>
        <v>0.9801914594291592</v>
      </c>
      <c r="P8" s="64"/>
      <c r="Q8" s="70" t="s">
        <v>129</v>
      </c>
      <c r="R8" s="63">
        <f>J17/R7</f>
        <v>0.68223272167893634</v>
      </c>
      <c r="S8" s="71"/>
      <c r="T8" s="65" t="s">
        <v>130</v>
      </c>
      <c r="U8" s="67">
        <f>I23-J23</f>
        <v>11.816027938999468</v>
      </c>
      <c r="V8" s="48"/>
      <c r="W8" s="65" t="s">
        <v>131</v>
      </c>
      <c r="X8" s="68">
        <f>I18-J18</f>
        <v>36.380607761064311</v>
      </c>
    </row>
    <row r="9" spans="1:24" ht="15.75">
      <c r="H9" s="36" t="s">
        <v>16</v>
      </c>
      <c r="I9" s="60">
        <f>ONSV_AUX_2018!Y31</f>
        <v>97038</v>
      </c>
      <c r="J9" s="9"/>
      <c r="K9" s="2" t="s">
        <v>132</v>
      </c>
      <c r="L9" s="63">
        <f>I14/L7</f>
        <v>0.8223569048166689</v>
      </c>
      <c r="M9" s="20"/>
      <c r="N9" s="28" t="s">
        <v>133</v>
      </c>
      <c r="O9" s="69">
        <f>J23/O7</f>
        <v>1.9808540570840805E-2</v>
      </c>
      <c r="P9" s="64"/>
      <c r="Q9" s="70" t="s">
        <v>134</v>
      </c>
      <c r="R9" s="63">
        <f>J18/R7</f>
        <v>0.31776727832106361</v>
      </c>
      <c r="S9" s="71"/>
      <c r="T9" s="65" t="s">
        <v>135</v>
      </c>
      <c r="U9" s="72">
        <f>O13</f>
        <v>20393.694530085239</v>
      </c>
      <c r="V9" s="73"/>
      <c r="W9" s="65" t="s">
        <v>136</v>
      </c>
      <c r="X9" s="72">
        <f>R16</f>
        <v>126028.57181504963</v>
      </c>
    </row>
    <row r="10" spans="1:24" ht="15.75">
      <c r="H10" s="36" t="s">
        <v>94</v>
      </c>
      <c r="I10" s="60">
        <f>ONSV_AUX_2018!Y32</f>
        <v>2310801</v>
      </c>
      <c r="J10" s="10"/>
      <c r="K10" s="2" t="s">
        <v>2</v>
      </c>
      <c r="L10" s="63">
        <f>I17/L7</f>
        <v>0.10985598449406228</v>
      </c>
      <c r="M10" s="20"/>
      <c r="N10" s="20"/>
      <c r="O10" s="74"/>
      <c r="P10" s="48"/>
      <c r="Q10" s="48"/>
      <c r="R10" s="48"/>
      <c r="S10" s="48"/>
      <c r="T10" s="48"/>
      <c r="U10" s="62"/>
      <c r="V10" s="75"/>
      <c r="W10" s="48"/>
      <c r="X10" s="62"/>
    </row>
    <row r="11" spans="1:24" ht="15.75">
      <c r="K11" s="2" t="s">
        <v>3</v>
      </c>
      <c r="L11" s="63">
        <f>I18/L7</f>
        <v>5.116822469911872E-2</v>
      </c>
      <c r="M11" s="20"/>
      <c r="N11" s="28" t="s">
        <v>137</v>
      </c>
      <c r="O11" s="60">
        <f>IF(O9*I6&gt;J23,J23,O9*I6)</f>
        <v>37830.489441975762</v>
      </c>
      <c r="P11" s="76"/>
      <c r="Q11" s="65" t="s">
        <v>138</v>
      </c>
      <c r="R11" s="60">
        <f>I7-I15-I16-I19-I22</f>
        <v>167541</v>
      </c>
      <c r="S11" s="77"/>
      <c r="T11" s="65" t="s">
        <v>139</v>
      </c>
      <c r="U11" s="67">
        <f>O19</f>
        <v>1871976.5105580243</v>
      </c>
      <c r="V11" s="76"/>
      <c r="W11" s="65" t="s">
        <v>140</v>
      </c>
      <c r="X11" s="67">
        <f>I15</f>
        <v>151836</v>
      </c>
    </row>
    <row r="12" spans="1:24" ht="15.75">
      <c r="H12" s="24" t="s">
        <v>141</v>
      </c>
      <c r="K12" s="2" t="s">
        <v>0</v>
      </c>
      <c r="L12" s="63">
        <f>I23/L7</f>
        <v>1.6618885990150122E-2</v>
      </c>
      <c r="O12" s="48"/>
      <c r="P12" s="76"/>
      <c r="Q12" s="65" t="s">
        <v>142</v>
      </c>
      <c r="R12" s="60">
        <f>R8*R11</f>
        <v>114301.95242281067</v>
      </c>
      <c r="S12" s="48"/>
      <c r="T12" s="65" t="s">
        <v>143</v>
      </c>
      <c r="U12" s="67">
        <f>O17</f>
        <v>132633</v>
      </c>
      <c r="V12" s="66"/>
      <c r="W12" s="65" t="s">
        <v>144</v>
      </c>
      <c r="X12" s="67">
        <f>I16</f>
        <v>50800</v>
      </c>
    </row>
    <row r="13" spans="1:24" ht="15.75">
      <c r="K13" s="11"/>
      <c r="L13" s="11"/>
      <c r="M13" s="11"/>
      <c r="N13" s="28" t="s">
        <v>145</v>
      </c>
      <c r="O13" s="60">
        <f>J23-O11</f>
        <v>20393.694530085239</v>
      </c>
      <c r="P13" s="76"/>
      <c r="Q13" s="65" t="s">
        <v>127</v>
      </c>
      <c r="R13" s="60">
        <f>R9*R11</f>
        <v>53239.047577189318</v>
      </c>
      <c r="S13" s="48"/>
      <c r="T13" s="65" t="s">
        <v>146</v>
      </c>
      <c r="U13" s="67">
        <f>O18</f>
        <v>97038</v>
      </c>
      <c r="V13" s="71"/>
      <c r="W13" s="48"/>
      <c r="X13" s="62"/>
    </row>
    <row r="14" spans="1:24" ht="15.75">
      <c r="H14" s="37" t="s">
        <v>103</v>
      </c>
      <c r="I14" s="60">
        <f>ONSV_AUX_2018!Y56</f>
        <v>2881708</v>
      </c>
      <c r="J14" s="61">
        <f>I14-(L9*I8)</f>
        <v>2881123.3042406752</v>
      </c>
      <c r="K14" s="11"/>
      <c r="L14" s="11"/>
      <c r="M14" s="11"/>
      <c r="O14" s="76"/>
      <c r="P14" s="76"/>
      <c r="Q14" s="48"/>
      <c r="R14" s="78"/>
      <c r="S14" s="48"/>
      <c r="T14" s="65" t="s">
        <v>147</v>
      </c>
      <c r="U14" s="68">
        <f>I14-J14</f>
        <v>584.69575932482257</v>
      </c>
      <c r="V14" s="71"/>
      <c r="W14" s="65" t="s">
        <v>148</v>
      </c>
      <c r="X14" s="67">
        <f>I22</f>
        <v>19657</v>
      </c>
    </row>
    <row r="15" spans="1:24" ht="15.75">
      <c r="H15" s="37" t="s">
        <v>104</v>
      </c>
      <c r="I15" s="60">
        <f>ONSV_AUX_2018!Y57</f>
        <v>151836</v>
      </c>
      <c r="J15" s="10">
        <f>I15</f>
        <v>151836</v>
      </c>
      <c r="K15" s="11"/>
      <c r="L15" s="11"/>
      <c r="M15" s="11"/>
      <c r="N15" s="26" t="s">
        <v>149</v>
      </c>
      <c r="O15" s="76"/>
      <c r="P15" s="76"/>
      <c r="Q15" s="65" t="s">
        <v>150</v>
      </c>
      <c r="R15" s="60">
        <f>J17-R12</f>
        <v>270577.93997221405</v>
      </c>
      <c r="S15" s="48"/>
      <c r="T15" s="65" t="s">
        <v>151</v>
      </c>
      <c r="U15" s="72">
        <f>O20</f>
        <v>779475.7936826509</v>
      </c>
      <c r="V15" s="48"/>
      <c r="W15" s="65" t="s">
        <v>152</v>
      </c>
      <c r="X15" s="67">
        <f>I19</f>
        <v>12019</v>
      </c>
    </row>
    <row r="16" spans="1:24" ht="15.75">
      <c r="H16" s="37" t="s">
        <v>105</v>
      </c>
      <c r="I16" s="60">
        <f>ONSV_AUX_2018!Y58</f>
        <v>50800</v>
      </c>
      <c r="J16" s="10">
        <f>I16</f>
        <v>50800</v>
      </c>
      <c r="K16" s="11"/>
      <c r="L16" s="11"/>
      <c r="M16" s="11"/>
      <c r="O16" s="73"/>
      <c r="P16" s="76"/>
      <c r="Q16" s="65" t="s">
        <v>136</v>
      </c>
      <c r="R16" s="60">
        <f>J18-R13</f>
        <v>126028.57181504963</v>
      </c>
      <c r="S16" s="48"/>
      <c r="T16" s="48"/>
      <c r="U16" s="62"/>
      <c r="V16" s="77"/>
      <c r="W16" s="48"/>
      <c r="X16" s="62"/>
    </row>
    <row r="17" spans="1:24" ht="15.75">
      <c r="H17" s="37" t="s">
        <v>106</v>
      </c>
      <c r="I17" s="60">
        <f>ONSV_AUX_2018!Y59</f>
        <v>384958</v>
      </c>
      <c r="J17" s="61">
        <f>I17-(L10*I8)</f>
        <v>384879.89239502471</v>
      </c>
      <c r="K17" s="11"/>
      <c r="L17" s="11"/>
      <c r="M17" s="11"/>
      <c r="N17" s="28" t="s">
        <v>143</v>
      </c>
      <c r="O17" s="60">
        <f>I5</f>
        <v>132633</v>
      </c>
      <c r="P17" s="76"/>
      <c r="Q17" s="48"/>
      <c r="R17" s="48"/>
      <c r="S17" s="77"/>
      <c r="T17" s="65" t="s">
        <v>142</v>
      </c>
      <c r="U17" s="68">
        <f>R12</f>
        <v>114301.95242281067</v>
      </c>
      <c r="V17" s="48"/>
      <c r="W17" s="65" t="s">
        <v>153</v>
      </c>
      <c r="X17" s="67">
        <f>I20</f>
        <v>863448</v>
      </c>
    </row>
    <row r="18" spans="1:24" ht="15.75">
      <c r="H18" s="37" t="s">
        <v>107</v>
      </c>
      <c r="I18" s="60">
        <f>ONSV_AUX_2018!Y60</f>
        <v>179304</v>
      </c>
      <c r="J18" s="61">
        <f>I18-(L11*I8)</f>
        <v>179267.61939223894</v>
      </c>
      <c r="K18" s="11"/>
      <c r="L18" s="11"/>
      <c r="M18" s="11"/>
      <c r="N18" s="28" t="s">
        <v>146</v>
      </c>
      <c r="O18" s="60">
        <f>I9</f>
        <v>97038</v>
      </c>
      <c r="P18" s="76"/>
      <c r="Q18" s="48"/>
      <c r="R18" s="48"/>
      <c r="S18" s="48"/>
      <c r="T18" s="65" t="s">
        <v>154</v>
      </c>
      <c r="U18" s="68">
        <f>I17-J17</f>
        <v>78.107604975288268</v>
      </c>
      <c r="V18" s="48"/>
      <c r="W18" s="65" t="s">
        <v>155</v>
      </c>
      <c r="X18" s="67">
        <f>I21</f>
        <v>270697</v>
      </c>
    </row>
    <row r="19" spans="1:24" ht="15.75">
      <c r="H19" s="37" t="s">
        <v>108</v>
      </c>
      <c r="I19" s="60">
        <f>ONSV_AUX_2018!Y61</f>
        <v>12019</v>
      </c>
      <c r="J19" s="10">
        <f>I19</f>
        <v>12019</v>
      </c>
      <c r="K19" s="11"/>
      <c r="L19" s="11"/>
      <c r="M19" s="11"/>
      <c r="N19" s="28" t="s">
        <v>139</v>
      </c>
      <c r="O19" s="60">
        <f>IF(OR((O8*I6&gt;J14),((O17+O18+(O8*I6))&gt;J14)),(J14-O17-O18),(O8*I6))</f>
        <v>1871976.5105580243</v>
      </c>
      <c r="P19" s="76"/>
      <c r="Q19" s="48"/>
      <c r="R19" s="78"/>
      <c r="S19" s="48"/>
      <c r="T19" s="65" t="s">
        <v>150</v>
      </c>
      <c r="U19" s="72">
        <f>R15</f>
        <v>270577.93997221405</v>
      </c>
      <c r="V19" s="48"/>
      <c r="W19" s="48"/>
      <c r="X19" s="48"/>
    </row>
    <row r="20" spans="1:24" ht="15.75">
      <c r="H20" s="37" t="s">
        <v>109</v>
      </c>
      <c r="I20" s="60">
        <f>ONSV_AUX_2018!Y62</f>
        <v>863448</v>
      </c>
      <c r="J20" s="10">
        <f t="shared" ref="J20:J22" si="0">I20</f>
        <v>863448</v>
      </c>
      <c r="K20" s="11"/>
      <c r="L20" s="11"/>
      <c r="M20" s="11"/>
      <c r="N20" s="28" t="s">
        <v>151</v>
      </c>
      <c r="O20" s="60">
        <f>IF((J14-O17-O19-O18)&lt;0,0,(J14-O17-O19-O18))</f>
        <v>779475.7936826509</v>
      </c>
      <c r="P20" s="48"/>
      <c r="Q20" s="48"/>
      <c r="R20" s="48"/>
      <c r="S20" s="48"/>
      <c r="T20" s="48"/>
      <c r="U20" s="62"/>
      <c r="V20" s="48"/>
      <c r="W20" s="48"/>
      <c r="X20" s="48"/>
    </row>
    <row r="21" spans="1:24" ht="15.75">
      <c r="H21" s="37" t="s">
        <v>110</v>
      </c>
      <c r="I21" s="60">
        <f>ONSV_AUX_2018!Y63</f>
        <v>270697</v>
      </c>
      <c r="J21" s="10">
        <f t="shared" si="0"/>
        <v>270697</v>
      </c>
      <c r="K21" s="11"/>
      <c r="L21" s="11"/>
      <c r="M21" s="11"/>
      <c r="O21" s="48"/>
      <c r="P21" s="76"/>
      <c r="Q21" s="48"/>
      <c r="R21" s="48"/>
      <c r="S21" s="48"/>
      <c r="T21" s="79" t="s">
        <v>156</v>
      </c>
      <c r="U21" s="80">
        <f>(SUM(U7:U19,X7:X18)/SUM(I14:I23))-1</f>
        <v>0</v>
      </c>
      <c r="V21" s="48"/>
      <c r="W21" s="79" t="s">
        <v>10</v>
      </c>
      <c r="X21" s="67">
        <f>SUM(U7:U19,X7:X18)</f>
        <v>4872663</v>
      </c>
    </row>
    <row r="22" spans="1:24" ht="15.75">
      <c r="H22" s="37" t="s">
        <v>111</v>
      </c>
      <c r="I22" s="60">
        <f>ONSV_AUX_2018!Y64</f>
        <v>19657</v>
      </c>
      <c r="J22" s="10">
        <f t="shared" si="0"/>
        <v>19657</v>
      </c>
      <c r="K22" s="11"/>
      <c r="L22" s="11"/>
      <c r="M22" s="11"/>
      <c r="O22" s="48"/>
      <c r="P22" s="76"/>
      <c r="Q22" s="48"/>
      <c r="R22" s="48"/>
      <c r="S22" s="48"/>
      <c r="T22" s="48"/>
      <c r="U22" s="48"/>
      <c r="V22" s="48"/>
      <c r="W22" s="48"/>
      <c r="X22" s="48"/>
    </row>
    <row r="23" spans="1:24" ht="15.75">
      <c r="H23" s="37" t="s">
        <v>112</v>
      </c>
      <c r="I23" s="60">
        <f>ONSV_AUX_2018!Y65</f>
        <v>58236</v>
      </c>
      <c r="J23" s="61">
        <f>I23-(L12*I8)</f>
        <v>58224.183972061001</v>
      </c>
      <c r="K23" s="12"/>
      <c r="L23" s="12"/>
      <c r="M23" s="12"/>
      <c r="N23" s="12"/>
      <c r="O23" s="12"/>
      <c r="P23" s="12"/>
      <c r="Q23" s="4"/>
      <c r="R23" s="4"/>
    </row>
    <row r="25" spans="1:24" s="34" customFormat="1" ht="15.75">
      <c r="A25" s="101" t="str">
        <f>"SANTA CATARINA/"&amp;ONSV_AUX_2017!A1&amp;""</f>
        <v>SANTA CATARINA/2017</v>
      </c>
      <c r="B25" s="102"/>
      <c r="C25" s="102"/>
      <c r="D25" s="102"/>
      <c r="E25" s="102"/>
      <c r="F25" s="102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 spans="1:24" ht="15.75">
      <c r="A26" s="3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>
      <c r="A27" s="12"/>
      <c r="H27" s="23" t="s">
        <v>118</v>
      </c>
      <c r="N27" s="26"/>
      <c r="O27" s="26"/>
      <c r="P27" s="9"/>
      <c r="Q27" s="26"/>
      <c r="R27" s="26"/>
      <c r="S27" s="26"/>
      <c r="T27" s="104"/>
      <c r="U27" s="104"/>
      <c r="V27" s="104"/>
      <c r="W27" s="104"/>
      <c r="X27" s="104"/>
    </row>
    <row r="28" spans="1:24" ht="15.75">
      <c r="B28" s="5"/>
      <c r="J28" s="9"/>
      <c r="M28" s="25"/>
    </row>
    <row r="29" spans="1:24" ht="15.75">
      <c r="H29" s="36" t="s">
        <v>81</v>
      </c>
      <c r="I29" s="60">
        <f>ONSV_AUX_2017!Y27</f>
        <v>132693</v>
      </c>
      <c r="J29" s="9"/>
      <c r="K29" s="104" t="s">
        <v>119</v>
      </c>
      <c r="L29" s="104"/>
      <c r="M29" s="9"/>
      <c r="N29" s="26" t="s">
        <v>120</v>
      </c>
      <c r="O29" s="26"/>
      <c r="Q29" s="26" t="s">
        <v>121</v>
      </c>
      <c r="R29" s="26"/>
      <c r="S29" s="26"/>
      <c r="T29" s="25" t="s">
        <v>122</v>
      </c>
      <c r="U29" s="25"/>
      <c r="V29" s="25"/>
      <c r="W29" s="25"/>
      <c r="X29" s="25"/>
    </row>
    <row r="30" spans="1:24" ht="15.75">
      <c r="H30" s="36" t="s">
        <v>84</v>
      </c>
      <c r="I30" s="60">
        <f>ONSV_AUX_2017!Y28</f>
        <v>1770258</v>
      </c>
      <c r="J30" s="9"/>
      <c r="K30" s="9"/>
      <c r="L30" s="9"/>
      <c r="M30" s="9"/>
      <c r="N30" s="9"/>
      <c r="O30" s="9"/>
      <c r="P30" s="20"/>
      <c r="Q30" s="11"/>
      <c r="R30" s="11"/>
      <c r="S30" s="11"/>
    </row>
    <row r="31" spans="1:24" ht="15.75">
      <c r="H31" s="36" t="s">
        <v>85</v>
      </c>
      <c r="I31" s="60">
        <f>ONSV_AUX_2017!Y29</f>
        <v>383239</v>
      </c>
      <c r="J31" s="9"/>
      <c r="K31" s="2" t="s">
        <v>123</v>
      </c>
      <c r="L31" s="60">
        <f>I38+I41+I42+I47</f>
        <v>3354336</v>
      </c>
      <c r="N31" s="28" t="s">
        <v>124</v>
      </c>
      <c r="O31" s="60">
        <f>J38+J47</f>
        <v>2828072.0431930493</v>
      </c>
      <c r="P31" s="64"/>
      <c r="Q31" s="65" t="s">
        <v>125</v>
      </c>
      <c r="R31" s="60">
        <f>J41+J42</f>
        <v>525829.95680695074</v>
      </c>
      <c r="S31" s="66"/>
      <c r="T31" s="65" t="s">
        <v>126</v>
      </c>
      <c r="U31" s="67">
        <f>O35</f>
        <v>31086.123982212095</v>
      </c>
      <c r="V31" s="48"/>
      <c r="W31" s="65" t="s">
        <v>127</v>
      </c>
      <c r="X31" s="68">
        <f>R37</f>
        <v>47530.378206420253</v>
      </c>
    </row>
    <row r="32" spans="1:24" ht="15.75">
      <c r="H32" s="36" t="s">
        <v>101</v>
      </c>
      <c r="I32" s="60">
        <f>ONSV_AUX_2017!Y30</f>
        <v>434</v>
      </c>
      <c r="J32" s="9"/>
      <c r="K32" s="27"/>
      <c r="L32" s="62"/>
      <c r="M32" s="20"/>
      <c r="N32" s="28" t="s">
        <v>128</v>
      </c>
      <c r="O32" s="69">
        <f>J38/O31</f>
        <v>0.98243977771476687</v>
      </c>
      <c r="P32" s="64"/>
      <c r="Q32" s="70" t="s">
        <v>129</v>
      </c>
      <c r="R32" s="63">
        <f>J41/R31</f>
        <v>0.69077083388794025</v>
      </c>
      <c r="S32" s="71"/>
      <c r="T32" s="65" t="s">
        <v>130</v>
      </c>
      <c r="U32" s="67">
        <f>I47-J47</f>
        <v>6.4262828768478357</v>
      </c>
      <c r="V32" s="48"/>
      <c r="W32" s="65" t="s">
        <v>131</v>
      </c>
      <c r="X32" s="68">
        <f>I42-J42</f>
        <v>21.04093984622159</v>
      </c>
    </row>
    <row r="33" spans="8:24" ht="15.75">
      <c r="H33" s="36" t="s">
        <v>16</v>
      </c>
      <c r="I33" s="60">
        <f>ONSV_AUX_2017!Y31</f>
        <v>91817</v>
      </c>
      <c r="J33" s="9"/>
      <c r="K33" s="2" t="s">
        <v>132</v>
      </c>
      <c r="L33" s="63">
        <f>I38/L31</f>
        <v>0.82841134579243103</v>
      </c>
      <c r="M33" s="20"/>
      <c r="N33" s="28" t="s">
        <v>133</v>
      </c>
      <c r="O33" s="69">
        <f>J47/O31</f>
        <v>1.7560222285233053E-2</v>
      </c>
      <c r="P33" s="64"/>
      <c r="Q33" s="70" t="s">
        <v>134</v>
      </c>
      <c r="R33" s="63">
        <f>J42/R31</f>
        <v>0.30922916611205975</v>
      </c>
      <c r="S33" s="71"/>
      <c r="T33" s="65" t="s">
        <v>135</v>
      </c>
      <c r="U33" s="72">
        <f>O37</f>
        <v>18575.449734911057</v>
      </c>
      <c r="V33" s="73"/>
      <c r="W33" s="65" t="s">
        <v>136</v>
      </c>
      <c r="X33" s="72">
        <f>R40</f>
        <v>115071.58085373353</v>
      </c>
    </row>
    <row r="34" spans="8:24" ht="15.75">
      <c r="H34" s="36" t="s">
        <v>94</v>
      </c>
      <c r="I34" s="60">
        <f>ONSV_AUX_2017!Y32</f>
        <v>2293193</v>
      </c>
      <c r="J34" s="10"/>
      <c r="K34" s="2" t="s">
        <v>2</v>
      </c>
      <c r="L34" s="63">
        <f>I41/L31</f>
        <v>0.10830012258760005</v>
      </c>
      <c r="M34" s="20"/>
      <c r="N34" s="20"/>
      <c r="O34" s="74"/>
      <c r="P34" s="48"/>
      <c r="Q34" s="48"/>
      <c r="R34" s="48"/>
      <c r="S34" s="48"/>
      <c r="T34" s="48"/>
      <c r="U34" s="62"/>
      <c r="V34" s="75"/>
      <c r="W34" s="48"/>
      <c r="X34" s="62"/>
    </row>
    <row r="35" spans="8:24" ht="15.75">
      <c r="K35" s="2" t="s">
        <v>3</v>
      </c>
      <c r="L35" s="63">
        <f>I42/L31</f>
        <v>4.8481428217089763E-2</v>
      </c>
      <c r="M35" s="20"/>
      <c r="N35" s="28" t="s">
        <v>137</v>
      </c>
      <c r="O35" s="60">
        <f>IF(O33*I30&gt;J47,J47,O33*I30)</f>
        <v>31086.123982212095</v>
      </c>
      <c r="P35" s="76"/>
      <c r="Q35" s="65" t="s">
        <v>138</v>
      </c>
      <c r="R35" s="60">
        <f>I31-I39-I40-I43-I46</f>
        <v>153706</v>
      </c>
      <c r="S35" s="77"/>
      <c r="T35" s="65" t="s">
        <v>139</v>
      </c>
      <c r="U35" s="67">
        <f>O43</f>
        <v>1739171.8760177877</v>
      </c>
      <c r="V35" s="76"/>
      <c r="W35" s="65" t="s">
        <v>140</v>
      </c>
      <c r="X35" s="67">
        <f>I39</f>
        <v>149503</v>
      </c>
    </row>
    <row r="36" spans="8:24" ht="15.75">
      <c r="H36" s="24" t="s">
        <v>141</v>
      </c>
      <c r="K36" s="2" t="s">
        <v>0</v>
      </c>
      <c r="L36" s="63">
        <f>I47/L31</f>
        <v>1.4807103402879138E-2</v>
      </c>
      <c r="O36" s="48"/>
      <c r="P36" s="76"/>
      <c r="Q36" s="65" t="s">
        <v>142</v>
      </c>
      <c r="R36" s="60">
        <f>R32*R35</f>
        <v>106175.62179357975</v>
      </c>
      <c r="S36" s="48"/>
      <c r="T36" s="65" t="s">
        <v>143</v>
      </c>
      <c r="U36" s="67">
        <f>O41</f>
        <v>132693</v>
      </c>
      <c r="V36" s="66"/>
      <c r="W36" s="65" t="s">
        <v>144</v>
      </c>
      <c r="X36" s="67">
        <f>I40</f>
        <v>49013</v>
      </c>
    </row>
    <row r="37" spans="8:24" ht="15.75">
      <c r="K37" s="11"/>
      <c r="L37" s="11"/>
      <c r="M37" s="11"/>
      <c r="N37" s="28" t="s">
        <v>145</v>
      </c>
      <c r="O37" s="60">
        <f>J47-O35</f>
        <v>18575.449734911057</v>
      </c>
      <c r="P37" s="76"/>
      <c r="Q37" s="65" t="s">
        <v>127</v>
      </c>
      <c r="R37" s="60">
        <f>R33*R35</f>
        <v>47530.378206420253</v>
      </c>
      <c r="S37" s="48"/>
      <c r="T37" s="65" t="s">
        <v>146</v>
      </c>
      <c r="U37" s="67">
        <f>O42</f>
        <v>91817</v>
      </c>
      <c r="V37" s="71"/>
      <c r="W37" s="48"/>
      <c r="X37" s="62"/>
    </row>
    <row r="38" spans="8:24" ht="15.75">
      <c r="H38" s="37" t="s">
        <v>103</v>
      </c>
      <c r="I38" s="60">
        <f>ONSV_AUX_2017!Y56</f>
        <v>2778770</v>
      </c>
      <c r="J38" s="61">
        <f>I38-(L33*I32)</f>
        <v>2778410.4694759259</v>
      </c>
      <c r="K38" s="11"/>
      <c r="L38" s="11"/>
      <c r="M38" s="11"/>
      <c r="O38" s="76"/>
      <c r="P38" s="76"/>
      <c r="Q38" s="48"/>
      <c r="R38" s="78"/>
      <c r="S38" s="48"/>
      <c r="T38" s="65" t="s">
        <v>147</v>
      </c>
      <c r="U38" s="68">
        <f>I38-J38</f>
        <v>359.53052407409996</v>
      </c>
      <c r="V38" s="71"/>
      <c r="W38" s="65" t="s">
        <v>148</v>
      </c>
      <c r="X38" s="67">
        <f>I46</f>
        <v>19213</v>
      </c>
    </row>
    <row r="39" spans="8:24" ht="15.75">
      <c r="H39" s="37" t="s">
        <v>104</v>
      </c>
      <c r="I39" s="60">
        <f>ONSV_AUX_2017!Y57</f>
        <v>149503</v>
      </c>
      <c r="J39" s="10">
        <f>I39</f>
        <v>149503</v>
      </c>
      <c r="K39" s="11"/>
      <c r="L39" s="11"/>
      <c r="M39" s="11"/>
      <c r="N39" s="26" t="s">
        <v>149</v>
      </c>
      <c r="O39" s="76"/>
      <c r="P39" s="76"/>
      <c r="Q39" s="65" t="s">
        <v>150</v>
      </c>
      <c r="R39" s="60">
        <f>J41-R36</f>
        <v>257052.37595321724</v>
      </c>
      <c r="S39" s="48"/>
      <c r="T39" s="65" t="s">
        <v>151</v>
      </c>
      <c r="U39" s="72">
        <f>O44</f>
        <v>814728.59345813817</v>
      </c>
      <c r="V39" s="48"/>
      <c r="W39" s="65" t="s">
        <v>152</v>
      </c>
      <c r="X39" s="67">
        <f>I43</f>
        <v>11804</v>
      </c>
    </row>
    <row r="40" spans="8:24" ht="15.75">
      <c r="H40" s="37" t="s">
        <v>105</v>
      </c>
      <c r="I40" s="60">
        <f>ONSV_AUX_2017!Y58</f>
        <v>49013</v>
      </c>
      <c r="J40" s="10">
        <f>I40</f>
        <v>49013</v>
      </c>
      <c r="K40" s="11"/>
      <c r="L40" s="11"/>
      <c r="M40" s="11"/>
      <c r="O40" s="73"/>
      <c r="P40" s="76"/>
      <c r="Q40" s="65" t="s">
        <v>136</v>
      </c>
      <c r="R40" s="60">
        <f>J42-R37</f>
        <v>115071.58085373353</v>
      </c>
      <c r="S40" s="48"/>
      <c r="T40" s="48"/>
      <c r="U40" s="62"/>
      <c r="V40" s="77"/>
      <c r="W40" s="48"/>
      <c r="X40" s="62"/>
    </row>
    <row r="41" spans="8:24" ht="15.75">
      <c r="H41" s="37" t="s">
        <v>106</v>
      </c>
      <c r="I41" s="60">
        <f>ONSV_AUX_2017!Y59</f>
        <v>363275</v>
      </c>
      <c r="J41" s="61">
        <f>I41-(L34*I32)</f>
        <v>363227.99774679699</v>
      </c>
      <c r="K41" s="11"/>
      <c r="L41" s="11"/>
      <c r="M41" s="11"/>
      <c r="N41" s="28" t="s">
        <v>143</v>
      </c>
      <c r="O41" s="60">
        <f>I29</f>
        <v>132693</v>
      </c>
      <c r="P41" s="76"/>
      <c r="Q41" s="48"/>
      <c r="R41" s="48"/>
      <c r="S41" s="77"/>
      <c r="T41" s="65" t="s">
        <v>142</v>
      </c>
      <c r="U41" s="68">
        <f>R36</f>
        <v>106175.62179357975</v>
      </c>
      <c r="V41" s="48"/>
      <c r="W41" s="65" t="s">
        <v>153</v>
      </c>
      <c r="X41" s="67">
        <f>I44</f>
        <v>843658</v>
      </c>
    </row>
    <row r="42" spans="8:24" ht="15.75">
      <c r="H42" s="37" t="s">
        <v>107</v>
      </c>
      <c r="I42" s="60">
        <f>ONSV_AUX_2017!Y60</f>
        <v>162623</v>
      </c>
      <c r="J42" s="61">
        <f>I42-(L35*I32)</f>
        <v>162601.95906015378</v>
      </c>
      <c r="K42" s="11"/>
      <c r="L42" s="11"/>
      <c r="M42" s="11"/>
      <c r="N42" s="28" t="s">
        <v>146</v>
      </c>
      <c r="O42" s="60">
        <f>I33</f>
        <v>91817</v>
      </c>
      <c r="P42" s="76"/>
      <c r="Q42" s="48"/>
      <c r="R42" s="48"/>
      <c r="S42" s="48"/>
      <c r="T42" s="65" t="s">
        <v>154</v>
      </c>
      <c r="U42" s="68">
        <f>I41-J41</f>
        <v>47.002253203012515</v>
      </c>
      <c r="V42" s="48"/>
      <c r="W42" s="65" t="s">
        <v>155</v>
      </c>
      <c r="X42" s="67">
        <f>I45</f>
        <v>263123</v>
      </c>
    </row>
    <row r="43" spans="8:24" ht="15.75">
      <c r="H43" s="37" t="s">
        <v>108</v>
      </c>
      <c r="I43" s="60">
        <f>ONSV_AUX_2017!Y61</f>
        <v>11804</v>
      </c>
      <c r="J43" s="10">
        <f>I43</f>
        <v>11804</v>
      </c>
      <c r="K43" s="11"/>
      <c r="L43" s="11"/>
      <c r="M43" s="11"/>
      <c r="N43" s="28" t="s">
        <v>139</v>
      </c>
      <c r="O43" s="60">
        <f>IF(OR((O32*I30&gt;J38),((O41+O42+(O32*I30))&gt;J38)),(J38-O41-O42),(O32*I30))</f>
        <v>1739171.8760177877</v>
      </c>
      <c r="P43" s="76"/>
      <c r="Q43" s="48"/>
      <c r="R43" s="78"/>
      <c r="S43" s="48"/>
      <c r="T43" s="65" t="s">
        <v>150</v>
      </c>
      <c r="U43" s="72">
        <f>R39</f>
        <v>257052.37595321724</v>
      </c>
      <c r="V43" s="48"/>
      <c r="W43" s="48"/>
      <c r="X43" s="48"/>
    </row>
    <row r="44" spans="8:24" ht="15.75">
      <c r="H44" s="37" t="s">
        <v>109</v>
      </c>
      <c r="I44" s="60">
        <f>ONSV_AUX_2017!Y62</f>
        <v>843658</v>
      </c>
      <c r="J44" s="10">
        <f>I44</f>
        <v>843658</v>
      </c>
      <c r="K44" s="11"/>
      <c r="L44" s="11"/>
      <c r="M44" s="11"/>
      <c r="N44" s="28" t="s">
        <v>151</v>
      </c>
      <c r="O44" s="60">
        <f>IF((J38-O41-O43-O42)&lt;0,0,(J38-O41-O43-O42))</f>
        <v>814728.59345813817</v>
      </c>
      <c r="P44" s="48"/>
      <c r="Q44" s="48"/>
      <c r="R44" s="48"/>
      <c r="S44" s="48"/>
      <c r="T44" s="48"/>
      <c r="U44" s="62"/>
      <c r="V44" s="48"/>
      <c r="W44" s="48"/>
      <c r="X44" s="48"/>
    </row>
    <row r="45" spans="8:24" ht="15.75">
      <c r="H45" s="37" t="s">
        <v>110</v>
      </c>
      <c r="I45" s="60">
        <f>ONSV_AUX_2017!Y63</f>
        <v>263123</v>
      </c>
      <c r="J45" s="10">
        <f>I45</f>
        <v>263123</v>
      </c>
      <c r="K45" s="11"/>
      <c r="L45" s="11"/>
      <c r="M45" s="11"/>
      <c r="O45" s="48"/>
      <c r="P45" s="76"/>
      <c r="Q45" s="48"/>
      <c r="R45" s="48"/>
      <c r="S45" s="48"/>
      <c r="T45" s="79" t="s">
        <v>156</v>
      </c>
      <c r="U45" s="80">
        <f>(SUM(U31:U43,X31:X42)/SUM(I38:I47))-1</f>
        <v>0</v>
      </c>
      <c r="V45" s="48"/>
      <c r="W45" s="79" t="s">
        <v>10</v>
      </c>
      <c r="X45" s="67">
        <f>SUM(U31:U43,X31:X42)</f>
        <v>4690650</v>
      </c>
    </row>
    <row r="46" spans="8:24" ht="15.75">
      <c r="H46" s="37" t="s">
        <v>111</v>
      </c>
      <c r="I46" s="60">
        <f>ONSV_AUX_2017!Y64</f>
        <v>19213</v>
      </c>
      <c r="J46" s="10">
        <f>I46</f>
        <v>19213</v>
      </c>
      <c r="K46" s="11"/>
      <c r="L46" s="11"/>
      <c r="M46" s="11"/>
      <c r="O46" s="48"/>
      <c r="P46" s="76"/>
      <c r="Q46" s="48"/>
      <c r="R46" s="48"/>
      <c r="S46" s="48"/>
      <c r="T46" s="48"/>
      <c r="U46" s="48"/>
      <c r="V46" s="48"/>
      <c r="W46" s="48"/>
      <c r="X46" s="48"/>
    </row>
    <row r="47" spans="8:24" ht="15.75">
      <c r="H47" s="37" t="s">
        <v>112</v>
      </c>
      <c r="I47" s="60">
        <f>ONSV_AUX_2017!Y65</f>
        <v>49668</v>
      </c>
      <c r="J47" s="61">
        <f>I47-(L36*I32)</f>
        <v>49661.573717123152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39"/>
      <c r="I48" s="40"/>
      <c r="J48" s="40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4" customFormat="1" ht="15.75">
      <c r="A50" s="101" t="str">
        <f>"SANTA CATARINA/"&amp;ONSV_AUX_2016!A1&amp;""</f>
        <v>SANTA CATARINA/2016</v>
      </c>
      <c r="B50" s="102"/>
      <c r="C50" s="102"/>
      <c r="D50" s="102"/>
      <c r="E50" s="102"/>
      <c r="F50" s="102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</row>
    <row r="52" spans="1:24" ht="15.75">
      <c r="H52" s="23" t="s">
        <v>118</v>
      </c>
      <c r="N52" s="26"/>
      <c r="O52" s="26"/>
      <c r="P52" s="9"/>
      <c r="Q52" s="26"/>
      <c r="R52" s="26"/>
      <c r="S52" s="26"/>
      <c r="T52" s="104"/>
      <c r="U52" s="104"/>
      <c r="V52" s="104"/>
      <c r="W52" s="104"/>
      <c r="X52" s="104"/>
    </row>
    <row r="53" spans="1:24" ht="15.75">
      <c r="J53" s="9"/>
      <c r="M53" s="25"/>
      <c r="N53" s="9"/>
      <c r="O53" s="9"/>
      <c r="P53" s="9"/>
      <c r="Q53" s="11"/>
      <c r="R53" s="11"/>
      <c r="S53" s="11"/>
    </row>
    <row r="54" spans="1:24" ht="15.75">
      <c r="H54" s="36" t="s">
        <v>81</v>
      </c>
      <c r="I54" s="60">
        <f>ONSV_AUX_2016!Y27</f>
        <v>132782</v>
      </c>
      <c r="J54" s="9"/>
      <c r="K54" s="104" t="s">
        <v>119</v>
      </c>
      <c r="L54" s="104"/>
      <c r="M54" s="9"/>
      <c r="N54" s="26" t="s">
        <v>120</v>
      </c>
      <c r="O54" s="26"/>
      <c r="Q54" s="26" t="s">
        <v>121</v>
      </c>
      <c r="R54" s="26"/>
      <c r="S54" s="26"/>
      <c r="T54" s="25" t="s">
        <v>122</v>
      </c>
      <c r="U54" s="25"/>
      <c r="V54" s="25"/>
      <c r="W54" s="25"/>
      <c r="X54" s="25"/>
    </row>
    <row r="55" spans="1:24" ht="15.75">
      <c r="H55" s="36" t="s">
        <v>84</v>
      </c>
      <c r="I55" s="60">
        <f>ONSV_AUX_2016!Y28</f>
        <v>1652710</v>
      </c>
      <c r="J55" s="9"/>
      <c r="K55" s="9"/>
      <c r="L55" s="9"/>
      <c r="M55" s="9"/>
      <c r="N55" s="9"/>
      <c r="O55" s="9"/>
      <c r="P55" s="20"/>
      <c r="Q55" s="11"/>
      <c r="R55" s="11"/>
      <c r="S55" s="11"/>
    </row>
    <row r="56" spans="1:24" ht="15.75">
      <c r="H56" s="36" t="s">
        <v>85</v>
      </c>
      <c r="I56" s="60">
        <f>ONSV_AUX_2016!Y29</f>
        <v>369818</v>
      </c>
      <c r="J56" s="9"/>
      <c r="K56" s="2" t="s">
        <v>123</v>
      </c>
      <c r="L56" s="60">
        <f>I63+I66+I67+I72</f>
        <v>3233186</v>
      </c>
      <c r="N56" s="28" t="s">
        <v>124</v>
      </c>
      <c r="O56" s="60">
        <f>J63+J72</f>
        <v>2737600.1044022827</v>
      </c>
      <c r="P56" s="64"/>
      <c r="Q56" s="65" t="s">
        <v>125</v>
      </c>
      <c r="R56" s="60">
        <f>J66+J67</f>
        <v>495271.89559771691</v>
      </c>
      <c r="S56" s="66"/>
      <c r="T56" s="65" t="s">
        <v>126</v>
      </c>
      <c r="U56" s="67">
        <f>O60</f>
        <v>25900.162849460128</v>
      </c>
      <c r="V56" s="48"/>
      <c r="W56" s="65" t="s">
        <v>127</v>
      </c>
      <c r="X56" s="68">
        <f>R62</f>
        <v>43481.601550512802</v>
      </c>
    </row>
    <row r="57" spans="1:24" ht="15.75">
      <c r="H57" s="36" t="s">
        <v>101</v>
      </c>
      <c r="I57" s="60">
        <f>ONSV_AUX_2016!Y30</f>
        <v>314</v>
      </c>
      <c r="J57" s="9"/>
      <c r="K57" s="27"/>
      <c r="L57" s="62"/>
      <c r="M57" s="20"/>
      <c r="N57" s="28" t="s">
        <v>128</v>
      </c>
      <c r="O57" s="69">
        <f>J63/O56</f>
        <v>0.98432867057774198</v>
      </c>
      <c r="P57" s="64"/>
      <c r="Q57" s="70" t="s">
        <v>129</v>
      </c>
      <c r="R57" s="63">
        <f>J66/R56</f>
        <v>0.69603488653799561</v>
      </c>
      <c r="S57" s="71"/>
      <c r="T57" s="65" t="s">
        <v>130</v>
      </c>
      <c r="U57" s="67">
        <f>I72-J72</f>
        <v>4.1669375037527061</v>
      </c>
      <c r="V57" s="48"/>
      <c r="W57" s="65" t="s">
        <v>131</v>
      </c>
      <c r="X57" s="68">
        <f>I67-J67</f>
        <v>14.622060097986832</v>
      </c>
    </row>
    <row r="58" spans="1:24" ht="15.75">
      <c r="H58" s="36" t="s">
        <v>16</v>
      </c>
      <c r="I58" s="60">
        <f>ONSV_AUX_2016!Y31</f>
        <v>90797</v>
      </c>
      <c r="J58" s="9"/>
      <c r="K58" s="2" t="s">
        <v>132</v>
      </c>
      <c r="L58" s="63">
        <f>I63/L56</f>
        <v>0.83353076501011691</v>
      </c>
      <c r="M58" s="20"/>
      <c r="N58" s="28" t="s">
        <v>133</v>
      </c>
      <c r="O58" s="69">
        <f>J72/O56</f>
        <v>1.5671329422258067E-2</v>
      </c>
      <c r="P58" s="64"/>
      <c r="Q58" s="70" t="s">
        <v>134</v>
      </c>
      <c r="R58" s="63">
        <f>J67/R56</f>
        <v>0.30396511346200439</v>
      </c>
      <c r="S58" s="71"/>
      <c r="T58" s="65" t="s">
        <v>135</v>
      </c>
      <c r="U58" s="72">
        <f>O62</f>
        <v>17001.670213036119</v>
      </c>
      <c r="V58" s="73"/>
      <c r="W58" s="65" t="s">
        <v>136</v>
      </c>
      <c r="X58" s="72">
        <f>R65</f>
        <v>107063.77638938921</v>
      </c>
    </row>
    <row r="59" spans="1:24" ht="15.75">
      <c r="H59" s="36" t="s">
        <v>94</v>
      </c>
      <c r="I59" s="60">
        <f>ONSV_AUX_2016!Y32</f>
        <v>2280437</v>
      </c>
      <c r="J59" s="10"/>
      <c r="K59" s="2" t="s">
        <v>2</v>
      </c>
      <c r="L59" s="63">
        <f>I66/L56</f>
        <v>0.106631663009799</v>
      </c>
      <c r="M59" s="20"/>
      <c r="N59" s="20"/>
      <c r="O59" s="74"/>
      <c r="P59" s="48"/>
      <c r="Q59" s="48"/>
      <c r="R59" s="48"/>
      <c r="S59" s="48"/>
      <c r="T59" s="48"/>
      <c r="U59" s="62"/>
      <c r="V59" s="75"/>
      <c r="W59" s="48"/>
      <c r="X59" s="62"/>
    </row>
    <row r="60" spans="1:24" ht="15.75">
      <c r="K60" s="2" t="s">
        <v>3</v>
      </c>
      <c r="L60" s="63">
        <f>I67/L56</f>
        <v>4.6567070375784135E-2</v>
      </c>
      <c r="M60" s="20"/>
      <c r="N60" s="28" t="s">
        <v>137</v>
      </c>
      <c r="O60" s="60">
        <f>IF(O58*I55&gt;J72,J72,O58*I55)</f>
        <v>25900.162849460128</v>
      </c>
      <c r="P60" s="76"/>
      <c r="Q60" s="65" t="s">
        <v>138</v>
      </c>
      <c r="R60" s="60">
        <f>I56-I64-I65-I68-I71</f>
        <v>143048</v>
      </c>
      <c r="S60" s="77"/>
      <c r="T60" s="65" t="s">
        <v>139</v>
      </c>
      <c r="U60" s="67">
        <f>O68</f>
        <v>1626809.83715054</v>
      </c>
      <c r="V60" s="76"/>
      <c r="W60" s="65" t="s">
        <v>140</v>
      </c>
      <c r="X60" s="67">
        <f>I64</f>
        <v>147753</v>
      </c>
    </row>
    <row r="61" spans="1:24" ht="15.75">
      <c r="H61" s="24" t="s">
        <v>141</v>
      </c>
      <c r="K61" s="2" t="s">
        <v>0</v>
      </c>
      <c r="L61" s="63">
        <f>I72/L56</f>
        <v>1.3270501604299908E-2</v>
      </c>
      <c r="O61" s="48"/>
      <c r="P61" s="76"/>
      <c r="Q61" s="65" t="s">
        <v>142</v>
      </c>
      <c r="R61" s="60">
        <f>R57*R60</f>
        <v>99566.398449487198</v>
      </c>
      <c r="S61" s="48"/>
      <c r="T61" s="65" t="s">
        <v>143</v>
      </c>
      <c r="U61" s="67">
        <f>O66</f>
        <v>132782</v>
      </c>
      <c r="V61" s="66"/>
      <c r="W61" s="65" t="s">
        <v>144</v>
      </c>
      <c r="X61" s="67">
        <f>I65</f>
        <v>48593</v>
      </c>
    </row>
    <row r="62" spans="1:24" ht="15.75">
      <c r="K62" s="11"/>
      <c r="L62" s="11"/>
      <c r="M62" s="11"/>
      <c r="N62" s="28" t="s">
        <v>145</v>
      </c>
      <c r="O62" s="60">
        <f>J72-O60</f>
        <v>17001.670213036119</v>
      </c>
      <c r="P62" s="76"/>
      <c r="Q62" s="65" t="s">
        <v>127</v>
      </c>
      <c r="R62" s="60">
        <f>R58*R60</f>
        <v>43481.601550512802</v>
      </c>
      <c r="S62" s="48"/>
      <c r="T62" s="65" t="s">
        <v>146</v>
      </c>
      <c r="U62" s="67">
        <f>O67</f>
        <v>90797</v>
      </c>
      <c r="V62" s="71"/>
      <c r="W62" s="48"/>
      <c r="X62" s="62"/>
    </row>
    <row r="63" spans="1:24" ht="15.75">
      <c r="H63" s="37" t="s">
        <v>103</v>
      </c>
      <c r="I63" s="60">
        <f>ONSV_AUX_2016!Y56</f>
        <v>2694960</v>
      </c>
      <c r="J63" s="61">
        <f>I63-(L58*I57)</f>
        <v>2694698.2713397867</v>
      </c>
      <c r="K63" s="11"/>
      <c r="L63" s="11"/>
      <c r="M63" s="11"/>
      <c r="O63" s="76"/>
      <c r="P63" s="76"/>
      <c r="Q63" s="48"/>
      <c r="R63" s="78"/>
      <c r="S63" s="48"/>
      <c r="T63" s="65" t="s">
        <v>147</v>
      </c>
      <c r="U63" s="68">
        <f>I63-J63</f>
        <v>261.72866021329537</v>
      </c>
      <c r="V63" s="71"/>
      <c r="W63" s="65" t="s">
        <v>148</v>
      </c>
      <c r="X63" s="67">
        <f>I71</f>
        <v>18875</v>
      </c>
    </row>
    <row r="64" spans="1:24" ht="15.75">
      <c r="H64" s="37" t="s">
        <v>104</v>
      </c>
      <c r="I64" s="60">
        <f>ONSV_AUX_2016!Y57</f>
        <v>147753</v>
      </c>
      <c r="J64" s="10">
        <f>I64</f>
        <v>147753</v>
      </c>
      <c r="K64" s="11"/>
      <c r="L64" s="11"/>
      <c r="M64" s="11"/>
      <c r="N64" s="26" t="s">
        <v>149</v>
      </c>
      <c r="O64" s="76"/>
      <c r="P64" s="76"/>
      <c r="Q64" s="65" t="s">
        <v>150</v>
      </c>
      <c r="R64" s="60">
        <f>J66-R61</f>
        <v>245160.1192083277</v>
      </c>
      <c r="S64" s="48"/>
      <c r="T64" s="65" t="s">
        <v>151</v>
      </c>
      <c r="U64" s="72">
        <f>O69</f>
        <v>844309.43418924673</v>
      </c>
      <c r="V64" s="48"/>
      <c r="W64" s="65" t="s">
        <v>152</v>
      </c>
      <c r="X64" s="67">
        <f>I68</f>
        <v>11549</v>
      </c>
    </row>
    <row r="65" spans="1:24" ht="15.75">
      <c r="H65" s="37" t="s">
        <v>105</v>
      </c>
      <c r="I65" s="60">
        <f>ONSV_AUX_2016!Y58</f>
        <v>48593</v>
      </c>
      <c r="J65" s="10">
        <f>I65</f>
        <v>48593</v>
      </c>
      <c r="K65" s="11"/>
      <c r="L65" s="11"/>
      <c r="M65" s="11"/>
      <c r="O65" s="73"/>
      <c r="P65" s="76"/>
      <c r="Q65" s="65" t="s">
        <v>136</v>
      </c>
      <c r="R65" s="60">
        <f>J67-R62</f>
        <v>107063.77638938921</v>
      </c>
      <c r="S65" s="48"/>
      <c r="T65" s="48"/>
      <c r="U65" s="62"/>
      <c r="V65" s="77"/>
      <c r="W65" s="48"/>
      <c r="X65" s="62"/>
    </row>
    <row r="66" spans="1:24" ht="15.75">
      <c r="H66" s="37" t="s">
        <v>106</v>
      </c>
      <c r="I66" s="60">
        <f>ONSV_AUX_2016!Y59</f>
        <v>344760</v>
      </c>
      <c r="J66" s="61">
        <f>I66-(L59*I57)</f>
        <v>344726.5176578149</v>
      </c>
      <c r="K66" s="11"/>
      <c r="L66" s="11"/>
      <c r="M66" s="11"/>
      <c r="N66" s="28" t="s">
        <v>143</v>
      </c>
      <c r="O66" s="60">
        <f>I54</f>
        <v>132782</v>
      </c>
      <c r="P66" s="76"/>
      <c r="Q66" s="48"/>
      <c r="R66" s="48"/>
      <c r="S66" s="77"/>
      <c r="T66" s="65" t="s">
        <v>142</v>
      </c>
      <c r="U66" s="68">
        <f>R61</f>
        <v>99566.398449487198</v>
      </c>
      <c r="V66" s="48"/>
      <c r="W66" s="65" t="s">
        <v>153</v>
      </c>
      <c r="X66" s="67">
        <f>I69</f>
        <v>826058</v>
      </c>
    </row>
    <row r="67" spans="1:24" ht="15.75">
      <c r="H67" s="37" t="s">
        <v>107</v>
      </c>
      <c r="I67" s="60">
        <f>ONSV_AUX_2016!Y60</f>
        <v>150560</v>
      </c>
      <c r="J67" s="61">
        <f>I67-(L60*I57)</f>
        <v>150545.37793990201</v>
      </c>
      <c r="K67" s="11"/>
      <c r="L67" s="11"/>
      <c r="M67" s="11"/>
      <c r="N67" s="28" t="s">
        <v>146</v>
      </c>
      <c r="O67" s="60">
        <f>I58</f>
        <v>90797</v>
      </c>
      <c r="P67" s="76"/>
      <c r="Q67" s="48"/>
      <c r="R67" s="48"/>
      <c r="S67" s="48"/>
      <c r="T67" s="65" t="s">
        <v>154</v>
      </c>
      <c r="U67" s="68">
        <f>I66-J66</f>
        <v>33.482342185103334</v>
      </c>
      <c r="V67" s="48"/>
      <c r="W67" s="65" t="s">
        <v>155</v>
      </c>
      <c r="X67" s="67">
        <f>I70</f>
        <v>257703</v>
      </c>
    </row>
    <row r="68" spans="1:24" ht="15.75">
      <c r="H68" s="37" t="s">
        <v>108</v>
      </c>
      <c r="I68" s="60">
        <f>ONSV_AUX_2016!Y61</f>
        <v>11549</v>
      </c>
      <c r="J68" s="10">
        <f>I68</f>
        <v>11549</v>
      </c>
      <c r="K68" s="11"/>
      <c r="L68" s="11"/>
      <c r="M68" s="11"/>
      <c r="N68" s="28" t="s">
        <v>139</v>
      </c>
      <c r="O68" s="60">
        <f>IF(OR((O57*I55&gt;J63),((O66+O67+(O57*I55))&gt;J63)),(J63-O66-O67),(O57*I55))</f>
        <v>1626809.83715054</v>
      </c>
      <c r="P68" s="76"/>
      <c r="Q68" s="48"/>
      <c r="R68" s="78"/>
      <c r="S68" s="48"/>
      <c r="T68" s="65" t="s">
        <v>150</v>
      </c>
      <c r="U68" s="72">
        <f>R64</f>
        <v>245160.1192083277</v>
      </c>
      <c r="V68" s="48"/>
      <c r="W68" s="48"/>
      <c r="X68" s="48"/>
    </row>
    <row r="69" spans="1:24" ht="15.75">
      <c r="H69" s="37" t="s">
        <v>109</v>
      </c>
      <c r="I69" s="60">
        <f>ONSV_AUX_2016!Y62</f>
        <v>826058</v>
      </c>
      <c r="J69" s="10">
        <f>I69</f>
        <v>826058</v>
      </c>
      <c r="K69" s="11"/>
      <c r="L69" s="11"/>
      <c r="M69" s="11"/>
      <c r="N69" s="28" t="s">
        <v>151</v>
      </c>
      <c r="O69" s="60">
        <f>IF((J63-O66-O68-O67)&lt;0,0,(J63-O66-O68-O67))</f>
        <v>844309.43418924673</v>
      </c>
      <c r="P69" s="48"/>
      <c r="Q69" s="48"/>
      <c r="R69" s="48"/>
      <c r="S69" s="48"/>
      <c r="T69" s="48"/>
      <c r="U69" s="62"/>
      <c r="V69" s="48"/>
      <c r="W69" s="48"/>
      <c r="X69" s="48"/>
    </row>
    <row r="70" spans="1:24" ht="15.75">
      <c r="H70" s="37" t="s">
        <v>110</v>
      </c>
      <c r="I70" s="60">
        <f>ONSV_AUX_2016!Y63</f>
        <v>257703</v>
      </c>
      <c r="J70" s="10">
        <f>I70</f>
        <v>257703</v>
      </c>
      <c r="K70" s="11"/>
      <c r="L70" s="11"/>
      <c r="M70" s="11"/>
      <c r="O70" s="48"/>
      <c r="P70" s="76"/>
      <c r="Q70" s="48"/>
      <c r="R70" s="48"/>
      <c r="S70" s="48"/>
      <c r="T70" s="79" t="s">
        <v>156</v>
      </c>
      <c r="U70" s="80">
        <f>(SUM(U56:U68,X56:X67)/SUM(I63:I72))-1</f>
        <v>0</v>
      </c>
      <c r="V70" s="48"/>
      <c r="W70" s="79" t="s">
        <v>10</v>
      </c>
      <c r="X70" s="67">
        <f>SUM(U56:U68,X56:X67)</f>
        <v>4543717</v>
      </c>
    </row>
    <row r="71" spans="1:24" ht="15.75">
      <c r="H71" s="37" t="s">
        <v>111</v>
      </c>
      <c r="I71" s="60">
        <f>ONSV_AUX_2016!Y64</f>
        <v>18875</v>
      </c>
      <c r="J71" s="10">
        <f>I71</f>
        <v>18875</v>
      </c>
      <c r="K71" s="11"/>
      <c r="L71" s="11"/>
      <c r="M71" s="11"/>
      <c r="O71" s="48"/>
      <c r="P71" s="76"/>
      <c r="Q71" s="48"/>
      <c r="R71" s="48"/>
      <c r="S71" s="48"/>
      <c r="T71" s="48"/>
      <c r="U71" s="48"/>
      <c r="V71" s="48"/>
      <c r="W71" s="48"/>
      <c r="X71" s="48"/>
    </row>
    <row r="72" spans="1:24" ht="15.75">
      <c r="H72" s="37" t="s">
        <v>112</v>
      </c>
      <c r="I72" s="60">
        <f>ONSV_AUX_2016!Y65</f>
        <v>42906</v>
      </c>
      <c r="J72" s="61">
        <f>I72-(L61*I57)</f>
        <v>42901.833062496247</v>
      </c>
      <c r="K72" s="12"/>
      <c r="L72" s="12"/>
      <c r="M72" s="12"/>
      <c r="N72" s="12"/>
      <c r="O72" s="12"/>
      <c r="P72" s="12"/>
      <c r="Q72" s="4"/>
      <c r="R72" s="4"/>
    </row>
    <row r="75" spans="1:24" s="34" customFormat="1" ht="15.75">
      <c r="A75" s="101" t="str">
        <f>"SANTA CATARINA/"&amp;ONSV_AUX_2015!A1&amp;""</f>
        <v>SANTA CATARINA/2015</v>
      </c>
      <c r="B75" s="102"/>
      <c r="C75" s="102"/>
      <c r="D75" s="102"/>
      <c r="E75" s="102"/>
      <c r="F75" s="102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 spans="1:24"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>
      <c r="H77" s="23" t="s">
        <v>118</v>
      </c>
      <c r="P77" s="9"/>
    </row>
    <row r="78" spans="1:24" ht="15.75">
      <c r="J78" s="9"/>
      <c r="M78" s="25"/>
      <c r="P78" s="9"/>
    </row>
    <row r="79" spans="1:24" ht="15.75">
      <c r="H79" s="36" t="s">
        <v>81</v>
      </c>
      <c r="I79" s="60">
        <f>ONSV_AUX_2015!Y27</f>
        <v>133011</v>
      </c>
      <c r="J79" s="9"/>
      <c r="K79" s="104" t="s">
        <v>119</v>
      </c>
      <c r="L79" s="104"/>
      <c r="M79" s="9"/>
      <c r="N79" s="26" t="s">
        <v>120</v>
      </c>
      <c r="O79" s="26"/>
      <c r="Q79" s="26" t="s">
        <v>121</v>
      </c>
      <c r="R79" s="26"/>
      <c r="S79" s="26"/>
      <c r="T79" s="25" t="s">
        <v>122</v>
      </c>
      <c r="U79" s="25"/>
      <c r="V79" s="25"/>
      <c r="W79" s="25"/>
      <c r="X79" s="25"/>
    </row>
    <row r="80" spans="1:24" ht="15.75">
      <c r="H80" s="36" t="s">
        <v>84</v>
      </c>
      <c r="I80" s="60">
        <f>ONSV_AUX_2015!Y28</f>
        <v>1523522</v>
      </c>
      <c r="J80" s="9"/>
      <c r="K80" s="9"/>
      <c r="L80" s="9"/>
      <c r="M80" s="9"/>
      <c r="N80" s="9"/>
      <c r="O80" s="9"/>
      <c r="P80" s="20"/>
      <c r="Q80" s="11"/>
      <c r="R80" s="11"/>
      <c r="S80" s="11"/>
    </row>
    <row r="81" spans="8:24" ht="15.75">
      <c r="H81" s="36" t="s">
        <v>85</v>
      </c>
      <c r="I81" s="60">
        <f>ONSV_AUX_2015!Y29</f>
        <v>358140</v>
      </c>
      <c r="J81" s="9"/>
      <c r="K81" s="2" t="s">
        <v>123</v>
      </c>
      <c r="L81" s="60">
        <f>I88+I91+I92+I97</f>
        <v>3106557</v>
      </c>
      <c r="N81" s="28" t="s">
        <v>124</v>
      </c>
      <c r="O81" s="60">
        <f>J88+J97</f>
        <v>2641257.1831625816</v>
      </c>
      <c r="P81" s="64"/>
      <c r="Q81" s="65" t="s">
        <v>125</v>
      </c>
      <c r="R81" s="60">
        <f>J91+J92</f>
        <v>465064.81683741836</v>
      </c>
      <c r="S81" s="66"/>
      <c r="T81" s="65" t="s">
        <v>126</v>
      </c>
      <c r="U81" s="67">
        <f>O85</f>
        <v>21141.627105798052</v>
      </c>
      <c r="V81" s="48"/>
      <c r="W81" s="65" t="s">
        <v>127</v>
      </c>
      <c r="X81" s="68">
        <f>R87</f>
        <v>39760.015039776401</v>
      </c>
    </row>
    <row r="82" spans="8:24" ht="15.75">
      <c r="H82" s="36" t="s">
        <v>101</v>
      </c>
      <c r="I82" s="60">
        <f>ONSV_AUX_2015!Y30</f>
        <v>235</v>
      </c>
      <c r="J82" s="9"/>
      <c r="K82" s="27"/>
      <c r="L82" s="62"/>
      <c r="M82" s="20"/>
      <c r="N82" s="28" t="s">
        <v>128</v>
      </c>
      <c r="O82" s="69">
        <f>J88/O81</f>
        <v>0.98612318883101258</v>
      </c>
      <c r="P82" s="64"/>
      <c r="Q82" s="70" t="s">
        <v>129</v>
      </c>
      <c r="R82" s="63">
        <f>J91/R81</f>
        <v>0.70382498387443559</v>
      </c>
      <c r="S82" s="71"/>
      <c r="T82" s="65" t="s">
        <v>130</v>
      </c>
      <c r="U82" s="67">
        <f>I97-J97</f>
        <v>2.7728205212406465</v>
      </c>
      <c r="V82" s="48"/>
      <c r="W82" s="65" t="s">
        <v>131</v>
      </c>
      <c r="X82" s="68">
        <f>I92-J92</f>
        <v>10.420373744942481</v>
      </c>
    </row>
    <row r="83" spans="8:24" ht="15.75">
      <c r="H83" s="36" t="s">
        <v>16</v>
      </c>
      <c r="I83" s="60">
        <f>ONSV_AUX_2015!Y31</f>
        <v>91831</v>
      </c>
      <c r="J83" s="9"/>
      <c r="K83" s="2" t="s">
        <v>132</v>
      </c>
      <c r="L83" s="63">
        <f>I88/L81</f>
        <v>0.83848517828580005</v>
      </c>
      <c r="M83" s="20"/>
      <c r="N83" s="28" t="s">
        <v>133</v>
      </c>
      <c r="O83" s="69">
        <f>J97/O81</f>
        <v>1.3876811168987419E-2</v>
      </c>
      <c r="P83" s="64"/>
      <c r="Q83" s="70" t="s">
        <v>134</v>
      </c>
      <c r="R83" s="63">
        <f>J92/R81</f>
        <v>0.29617501612556446</v>
      </c>
      <c r="S83" s="71"/>
      <c r="T83" s="65" t="s">
        <v>135</v>
      </c>
      <c r="U83" s="72">
        <f>O87</f>
        <v>15510.600073680707</v>
      </c>
      <c r="V83" s="73"/>
      <c r="W83" s="65" t="s">
        <v>136</v>
      </c>
      <c r="X83" s="72">
        <f>R90</f>
        <v>97980.564586478664</v>
      </c>
    </row>
    <row r="84" spans="8:24" ht="15.75">
      <c r="H84" s="36" t="s">
        <v>94</v>
      </c>
      <c r="I84" s="60">
        <f>ONSV_AUX_2015!Y32</f>
        <v>2268756</v>
      </c>
      <c r="J84" s="10"/>
      <c r="K84" s="2" t="s">
        <v>2</v>
      </c>
      <c r="L84" s="63">
        <f>I91/L81</f>
        <v>0.10537356951763641</v>
      </c>
      <c r="M84" s="20"/>
      <c r="N84" s="20"/>
      <c r="O84" s="74"/>
      <c r="P84" s="48"/>
      <c r="Q84" s="48"/>
      <c r="R84" s="48"/>
      <c r="S84" s="48"/>
      <c r="T84" s="48"/>
      <c r="U84" s="62"/>
      <c r="V84" s="75"/>
      <c r="W84" s="48"/>
      <c r="X84" s="62"/>
    </row>
    <row r="85" spans="8:24" ht="15.75">
      <c r="K85" s="2" t="s">
        <v>3</v>
      </c>
      <c r="L85" s="63">
        <f>I92/L81</f>
        <v>4.4342015935970272E-2</v>
      </c>
      <c r="M85" s="20"/>
      <c r="N85" s="28" t="s">
        <v>137</v>
      </c>
      <c r="O85" s="60">
        <f>IF(O83*I80&gt;J97,J97,O83*I80)</f>
        <v>21141.627105798052</v>
      </c>
      <c r="P85" s="76"/>
      <c r="Q85" s="65" t="s">
        <v>138</v>
      </c>
      <c r="R85" s="60">
        <f>I81-I89-I90-I93-I96</f>
        <v>134245</v>
      </c>
      <c r="S85" s="77"/>
      <c r="T85" s="65" t="s">
        <v>139</v>
      </c>
      <c r="U85" s="67">
        <f>O93</f>
        <v>1502380.3728942019</v>
      </c>
      <c r="V85" s="76"/>
      <c r="W85" s="65" t="s">
        <v>140</v>
      </c>
      <c r="X85" s="67">
        <f>I89</f>
        <v>145738</v>
      </c>
    </row>
    <row r="86" spans="8:24" ht="15.75">
      <c r="H86" s="24" t="s">
        <v>141</v>
      </c>
      <c r="K86" s="2" t="s">
        <v>0</v>
      </c>
      <c r="L86" s="63">
        <f>I97/L81</f>
        <v>1.1799236260593319E-2</v>
      </c>
      <c r="O86" s="48"/>
      <c r="P86" s="76"/>
      <c r="Q86" s="65" t="s">
        <v>142</v>
      </c>
      <c r="R86" s="60">
        <f>R82*R85</f>
        <v>94484.984960223606</v>
      </c>
      <c r="S86" s="48"/>
      <c r="T86" s="65" t="s">
        <v>143</v>
      </c>
      <c r="U86" s="67">
        <f>O91</f>
        <v>133011</v>
      </c>
      <c r="V86" s="66"/>
      <c r="W86" s="65" t="s">
        <v>144</v>
      </c>
      <c r="X86" s="67">
        <f>I90</f>
        <v>48295</v>
      </c>
    </row>
    <row r="87" spans="8:24" ht="15.75">
      <c r="K87" s="11"/>
      <c r="L87" s="11"/>
      <c r="M87" s="11"/>
      <c r="N87" s="28" t="s">
        <v>145</v>
      </c>
      <c r="O87" s="60">
        <f>J97-O85</f>
        <v>15510.600073680707</v>
      </c>
      <c r="P87" s="76"/>
      <c r="Q87" s="65" t="s">
        <v>127</v>
      </c>
      <c r="R87" s="60">
        <f>R83*R85</f>
        <v>39760.015039776401</v>
      </c>
      <c r="S87" s="48"/>
      <c r="T87" s="65" t="s">
        <v>146</v>
      </c>
      <c r="U87" s="67">
        <f>O92</f>
        <v>91831</v>
      </c>
      <c r="V87" s="71"/>
      <c r="W87" s="48"/>
      <c r="X87" s="62"/>
    </row>
    <row r="88" spans="8:24" ht="15.75">
      <c r="H88" s="37" t="s">
        <v>103</v>
      </c>
      <c r="I88" s="60">
        <f>ONSV_AUX_2015!Y56</f>
        <v>2604802</v>
      </c>
      <c r="J88" s="61">
        <f>I88-(L83*I82)</f>
        <v>2604604.9559831028</v>
      </c>
      <c r="K88" s="11"/>
      <c r="L88" s="11"/>
      <c r="M88" s="11"/>
      <c r="O88" s="76"/>
      <c r="P88" s="76"/>
      <c r="Q88" s="48"/>
      <c r="R88" s="78"/>
      <c r="S88" s="48"/>
      <c r="T88" s="65" t="s">
        <v>147</v>
      </c>
      <c r="U88" s="68">
        <f>I88-J88</f>
        <v>197.04401689721271</v>
      </c>
      <c r="V88" s="71"/>
      <c r="W88" s="65" t="s">
        <v>148</v>
      </c>
      <c r="X88" s="67">
        <f>I96</f>
        <v>18578</v>
      </c>
    </row>
    <row r="89" spans="8:24" ht="15.75">
      <c r="H89" s="37" t="s">
        <v>104</v>
      </c>
      <c r="I89" s="60">
        <f>ONSV_AUX_2015!Y57</f>
        <v>145738</v>
      </c>
      <c r="J89" s="10">
        <f>I89</f>
        <v>145738</v>
      </c>
      <c r="K89" s="11"/>
      <c r="L89" s="11"/>
      <c r="M89" s="11"/>
      <c r="N89" s="26" t="s">
        <v>149</v>
      </c>
      <c r="O89" s="76"/>
      <c r="P89" s="76"/>
      <c r="Q89" s="65" t="s">
        <v>150</v>
      </c>
      <c r="R89" s="60">
        <f>J91-R86</f>
        <v>232839.25225093972</v>
      </c>
      <c r="S89" s="48"/>
      <c r="T89" s="65" t="s">
        <v>151</v>
      </c>
      <c r="U89" s="72">
        <f>O94</f>
        <v>877382.58308890089</v>
      </c>
      <c r="V89" s="48"/>
      <c r="W89" s="65" t="s">
        <v>152</v>
      </c>
      <c r="X89" s="67">
        <f>I93</f>
        <v>11284</v>
      </c>
    </row>
    <row r="90" spans="8:24" ht="15.75">
      <c r="H90" s="37" t="s">
        <v>105</v>
      </c>
      <c r="I90" s="60">
        <f>ONSV_AUX_2015!Y58</f>
        <v>48295</v>
      </c>
      <c r="J90" s="10">
        <f>I90</f>
        <v>48295</v>
      </c>
      <c r="K90" s="11"/>
      <c r="L90" s="11"/>
      <c r="M90" s="11"/>
      <c r="O90" s="73"/>
      <c r="P90" s="76"/>
      <c r="Q90" s="65" t="s">
        <v>136</v>
      </c>
      <c r="R90" s="60">
        <f>J92-R87</f>
        <v>97980.564586478664</v>
      </c>
      <c r="S90" s="48"/>
      <c r="T90" s="48"/>
      <c r="U90" s="62"/>
      <c r="V90" s="77"/>
      <c r="W90" s="48"/>
      <c r="X90" s="62"/>
    </row>
    <row r="91" spans="8:24" ht="15.75">
      <c r="H91" s="37" t="s">
        <v>106</v>
      </c>
      <c r="I91" s="60">
        <f>ONSV_AUX_2015!Y59</f>
        <v>327349</v>
      </c>
      <c r="J91" s="61">
        <f>I91-(L84*I82)</f>
        <v>327324.23721116333</v>
      </c>
      <c r="K91" s="11"/>
      <c r="L91" s="11"/>
      <c r="M91" s="11"/>
      <c r="N91" s="28" t="s">
        <v>143</v>
      </c>
      <c r="O91" s="60">
        <f>I79</f>
        <v>133011</v>
      </c>
      <c r="P91" s="76"/>
      <c r="Q91" s="48"/>
      <c r="R91" s="48"/>
      <c r="S91" s="77"/>
      <c r="T91" s="65" t="s">
        <v>142</v>
      </c>
      <c r="U91" s="68">
        <f>R86</f>
        <v>94484.984960223606</v>
      </c>
      <c r="V91" s="48"/>
      <c r="W91" s="65" t="s">
        <v>153</v>
      </c>
      <c r="X91" s="67">
        <f>I94</f>
        <v>804396</v>
      </c>
    </row>
    <row r="92" spans="8:24" ht="15.75">
      <c r="H92" s="37" t="s">
        <v>107</v>
      </c>
      <c r="I92" s="60">
        <f>ONSV_AUX_2015!Y60</f>
        <v>137751</v>
      </c>
      <c r="J92" s="61">
        <f>I92-(L85*I82)</f>
        <v>137740.57962625506</v>
      </c>
      <c r="K92" s="11"/>
      <c r="L92" s="11"/>
      <c r="M92" s="11"/>
      <c r="N92" s="28" t="s">
        <v>146</v>
      </c>
      <c r="O92" s="60">
        <f>I83</f>
        <v>91831</v>
      </c>
      <c r="P92" s="76"/>
      <c r="Q92" s="48"/>
      <c r="R92" s="48"/>
      <c r="S92" s="48"/>
      <c r="T92" s="65" t="s">
        <v>154</v>
      </c>
      <c r="U92" s="68">
        <f>I91-J91</f>
        <v>24.762788836669642</v>
      </c>
      <c r="V92" s="48"/>
      <c r="W92" s="65" t="s">
        <v>155</v>
      </c>
      <c r="X92" s="67">
        <f>I95</f>
        <v>250439</v>
      </c>
    </row>
    <row r="93" spans="8:24" ht="15.75">
      <c r="H93" s="37" t="s">
        <v>108</v>
      </c>
      <c r="I93" s="60">
        <f>ONSV_AUX_2015!Y61</f>
        <v>11284</v>
      </c>
      <c r="J93" s="10">
        <f>I93</f>
        <v>11284</v>
      </c>
      <c r="K93" s="11"/>
      <c r="L93" s="11"/>
      <c r="M93" s="11"/>
      <c r="N93" s="28" t="s">
        <v>139</v>
      </c>
      <c r="O93" s="60">
        <f>IF(OR((O82*I80&gt;J88),((O91+O92+(O82*I80))&gt;J88)),(J88-O91-O92),(O82*I80))</f>
        <v>1502380.3728942019</v>
      </c>
      <c r="P93" s="76"/>
      <c r="Q93" s="48"/>
      <c r="R93" s="78"/>
      <c r="S93" s="48"/>
      <c r="T93" s="65" t="s">
        <v>150</v>
      </c>
      <c r="U93" s="72">
        <f>R89</f>
        <v>232839.25225093972</v>
      </c>
      <c r="V93" s="48"/>
      <c r="W93" s="48"/>
      <c r="X93" s="48"/>
    </row>
    <row r="94" spans="8:24" ht="15.75">
      <c r="H94" s="37" t="s">
        <v>109</v>
      </c>
      <c r="I94" s="60">
        <f>ONSV_AUX_2015!Y62</f>
        <v>804396</v>
      </c>
      <c r="J94" s="10">
        <f>I94</f>
        <v>804396</v>
      </c>
      <c r="K94" s="11"/>
      <c r="L94" s="11"/>
      <c r="M94" s="11"/>
      <c r="N94" s="28" t="s">
        <v>151</v>
      </c>
      <c r="O94" s="60">
        <f>IF((J88-O91-O93-O92)&lt;0,0,(J88-O91-O93-O92))</f>
        <v>877382.58308890089</v>
      </c>
      <c r="P94" s="48"/>
      <c r="Q94" s="48"/>
      <c r="R94" s="48"/>
      <c r="S94" s="48"/>
      <c r="T94" s="48"/>
      <c r="U94" s="62"/>
      <c r="V94" s="48"/>
      <c r="W94" s="48"/>
      <c r="X94" s="48"/>
    </row>
    <row r="95" spans="8:24" ht="15.75">
      <c r="H95" s="37" t="s">
        <v>110</v>
      </c>
      <c r="I95" s="60">
        <f>ONSV_AUX_2015!Y63</f>
        <v>250439</v>
      </c>
      <c r="J95" s="10">
        <f>I95</f>
        <v>250439</v>
      </c>
      <c r="K95" s="11"/>
      <c r="L95" s="11"/>
      <c r="M95" s="11"/>
      <c r="O95" s="48"/>
      <c r="P95" s="76"/>
      <c r="Q95" s="48"/>
      <c r="R95" s="48"/>
      <c r="S95" s="48"/>
      <c r="T95" s="79" t="s">
        <v>156</v>
      </c>
      <c r="U95" s="80">
        <f>(SUM(U81:U93,X81:X92)/SUM(I88:I97))-1</f>
        <v>0</v>
      </c>
      <c r="V95" s="48"/>
      <c r="W95" s="79" t="s">
        <v>10</v>
      </c>
      <c r="X95" s="67">
        <f>SUM(U81:U93,X81:X92)</f>
        <v>4385287</v>
      </c>
    </row>
    <row r="96" spans="8:24" ht="15.75">
      <c r="H96" s="37" t="s">
        <v>111</v>
      </c>
      <c r="I96" s="60">
        <f>ONSV_AUX_2015!Y64</f>
        <v>18578</v>
      </c>
      <c r="J96" s="10">
        <f>I96</f>
        <v>18578</v>
      </c>
      <c r="K96" s="11"/>
      <c r="L96" s="11"/>
      <c r="M96" s="11"/>
      <c r="O96" s="48"/>
      <c r="P96" s="76"/>
      <c r="Q96" s="48"/>
      <c r="R96" s="48"/>
      <c r="S96" s="48"/>
      <c r="T96" s="48"/>
      <c r="U96" s="48"/>
      <c r="V96" s="48"/>
      <c r="W96" s="48"/>
      <c r="X96" s="48"/>
    </row>
    <row r="97" spans="1:24" ht="15.75">
      <c r="H97" s="37" t="s">
        <v>112</v>
      </c>
      <c r="I97" s="60">
        <f>ONSV_AUX_2015!Y65</f>
        <v>36655</v>
      </c>
      <c r="J97" s="61">
        <f>I97-(L86*I82)</f>
        <v>36652.227179478759</v>
      </c>
      <c r="K97" s="12"/>
      <c r="L97" s="12"/>
      <c r="M97" s="12"/>
      <c r="N97" s="12"/>
      <c r="O97" s="12"/>
      <c r="P97" s="12"/>
      <c r="Q97" s="4"/>
      <c r="R97" s="4"/>
    </row>
    <row r="98" spans="1:24" ht="15.75">
      <c r="I98" s="40"/>
      <c r="J98" s="21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4" ht="15.75">
      <c r="I99" s="40"/>
      <c r="J99" s="21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4" s="34" customFormat="1" ht="15.75">
      <c r="A100" s="101" t="str">
        <f>"SANTA CATARINA/"&amp;ONSV_AUX_2014!A1&amp;""</f>
        <v>SANTA CATARINA/2014</v>
      </c>
      <c r="B100" s="102"/>
      <c r="C100" s="102"/>
      <c r="D100" s="102"/>
      <c r="E100" s="102"/>
      <c r="F100" s="102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</row>
    <row r="101" spans="1:24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>
      <c r="H102" s="23" t="s">
        <v>118</v>
      </c>
      <c r="N102" s="26"/>
      <c r="O102" s="26"/>
      <c r="P102" s="9"/>
      <c r="Q102" s="26"/>
      <c r="R102" s="26"/>
      <c r="S102" s="26"/>
      <c r="T102" s="25"/>
      <c r="U102" s="25"/>
      <c r="V102" s="25"/>
      <c r="W102" s="25"/>
      <c r="X102" s="25"/>
    </row>
    <row r="103" spans="1:24" ht="15.75">
      <c r="J103" s="9"/>
      <c r="M103" s="25"/>
      <c r="N103" s="9"/>
      <c r="O103" s="9"/>
      <c r="P103" s="9"/>
      <c r="Q103" s="11"/>
      <c r="R103" s="11"/>
      <c r="S103" s="11"/>
    </row>
    <row r="104" spans="1:24" ht="15.75">
      <c r="H104" s="36" t="s">
        <v>81</v>
      </c>
      <c r="I104" s="60">
        <f>ONSV_AUX_2014!Y27</f>
        <v>133475</v>
      </c>
      <c r="J104" s="9"/>
      <c r="K104" s="104" t="s">
        <v>119</v>
      </c>
      <c r="L104" s="104"/>
      <c r="M104" s="9"/>
      <c r="N104" s="26" t="s">
        <v>120</v>
      </c>
      <c r="O104" s="26"/>
      <c r="Q104" s="26" t="s">
        <v>121</v>
      </c>
      <c r="R104" s="26"/>
      <c r="S104" s="26"/>
      <c r="T104" s="25" t="s">
        <v>122</v>
      </c>
      <c r="U104" s="25"/>
      <c r="V104" s="25"/>
      <c r="W104" s="25"/>
      <c r="X104" s="25"/>
    </row>
    <row r="105" spans="1:24" ht="15.75">
      <c r="H105" s="36" t="s">
        <v>84</v>
      </c>
      <c r="I105" s="60">
        <f>ONSV_AUX_2014!Y28</f>
        <v>1344984</v>
      </c>
      <c r="J105" s="9"/>
      <c r="K105" s="9"/>
      <c r="L105" s="9"/>
      <c r="M105" s="9"/>
      <c r="N105" s="9"/>
      <c r="O105" s="9"/>
      <c r="P105" s="20"/>
      <c r="Q105" s="11"/>
      <c r="R105" s="11"/>
      <c r="S105" s="11"/>
    </row>
    <row r="106" spans="1:24" ht="15.75">
      <c r="H106" s="36" t="s">
        <v>85</v>
      </c>
      <c r="I106" s="60">
        <f>ONSV_AUX_2014!Y29</f>
        <v>341879</v>
      </c>
      <c r="J106" s="9"/>
      <c r="K106" s="2" t="s">
        <v>123</v>
      </c>
      <c r="L106" s="60">
        <f>I113+I116+I117+I122</f>
        <v>2944116</v>
      </c>
      <c r="N106" s="28" t="s">
        <v>124</v>
      </c>
      <c r="O106" s="60">
        <f>J113+J122</f>
        <v>2516955.4518571957</v>
      </c>
      <c r="P106" s="64"/>
      <c r="Q106" s="65" t="s">
        <v>125</v>
      </c>
      <c r="R106" s="60">
        <f>J116+J117</f>
        <v>427019.54814280418</v>
      </c>
      <c r="S106" s="66"/>
      <c r="T106" s="65" t="s">
        <v>126</v>
      </c>
      <c r="U106" s="67">
        <f>O110</f>
        <v>16640.535179708517</v>
      </c>
      <c r="V106" s="48"/>
      <c r="W106" s="65" t="s">
        <v>127</v>
      </c>
      <c r="X106" s="68">
        <f>R112</f>
        <v>36567.057662045707</v>
      </c>
    </row>
    <row r="107" spans="1:24" ht="15.75">
      <c r="H107" s="36" t="s">
        <v>101</v>
      </c>
      <c r="I107" s="60">
        <f>ONSV_AUX_2014!Y30</f>
        <v>141</v>
      </c>
      <c r="J107" s="9"/>
      <c r="K107" s="27"/>
      <c r="L107" s="62"/>
      <c r="M107" s="20"/>
      <c r="N107" s="28" t="s">
        <v>128</v>
      </c>
      <c r="O107" s="69">
        <f>J113/O106</f>
        <v>0.98762770770528974</v>
      </c>
      <c r="P107" s="64"/>
      <c r="Q107" s="70" t="s">
        <v>129</v>
      </c>
      <c r="R107" s="63">
        <f>J116/R106</f>
        <v>0.70778147246159606</v>
      </c>
      <c r="S107" s="71"/>
      <c r="T107" s="65" t="s">
        <v>130</v>
      </c>
      <c r="U107" s="67">
        <f>I122-J122</f>
        <v>1.4914568583590153</v>
      </c>
      <c r="V107" s="48"/>
      <c r="W107" s="65" t="s">
        <v>131</v>
      </c>
      <c r="X107" s="68">
        <f>I117-J117</f>
        <v>5.9764115951984422</v>
      </c>
    </row>
    <row r="108" spans="1:24" ht="15.75">
      <c r="H108" s="36" t="s">
        <v>16</v>
      </c>
      <c r="I108" s="60">
        <f>ONSV_AUX_2014!Y31</f>
        <v>93435</v>
      </c>
      <c r="J108" s="9"/>
      <c r="K108" s="2" t="s">
        <v>132</v>
      </c>
      <c r="L108" s="63">
        <f>I113/L106</f>
        <v>0.84437365919005913</v>
      </c>
      <c r="M108" s="20"/>
      <c r="N108" s="28" t="s">
        <v>133</v>
      </c>
      <c r="O108" s="69">
        <f>J122/O106</f>
        <v>1.2372292294710211E-2</v>
      </c>
      <c r="P108" s="64"/>
      <c r="Q108" s="70" t="s">
        <v>134</v>
      </c>
      <c r="R108" s="63">
        <f>J117/R106</f>
        <v>0.29221852753840388</v>
      </c>
      <c r="S108" s="71"/>
      <c r="T108" s="65" t="s">
        <v>135</v>
      </c>
      <c r="U108" s="72">
        <f>O112</f>
        <v>14499.973363433124</v>
      </c>
      <c r="V108" s="73"/>
      <c r="W108" s="65" t="s">
        <v>136</v>
      </c>
      <c r="X108" s="72">
        <f>R115</f>
        <v>88215.965926359087</v>
      </c>
    </row>
    <row r="109" spans="1:24" ht="15.75">
      <c r="H109" s="36" t="s">
        <v>94</v>
      </c>
      <c r="I109" s="60">
        <f>ONSV_AUX_2014!Y32</f>
        <v>2253772</v>
      </c>
      <c r="J109" s="10"/>
      <c r="K109" s="2" t="s">
        <v>2</v>
      </c>
      <c r="L109" s="63">
        <f>I116/L106</f>
        <v>0.10266273475637509</v>
      </c>
      <c r="M109" s="20"/>
      <c r="N109" s="20"/>
      <c r="O109" s="74"/>
      <c r="P109" s="48"/>
      <c r="Q109" s="48"/>
      <c r="R109" s="48"/>
      <c r="S109" s="48"/>
      <c r="T109" s="48"/>
      <c r="U109" s="62"/>
      <c r="V109" s="75"/>
      <c r="W109" s="48"/>
      <c r="X109" s="62"/>
    </row>
    <row r="110" spans="1:24" ht="15.75">
      <c r="K110" s="2" t="s">
        <v>3</v>
      </c>
      <c r="L110" s="63">
        <f>I117/L106</f>
        <v>4.2385897838264526E-2</v>
      </c>
      <c r="M110" s="20"/>
      <c r="N110" s="28" t="s">
        <v>137</v>
      </c>
      <c r="O110" s="60">
        <f>IF(O108*I105&gt;J122,J122,O108*I105)</f>
        <v>16640.535179708517</v>
      </c>
      <c r="P110" s="76"/>
      <c r="Q110" s="65" t="s">
        <v>138</v>
      </c>
      <c r="R110" s="60">
        <f>I106-I114-I115-I118-I121</f>
        <v>125136</v>
      </c>
      <c r="S110" s="77"/>
      <c r="T110" s="65" t="s">
        <v>139</v>
      </c>
      <c r="U110" s="67">
        <f>O118</f>
        <v>1328343.4648202914</v>
      </c>
      <c r="V110" s="76"/>
      <c r="W110" s="65" t="s">
        <v>140</v>
      </c>
      <c r="X110" s="67">
        <f>I114</f>
        <v>141717</v>
      </c>
    </row>
    <row r="111" spans="1:24" ht="15.75">
      <c r="H111" s="24" t="s">
        <v>141</v>
      </c>
      <c r="K111" s="2" t="s">
        <v>0</v>
      </c>
      <c r="L111" s="63">
        <f>I122/L106</f>
        <v>1.0577708215301299E-2</v>
      </c>
      <c r="O111" s="48"/>
      <c r="P111" s="76"/>
      <c r="Q111" s="65" t="s">
        <v>142</v>
      </c>
      <c r="R111" s="60">
        <f>R107*R110</f>
        <v>88568.942337954286</v>
      </c>
      <c r="S111" s="48"/>
      <c r="T111" s="65" t="s">
        <v>143</v>
      </c>
      <c r="U111" s="67">
        <f>O116</f>
        <v>133475</v>
      </c>
      <c r="V111" s="66"/>
      <c r="W111" s="65" t="s">
        <v>144</v>
      </c>
      <c r="X111" s="67">
        <f>I115</f>
        <v>46476</v>
      </c>
    </row>
    <row r="112" spans="1:24" ht="15.75">
      <c r="K112" s="11"/>
      <c r="L112" s="11"/>
      <c r="M112" s="11"/>
      <c r="N112" s="28" t="s">
        <v>145</v>
      </c>
      <c r="O112" s="60">
        <f>J122-O110</f>
        <v>14499.973363433124</v>
      </c>
      <c r="P112" s="76"/>
      <c r="Q112" s="65" t="s">
        <v>127</v>
      </c>
      <c r="R112" s="60">
        <f>R108*R110</f>
        <v>36567.057662045707</v>
      </c>
      <c r="S112" s="48"/>
      <c r="T112" s="65" t="s">
        <v>146</v>
      </c>
      <c r="U112" s="67">
        <f>O117</f>
        <v>93435</v>
      </c>
      <c r="V112" s="71"/>
      <c r="W112" s="48"/>
      <c r="X112" s="62"/>
    </row>
    <row r="113" spans="8:24" ht="15.75">
      <c r="H113" s="37" t="s">
        <v>103</v>
      </c>
      <c r="I113" s="60">
        <f>ONSV_AUX_2014!Y56</f>
        <v>2485934</v>
      </c>
      <c r="J113" s="61">
        <f>I113-(L108*I107)</f>
        <v>2485814.943314054</v>
      </c>
      <c r="K113" s="11"/>
      <c r="L113" s="11"/>
      <c r="M113" s="11"/>
      <c r="O113" s="76"/>
      <c r="P113" s="76"/>
      <c r="Q113" s="48"/>
      <c r="R113" s="78"/>
      <c r="S113" s="48"/>
      <c r="T113" s="65" t="s">
        <v>147</v>
      </c>
      <c r="U113" s="68">
        <f>I113-J113</f>
        <v>119.05668594595045</v>
      </c>
      <c r="V113" s="71"/>
      <c r="W113" s="65" t="s">
        <v>148</v>
      </c>
      <c r="X113" s="67">
        <f>I121</f>
        <v>17835</v>
      </c>
    </row>
    <row r="114" spans="8:24" ht="15.75">
      <c r="H114" s="37" t="s">
        <v>104</v>
      </c>
      <c r="I114" s="60">
        <f>ONSV_AUX_2014!Y57</f>
        <v>141717</v>
      </c>
      <c r="J114" s="10">
        <f>I114</f>
        <v>141717</v>
      </c>
      <c r="K114" s="11"/>
      <c r="L114" s="11"/>
      <c r="M114" s="11"/>
      <c r="N114" s="26" t="s">
        <v>149</v>
      </c>
      <c r="O114" s="76"/>
      <c r="P114" s="76"/>
      <c r="Q114" s="65" t="s">
        <v>150</v>
      </c>
      <c r="R114" s="60">
        <f>J116-R111</f>
        <v>213667.58221644507</v>
      </c>
      <c r="S114" s="48"/>
      <c r="T114" s="65" t="s">
        <v>151</v>
      </c>
      <c r="U114" s="72">
        <f>O119</f>
        <v>930561.47849376267</v>
      </c>
      <c r="V114" s="48"/>
      <c r="W114" s="65" t="s">
        <v>152</v>
      </c>
      <c r="X114" s="67">
        <f>I118</f>
        <v>10715</v>
      </c>
    </row>
    <row r="115" spans="8:24" ht="15.75">
      <c r="H115" s="37" t="s">
        <v>105</v>
      </c>
      <c r="I115" s="60">
        <f>ONSV_AUX_2014!Y58</f>
        <v>46476</v>
      </c>
      <c r="J115" s="10">
        <f>I115</f>
        <v>46476</v>
      </c>
      <c r="K115" s="11"/>
      <c r="L115" s="11"/>
      <c r="M115" s="11"/>
      <c r="O115" s="73"/>
      <c r="P115" s="76"/>
      <c r="Q115" s="65" t="s">
        <v>136</v>
      </c>
      <c r="R115" s="60">
        <f>J117-R112</f>
        <v>88215.965926359087</v>
      </c>
      <c r="S115" s="48"/>
      <c r="T115" s="48"/>
      <c r="U115" s="62"/>
      <c r="V115" s="77"/>
      <c r="W115" s="48"/>
      <c r="X115" s="62"/>
    </row>
    <row r="116" spans="8:24" ht="15.75">
      <c r="H116" s="37" t="s">
        <v>106</v>
      </c>
      <c r="I116" s="60">
        <f>ONSV_AUX_2014!Y59</f>
        <v>302251</v>
      </c>
      <c r="J116" s="61">
        <f>I116-(L109*I107)</f>
        <v>302236.52455439937</v>
      </c>
      <c r="K116" s="11"/>
      <c r="L116" s="11"/>
      <c r="M116" s="11"/>
      <c r="N116" s="28" t="s">
        <v>143</v>
      </c>
      <c r="O116" s="60">
        <f>I104</f>
        <v>133475</v>
      </c>
      <c r="P116" s="76"/>
      <c r="Q116" s="48"/>
      <c r="R116" s="48"/>
      <c r="S116" s="77"/>
      <c r="T116" s="65" t="s">
        <v>142</v>
      </c>
      <c r="U116" s="68">
        <f>R111</f>
        <v>88568.942337954286</v>
      </c>
      <c r="V116" s="48"/>
      <c r="W116" s="65" t="s">
        <v>153</v>
      </c>
      <c r="X116" s="67">
        <f>I119</f>
        <v>777224</v>
      </c>
    </row>
    <row r="117" spans="8:24" ht="15.75">
      <c r="H117" s="37" t="s">
        <v>107</v>
      </c>
      <c r="I117" s="60">
        <f>ONSV_AUX_2014!Y60</f>
        <v>124789</v>
      </c>
      <c r="J117" s="61">
        <f>I117-(L110*I107)</f>
        <v>124783.0235884048</v>
      </c>
      <c r="K117" s="11"/>
      <c r="L117" s="11"/>
      <c r="M117" s="11"/>
      <c r="N117" s="28" t="s">
        <v>146</v>
      </c>
      <c r="O117" s="60">
        <f>I108</f>
        <v>93435</v>
      </c>
      <c r="P117" s="76"/>
      <c r="Q117" s="48"/>
      <c r="R117" s="48"/>
      <c r="S117" s="48"/>
      <c r="T117" s="65" t="s">
        <v>154</v>
      </c>
      <c r="U117" s="68">
        <f>I116-J116</f>
        <v>14.475445600633975</v>
      </c>
      <c r="V117" s="48"/>
      <c r="W117" s="65" t="s">
        <v>155</v>
      </c>
      <c r="X117" s="67">
        <f>I120</f>
        <v>238495</v>
      </c>
    </row>
    <row r="118" spans="8:24" ht="15.75">
      <c r="H118" s="37" t="s">
        <v>108</v>
      </c>
      <c r="I118" s="60">
        <f>ONSV_AUX_2014!Y61</f>
        <v>10715</v>
      </c>
      <c r="J118" s="10">
        <f>I118</f>
        <v>10715</v>
      </c>
      <c r="K118" s="11"/>
      <c r="L118" s="11"/>
      <c r="M118" s="11"/>
      <c r="N118" s="28" t="s">
        <v>139</v>
      </c>
      <c r="O118" s="60">
        <f>IF(OR((O107*I105&gt;J113),((O116+O117+(O107*I105))&gt;J113)),(J113-O116-O117),(O107*I105))</f>
        <v>1328343.4648202914</v>
      </c>
      <c r="P118" s="76"/>
      <c r="Q118" s="48"/>
      <c r="R118" s="78"/>
      <c r="S118" s="48"/>
      <c r="T118" s="65" t="s">
        <v>150</v>
      </c>
      <c r="U118" s="72">
        <f>R114</f>
        <v>213667.58221644507</v>
      </c>
      <c r="V118" s="48"/>
      <c r="W118" s="48"/>
      <c r="X118" s="48"/>
    </row>
    <row r="119" spans="8:24" ht="15.75">
      <c r="H119" s="37" t="s">
        <v>109</v>
      </c>
      <c r="I119" s="60">
        <f>ONSV_AUX_2014!Y62</f>
        <v>777224</v>
      </c>
      <c r="J119" s="10">
        <f>I119</f>
        <v>777224</v>
      </c>
      <c r="K119" s="11"/>
      <c r="L119" s="11"/>
      <c r="M119" s="11"/>
      <c r="N119" s="28" t="s">
        <v>151</v>
      </c>
      <c r="O119" s="60">
        <f>IF((J113-O116-O118-O117)&lt;0,0,(J113-O116-O118-O117))</f>
        <v>930561.47849376267</v>
      </c>
      <c r="P119" s="48"/>
      <c r="Q119" s="48"/>
      <c r="R119" s="48"/>
      <c r="S119" s="48"/>
      <c r="T119" s="48"/>
      <c r="U119" s="62"/>
      <c r="V119" s="48"/>
      <c r="W119" s="48"/>
      <c r="X119" s="48"/>
    </row>
    <row r="120" spans="8:24" ht="15.75">
      <c r="H120" s="37" t="s">
        <v>110</v>
      </c>
      <c r="I120" s="60">
        <f>ONSV_AUX_2014!Y63</f>
        <v>238495</v>
      </c>
      <c r="J120" s="10">
        <f>I120</f>
        <v>238495</v>
      </c>
      <c r="K120" s="11"/>
      <c r="L120" s="11"/>
      <c r="M120" s="11"/>
      <c r="O120" s="48"/>
      <c r="P120" s="76"/>
      <c r="Q120" s="48"/>
      <c r="R120" s="48"/>
      <c r="S120" s="48"/>
      <c r="T120" s="79" t="s">
        <v>156</v>
      </c>
      <c r="U120" s="80">
        <f>(SUM(U106:U118,X106:X117)/SUM(I113:I122))-1</f>
        <v>0</v>
      </c>
      <c r="V120" s="48"/>
      <c r="W120" s="79" t="s">
        <v>10</v>
      </c>
      <c r="X120" s="67">
        <f>SUM(U106:U118,X106:X117)</f>
        <v>4176577.9999999995</v>
      </c>
    </row>
    <row r="121" spans="8:24" ht="15.75">
      <c r="H121" s="37" t="s">
        <v>111</v>
      </c>
      <c r="I121" s="60">
        <f>ONSV_AUX_2014!Y64</f>
        <v>17835</v>
      </c>
      <c r="J121" s="10">
        <f>I121</f>
        <v>17835</v>
      </c>
      <c r="K121" s="11"/>
      <c r="L121" s="11"/>
      <c r="M121" s="11"/>
      <c r="O121" s="48"/>
      <c r="P121" s="76"/>
      <c r="Q121" s="48"/>
      <c r="R121" s="48"/>
      <c r="S121" s="48"/>
      <c r="T121" s="48"/>
      <c r="U121" s="48"/>
      <c r="V121" s="48"/>
      <c r="W121" s="48"/>
      <c r="X121" s="48"/>
    </row>
    <row r="122" spans="8:24" ht="15.75">
      <c r="H122" s="37" t="s">
        <v>112</v>
      </c>
      <c r="I122" s="60">
        <f>ONSV_AUX_2014!Y65</f>
        <v>31142</v>
      </c>
      <c r="J122" s="61">
        <f>I122-(L111*I107)</f>
        <v>31140.508543141641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A1:F1"/>
    <mergeCell ref="Q4:R4"/>
    <mergeCell ref="T4:X4"/>
    <mergeCell ref="K5:L5"/>
    <mergeCell ref="A25:F25"/>
    <mergeCell ref="T27:X27"/>
    <mergeCell ref="T52:X52"/>
    <mergeCell ref="K79:L79"/>
    <mergeCell ref="A100:F100"/>
    <mergeCell ref="K104:L104"/>
    <mergeCell ref="K29:L29"/>
    <mergeCell ref="A50:F50"/>
    <mergeCell ref="A75:F75"/>
    <mergeCell ref="K54:L5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9" tint="0.39997558519241921"/>
  </sheetPr>
  <dimension ref="A1:X122"/>
  <sheetViews>
    <sheetView showGridLines="0" zoomScale="90" zoomScaleNormal="90" workbookViewId="0">
      <selection activeCell="A101" sqref="A101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  <col min="27" max="28" width="10" bestFit="1" customWidth="1"/>
    <col min="30" max="30" width="10" bestFit="1" customWidth="1"/>
  </cols>
  <sheetData>
    <row r="1" spans="1:24" s="31" customFormat="1" ht="15.75">
      <c r="A1" s="101" t="str">
        <f>"SÃO PAULO/"&amp;ONSV_AUX_2018!A1&amp;""</f>
        <v>SÃO PAULO/2018</v>
      </c>
      <c r="B1" s="102"/>
      <c r="C1" s="102"/>
      <c r="D1" s="102"/>
      <c r="E1" s="102"/>
      <c r="F1" s="102"/>
    </row>
    <row r="2" spans="1:24" s="4" customFormat="1" ht="15.75">
      <c r="A2" s="32"/>
      <c r="B2" s="32"/>
      <c r="C2" s="32"/>
      <c r="D2" s="32"/>
      <c r="E2" s="32"/>
      <c r="F2" s="32"/>
    </row>
    <row r="3" spans="1:24" ht="15.75">
      <c r="A3" s="12"/>
      <c r="H3" s="23" t="s">
        <v>118</v>
      </c>
    </row>
    <row r="4" spans="1:24" ht="15.75">
      <c r="B4" s="5"/>
      <c r="J4" s="9"/>
      <c r="M4" s="25"/>
      <c r="N4" s="25"/>
      <c r="O4" s="25"/>
      <c r="P4" s="25"/>
      <c r="Q4" s="103"/>
      <c r="R4" s="103"/>
      <c r="S4" s="22"/>
      <c r="T4" s="104"/>
      <c r="U4" s="104"/>
      <c r="V4" s="104"/>
      <c r="W4" s="104"/>
      <c r="X4" s="104"/>
    </row>
    <row r="5" spans="1:24" ht="15.75">
      <c r="H5" s="36" t="s">
        <v>81</v>
      </c>
      <c r="I5" s="60">
        <f>ONSV_AUX_2018!Z27</f>
        <v>1834514</v>
      </c>
      <c r="J5" s="9"/>
      <c r="K5" s="104" t="s">
        <v>119</v>
      </c>
      <c r="L5" s="104"/>
      <c r="M5" s="9"/>
      <c r="N5" s="26" t="s">
        <v>120</v>
      </c>
      <c r="O5" s="26"/>
      <c r="Q5" s="26" t="s">
        <v>121</v>
      </c>
      <c r="R5" s="26"/>
      <c r="S5" s="26"/>
      <c r="T5" s="25" t="s">
        <v>122</v>
      </c>
      <c r="U5" s="25"/>
      <c r="V5" s="25"/>
      <c r="W5" s="25"/>
      <c r="X5" s="25"/>
    </row>
    <row r="6" spans="1:24" ht="15.75">
      <c r="H6" s="36" t="s">
        <v>84</v>
      </c>
      <c r="I6" s="60">
        <f>ONSV_AUX_2018!Z28</f>
        <v>10416380</v>
      </c>
      <c r="J6" s="9"/>
      <c r="K6" s="9"/>
      <c r="L6" s="9"/>
      <c r="M6" s="9"/>
      <c r="N6" s="9"/>
      <c r="O6" s="9"/>
      <c r="P6" s="20"/>
      <c r="Q6" s="11"/>
      <c r="R6" s="11"/>
      <c r="S6" s="11"/>
    </row>
    <row r="7" spans="1:24" ht="15.75">
      <c r="H7" s="36" t="s">
        <v>85</v>
      </c>
      <c r="I7" s="60">
        <f>ONSV_AUX_2018!Z29</f>
        <v>1753140</v>
      </c>
      <c r="J7" s="9"/>
      <c r="K7" s="2" t="s">
        <v>123</v>
      </c>
      <c r="L7" s="60">
        <f>I14+I17+I18+I23</f>
        <v>21397348</v>
      </c>
      <c r="N7" s="28" t="s">
        <v>124</v>
      </c>
      <c r="O7" s="60">
        <f>J14+J23</f>
        <v>18267537.65568345</v>
      </c>
      <c r="P7" s="64"/>
      <c r="Q7" s="65" t="s">
        <v>125</v>
      </c>
      <c r="R7" s="60">
        <f>J17+J18</f>
        <v>3125089.3443165477</v>
      </c>
      <c r="S7" s="66"/>
      <c r="T7" s="65" t="s">
        <v>126</v>
      </c>
      <c r="U7" s="67">
        <f>O11</f>
        <v>152358.54331393217</v>
      </c>
      <c r="V7" s="48"/>
      <c r="W7" s="65" t="s">
        <v>127</v>
      </c>
      <c r="X7" s="68">
        <f>R13</f>
        <v>240062.92273638031</v>
      </c>
    </row>
    <row r="8" spans="1:24" ht="15.75">
      <c r="H8" s="36" t="s">
        <v>101</v>
      </c>
      <c r="I8" s="60">
        <f>ONSV_AUX_2018!Z30</f>
        <v>4721</v>
      </c>
      <c r="J8" s="9"/>
      <c r="K8" s="27"/>
      <c r="L8" s="62"/>
      <c r="M8" s="20"/>
      <c r="N8" s="28" t="s">
        <v>128</v>
      </c>
      <c r="O8" s="69">
        <f>J14/O7</f>
        <v>0.98537317731170215</v>
      </c>
      <c r="P8" s="64"/>
      <c r="Q8" s="70" t="s">
        <v>129</v>
      </c>
      <c r="R8" s="63">
        <f>J17/R7</f>
        <v>0.61778775786771878</v>
      </c>
      <c r="S8" s="71"/>
      <c r="T8" s="65" t="s">
        <v>130</v>
      </c>
      <c r="U8" s="67">
        <f>I23-J23</f>
        <v>58.965758513601031</v>
      </c>
      <c r="V8" s="48"/>
      <c r="W8" s="65" t="s">
        <v>131</v>
      </c>
      <c r="X8" s="68">
        <f>I18-J18</f>
        <v>263.59484507143497</v>
      </c>
    </row>
    <row r="9" spans="1:24" ht="15.75">
      <c r="H9" s="36" t="s">
        <v>16</v>
      </c>
      <c r="I9" s="60">
        <f>ONSV_AUX_2018!Z31</f>
        <v>278474</v>
      </c>
      <c r="J9" s="9"/>
      <c r="K9" s="2" t="s">
        <v>132</v>
      </c>
      <c r="L9" s="63">
        <f>I14/L7</f>
        <v>0.84142735819410897</v>
      </c>
      <c r="M9" s="20"/>
      <c r="N9" s="28" t="s">
        <v>133</v>
      </c>
      <c r="O9" s="69">
        <f>J23/O7</f>
        <v>1.4626822688297871E-2</v>
      </c>
      <c r="P9" s="64"/>
      <c r="Q9" s="70" t="s">
        <v>134</v>
      </c>
      <c r="R9" s="63">
        <f>J18/R7</f>
        <v>0.38221224213228133</v>
      </c>
      <c r="S9" s="71"/>
      <c r="T9" s="65" t="s">
        <v>135</v>
      </c>
      <c r="U9" s="72">
        <f>O13</f>
        <v>114837.49092755423</v>
      </c>
      <c r="V9" s="73"/>
      <c r="W9" s="65" t="s">
        <v>136</v>
      </c>
      <c r="X9" s="72">
        <f>R16</f>
        <v>954384.48241854832</v>
      </c>
    </row>
    <row r="10" spans="1:24" ht="15.75">
      <c r="H10" s="36" t="s">
        <v>94</v>
      </c>
      <c r="I10" s="60">
        <f>ONSV_AUX_2018!Z32</f>
        <v>13626102</v>
      </c>
      <c r="J10" s="10"/>
      <c r="K10" s="2" t="s">
        <v>2</v>
      </c>
      <c r="L10" s="63">
        <f>I17/L7</f>
        <v>9.0248006435190001E-2</v>
      </c>
      <c r="M10" s="20"/>
      <c r="N10" s="20"/>
      <c r="O10" s="74"/>
      <c r="P10" s="48"/>
      <c r="Q10" s="48"/>
      <c r="R10" s="48"/>
      <c r="S10" s="48"/>
      <c r="T10" s="48"/>
      <c r="U10" s="62"/>
      <c r="V10" s="75"/>
      <c r="W10" s="48"/>
      <c r="X10" s="62"/>
    </row>
    <row r="11" spans="1:24" ht="15.75">
      <c r="K11" s="2" t="s">
        <v>3</v>
      </c>
      <c r="L11" s="63">
        <f>I18/L7</f>
        <v>5.5834536130365313E-2</v>
      </c>
      <c r="M11" s="20"/>
      <c r="N11" s="28" t="s">
        <v>137</v>
      </c>
      <c r="O11" s="60">
        <f>IF(O9*I6&gt;J23,J23,O9*I6)</f>
        <v>152358.54331393217</v>
      </c>
      <c r="P11" s="76"/>
      <c r="Q11" s="65" t="s">
        <v>138</v>
      </c>
      <c r="R11" s="60">
        <f>I7-I15-I16-I19-I22</f>
        <v>628088</v>
      </c>
      <c r="S11" s="77"/>
      <c r="T11" s="65" t="s">
        <v>139</v>
      </c>
      <c r="U11" s="67">
        <f>O19</f>
        <v>10264021.456686068</v>
      </c>
      <c r="V11" s="76"/>
      <c r="W11" s="65" t="s">
        <v>140</v>
      </c>
      <c r="X11" s="67">
        <f>I15</f>
        <v>677368</v>
      </c>
    </row>
    <row r="12" spans="1:24" ht="15.75">
      <c r="H12" s="24" t="s">
        <v>141</v>
      </c>
      <c r="K12" s="2" t="s">
        <v>0</v>
      </c>
      <c r="L12" s="63">
        <f>I23/L7</f>
        <v>1.2490099240335764E-2</v>
      </c>
      <c r="O12" s="48"/>
      <c r="P12" s="76"/>
      <c r="Q12" s="65" t="s">
        <v>142</v>
      </c>
      <c r="R12" s="60">
        <f>R8*R11</f>
        <v>388025.07726361975</v>
      </c>
      <c r="S12" s="48"/>
      <c r="T12" s="65" t="s">
        <v>143</v>
      </c>
      <c r="U12" s="67">
        <f>O17</f>
        <v>1834514</v>
      </c>
      <c r="V12" s="66"/>
      <c r="W12" s="65" t="s">
        <v>144</v>
      </c>
      <c r="X12" s="67">
        <f>I16</f>
        <v>169358</v>
      </c>
    </row>
    <row r="13" spans="1:24" ht="15.75">
      <c r="K13" s="11"/>
      <c r="L13" s="11"/>
      <c r="M13" s="11"/>
      <c r="N13" s="28" t="s">
        <v>145</v>
      </c>
      <c r="O13" s="60">
        <f>J23-O11</f>
        <v>114837.49092755423</v>
      </c>
      <c r="P13" s="76"/>
      <c r="Q13" s="65" t="s">
        <v>127</v>
      </c>
      <c r="R13" s="60">
        <f>R9*R11</f>
        <v>240062.92273638031</v>
      </c>
      <c r="S13" s="48"/>
      <c r="T13" s="65" t="s">
        <v>146</v>
      </c>
      <c r="U13" s="67">
        <f>O18</f>
        <v>278474</v>
      </c>
      <c r="V13" s="71"/>
      <c r="W13" s="48"/>
      <c r="X13" s="62"/>
    </row>
    <row r="14" spans="1:24" ht="15.75">
      <c r="H14" s="37" t="s">
        <v>103</v>
      </c>
      <c r="I14" s="60">
        <f>ONSV_AUX_2018!Z56</f>
        <v>18004314</v>
      </c>
      <c r="J14" s="61">
        <f>I14-(L9*I8)</f>
        <v>18000341.621441964</v>
      </c>
      <c r="K14" s="11"/>
      <c r="L14" s="11"/>
      <c r="M14" s="11"/>
      <c r="O14" s="76"/>
      <c r="P14" s="76"/>
      <c r="Q14" s="48"/>
      <c r="R14" s="78"/>
      <c r="S14" s="48"/>
      <c r="T14" s="65" t="s">
        <v>147</v>
      </c>
      <c r="U14" s="68">
        <f>I14-J14</f>
        <v>3972.3785580359399</v>
      </c>
      <c r="V14" s="71"/>
      <c r="W14" s="65" t="s">
        <v>148</v>
      </c>
      <c r="X14" s="67">
        <f>I22</f>
        <v>158136</v>
      </c>
    </row>
    <row r="15" spans="1:24" ht="15.75">
      <c r="H15" s="37" t="s">
        <v>104</v>
      </c>
      <c r="I15" s="60">
        <f>ONSV_AUX_2018!Z57</f>
        <v>677368</v>
      </c>
      <c r="J15" s="10">
        <f>I15</f>
        <v>677368</v>
      </c>
      <c r="K15" s="11"/>
      <c r="L15" s="11"/>
      <c r="M15" s="11"/>
      <c r="N15" s="26" t="s">
        <v>149</v>
      </c>
      <c r="O15" s="76"/>
      <c r="P15" s="76"/>
      <c r="Q15" s="65" t="s">
        <v>150</v>
      </c>
      <c r="R15" s="60">
        <f>J17-R12</f>
        <v>1542616.8618979997</v>
      </c>
      <c r="S15" s="48"/>
      <c r="T15" s="65" t="s">
        <v>151</v>
      </c>
      <c r="U15" s="72">
        <f>O20</f>
        <v>5623332.1647558957</v>
      </c>
      <c r="V15" s="48"/>
      <c r="W15" s="65" t="s">
        <v>152</v>
      </c>
      <c r="X15" s="67">
        <f>I19</f>
        <v>120190</v>
      </c>
    </row>
    <row r="16" spans="1:24" ht="15.75">
      <c r="H16" s="37" t="s">
        <v>105</v>
      </c>
      <c r="I16" s="60">
        <f>ONSV_AUX_2018!Z58</f>
        <v>169358</v>
      </c>
      <c r="J16" s="10">
        <f>I16</f>
        <v>169358</v>
      </c>
      <c r="K16" s="11"/>
      <c r="L16" s="11"/>
      <c r="M16" s="11"/>
      <c r="O16" s="73"/>
      <c r="P16" s="76"/>
      <c r="Q16" s="65" t="s">
        <v>136</v>
      </c>
      <c r="R16" s="60">
        <f>J18-R13</f>
        <v>954384.48241854832</v>
      </c>
      <c r="S16" s="48"/>
      <c r="T16" s="48"/>
      <c r="U16" s="62"/>
      <c r="V16" s="77"/>
      <c r="W16" s="48"/>
      <c r="X16" s="62"/>
    </row>
    <row r="17" spans="1:24" ht="15.75">
      <c r="H17" s="37" t="s">
        <v>106</v>
      </c>
      <c r="I17" s="60">
        <f>ONSV_AUX_2018!Z59</f>
        <v>1931068</v>
      </c>
      <c r="J17" s="61">
        <f>I17-(L10*I8)</f>
        <v>1930641.9391616194</v>
      </c>
      <c r="K17" s="11"/>
      <c r="L17" s="11"/>
      <c r="M17" s="11"/>
      <c r="N17" s="28" t="s">
        <v>143</v>
      </c>
      <c r="O17" s="60">
        <f>I5</f>
        <v>1834514</v>
      </c>
      <c r="P17" s="76"/>
      <c r="Q17" s="48"/>
      <c r="R17" s="48"/>
      <c r="S17" s="77"/>
      <c r="T17" s="65" t="s">
        <v>142</v>
      </c>
      <c r="U17" s="68">
        <f>R12</f>
        <v>388025.07726361975</v>
      </c>
      <c r="V17" s="48"/>
      <c r="W17" s="65" t="s">
        <v>153</v>
      </c>
      <c r="X17" s="67">
        <f>I20</f>
        <v>4569849</v>
      </c>
    </row>
    <row r="18" spans="1:24" ht="15.75">
      <c r="H18" s="37" t="s">
        <v>107</v>
      </c>
      <c r="I18" s="60">
        <f>ONSV_AUX_2018!Z60</f>
        <v>1194711</v>
      </c>
      <c r="J18" s="61">
        <f>I18-(L11*I8)</f>
        <v>1194447.4051549286</v>
      </c>
      <c r="K18" s="11"/>
      <c r="L18" s="11"/>
      <c r="M18" s="11"/>
      <c r="N18" s="28" t="s">
        <v>146</v>
      </c>
      <c r="O18" s="60">
        <f>I9</f>
        <v>278474</v>
      </c>
      <c r="P18" s="76"/>
      <c r="Q18" s="48"/>
      <c r="R18" s="48"/>
      <c r="S18" s="48"/>
      <c r="T18" s="65" t="s">
        <v>154</v>
      </c>
      <c r="U18" s="68">
        <f>I17-J17</f>
        <v>426.06083838059567</v>
      </c>
      <c r="V18" s="48"/>
      <c r="W18" s="65" t="s">
        <v>155</v>
      </c>
      <c r="X18" s="67">
        <f>I21</f>
        <v>889403</v>
      </c>
    </row>
    <row r="19" spans="1:24" ht="15.75">
      <c r="H19" s="37" t="s">
        <v>108</v>
      </c>
      <c r="I19" s="60">
        <f>ONSV_AUX_2018!Z61</f>
        <v>120190</v>
      </c>
      <c r="J19" s="10">
        <f>I19</f>
        <v>120190</v>
      </c>
      <c r="K19" s="11"/>
      <c r="L19" s="11"/>
      <c r="M19" s="11"/>
      <c r="N19" s="28" t="s">
        <v>139</v>
      </c>
      <c r="O19" s="60">
        <f>IF(OR((O8*I6&gt;J14),((O17+O18+(O8*I6))&gt;J14)),(J14-O17-O18),(O8*I6))</f>
        <v>10264021.456686068</v>
      </c>
      <c r="P19" s="76"/>
      <c r="Q19" s="48"/>
      <c r="R19" s="78"/>
      <c r="S19" s="48"/>
      <c r="T19" s="65" t="s">
        <v>150</v>
      </c>
      <c r="U19" s="72">
        <f>R15</f>
        <v>1542616.8618979997</v>
      </c>
      <c r="V19" s="48"/>
      <c r="W19" s="48"/>
      <c r="X19" s="48"/>
    </row>
    <row r="20" spans="1:24" ht="15.75">
      <c r="H20" s="37" t="s">
        <v>109</v>
      </c>
      <c r="I20" s="60">
        <f>ONSV_AUX_2018!Z62</f>
        <v>4569849</v>
      </c>
      <c r="J20" s="10">
        <f t="shared" ref="J20:J22" si="0">I20</f>
        <v>4569849</v>
      </c>
      <c r="K20" s="11"/>
      <c r="L20" s="11"/>
      <c r="M20" s="11"/>
      <c r="N20" s="28" t="s">
        <v>151</v>
      </c>
      <c r="O20" s="60">
        <f>IF((J14-O17-O19-O18)&lt;0,0,(J14-O17-O19-O18))</f>
        <v>5623332.1647558957</v>
      </c>
      <c r="P20" s="48"/>
      <c r="Q20" s="48"/>
      <c r="R20" s="48"/>
      <c r="S20" s="48"/>
      <c r="T20" s="48"/>
      <c r="U20" s="62"/>
      <c r="V20" s="48"/>
      <c r="W20" s="48"/>
      <c r="X20" s="48"/>
    </row>
    <row r="21" spans="1:24" ht="15.75">
      <c r="H21" s="37" t="s">
        <v>110</v>
      </c>
      <c r="I21" s="60">
        <f>ONSV_AUX_2018!Z63</f>
        <v>889403</v>
      </c>
      <c r="J21" s="10">
        <f t="shared" si="0"/>
        <v>889403</v>
      </c>
      <c r="K21" s="11"/>
      <c r="L21" s="11"/>
      <c r="M21" s="11"/>
      <c r="O21" s="48"/>
      <c r="P21" s="76"/>
      <c r="Q21" s="48"/>
      <c r="R21" s="48"/>
      <c r="S21" s="48"/>
      <c r="T21" s="79" t="s">
        <v>156</v>
      </c>
      <c r="U21" s="80">
        <f>(SUM(U7:U19,X7:X18)/SUM(I14:I23))-1</f>
        <v>0</v>
      </c>
      <c r="V21" s="48"/>
      <c r="W21" s="79" t="s">
        <v>10</v>
      </c>
      <c r="X21" s="67">
        <f>SUM(U7:U19,X7:X18)</f>
        <v>27981652</v>
      </c>
    </row>
    <row r="22" spans="1:24" ht="15.75">
      <c r="H22" s="37" t="s">
        <v>111</v>
      </c>
      <c r="I22" s="60">
        <f>ONSV_AUX_2018!Z64</f>
        <v>158136</v>
      </c>
      <c r="J22" s="10">
        <f t="shared" si="0"/>
        <v>158136</v>
      </c>
      <c r="K22" s="11"/>
      <c r="L22" s="11"/>
      <c r="M22" s="11"/>
      <c r="O22" s="48"/>
      <c r="P22" s="76"/>
      <c r="Q22" s="48"/>
      <c r="R22" s="48"/>
      <c r="S22" s="48"/>
      <c r="T22" s="48"/>
      <c r="U22" s="48"/>
      <c r="V22" s="48"/>
      <c r="W22" s="48"/>
      <c r="X22" s="48"/>
    </row>
    <row r="23" spans="1:24" ht="15.75">
      <c r="H23" s="37" t="s">
        <v>112</v>
      </c>
      <c r="I23" s="60">
        <f>ONSV_AUX_2018!Z65</f>
        <v>267255</v>
      </c>
      <c r="J23" s="61">
        <f>I23-(L12*I8)</f>
        <v>267196.0342414864</v>
      </c>
      <c r="K23" s="12"/>
      <c r="L23" s="12"/>
      <c r="M23" s="12"/>
      <c r="N23" s="12"/>
      <c r="O23" s="12"/>
      <c r="P23" s="12"/>
      <c r="Q23" s="4"/>
      <c r="R23" s="4"/>
    </row>
    <row r="25" spans="1:24" s="34" customFormat="1" ht="15.75">
      <c r="A25" s="101" t="str">
        <f>"SÃO PAULO/"&amp;ONSV_AUX_2017!A1&amp;""</f>
        <v>SÃO PAULO/2017</v>
      </c>
      <c r="B25" s="102"/>
      <c r="C25" s="102"/>
      <c r="D25" s="102"/>
      <c r="E25" s="102"/>
      <c r="F25" s="102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 spans="1:24" ht="15.75">
      <c r="A26" s="3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>
      <c r="A27" s="12"/>
      <c r="H27" s="23" t="s">
        <v>118</v>
      </c>
      <c r="N27" s="26"/>
      <c r="O27" s="26"/>
      <c r="P27" s="9"/>
      <c r="Q27" s="26"/>
      <c r="R27" s="26"/>
      <c r="S27" s="26"/>
      <c r="T27" s="104"/>
      <c r="U27" s="104"/>
      <c r="V27" s="104"/>
      <c r="W27" s="104"/>
      <c r="X27" s="104"/>
    </row>
    <row r="28" spans="1:24" ht="15.75">
      <c r="B28" s="5"/>
      <c r="J28" s="9"/>
      <c r="M28" s="25"/>
    </row>
    <row r="29" spans="1:24" ht="15.75">
      <c r="H29" s="36" t="s">
        <v>81</v>
      </c>
      <c r="I29" s="60">
        <f>ONSV_AUX_2017!Z27</f>
        <v>1835425</v>
      </c>
      <c r="J29" s="9"/>
      <c r="K29" s="104" t="s">
        <v>119</v>
      </c>
      <c r="L29" s="104"/>
      <c r="M29" s="9"/>
      <c r="N29" s="26" t="s">
        <v>120</v>
      </c>
      <c r="O29" s="26"/>
      <c r="Q29" s="26" t="s">
        <v>121</v>
      </c>
      <c r="R29" s="26"/>
      <c r="S29" s="26"/>
      <c r="T29" s="25" t="s">
        <v>122</v>
      </c>
      <c r="U29" s="25"/>
      <c r="V29" s="25"/>
      <c r="W29" s="25"/>
      <c r="X29" s="25"/>
    </row>
    <row r="30" spans="1:24" ht="15.75">
      <c r="H30" s="36" t="s">
        <v>84</v>
      </c>
      <c r="I30" s="60">
        <f>ONSV_AUX_2017!Z28</f>
        <v>9745646</v>
      </c>
      <c r="J30" s="9"/>
      <c r="K30" s="9"/>
      <c r="L30" s="9"/>
      <c r="M30" s="9"/>
      <c r="N30" s="9"/>
      <c r="O30" s="9"/>
      <c r="P30" s="20"/>
      <c r="Q30" s="11"/>
      <c r="R30" s="11"/>
      <c r="S30" s="11"/>
    </row>
    <row r="31" spans="1:24" ht="15.75">
      <c r="H31" s="36" t="s">
        <v>85</v>
      </c>
      <c r="I31" s="60">
        <f>ONSV_AUX_2017!Z29</f>
        <v>1696513</v>
      </c>
      <c r="J31" s="9"/>
      <c r="K31" s="2" t="s">
        <v>123</v>
      </c>
      <c r="L31" s="60">
        <f>I38+I41+I42+I47</f>
        <v>20733121</v>
      </c>
      <c r="N31" s="28" t="s">
        <v>124</v>
      </c>
      <c r="O31" s="60">
        <f>J38+J47</f>
        <v>17739583.048429128</v>
      </c>
      <c r="P31" s="64"/>
      <c r="Q31" s="65" t="s">
        <v>125</v>
      </c>
      <c r="R31" s="60">
        <f>J41+J42</f>
        <v>2990327.9515708704</v>
      </c>
      <c r="S31" s="66"/>
      <c r="T31" s="65" t="s">
        <v>126</v>
      </c>
      <c r="U31" s="67">
        <f>O35</f>
        <v>131543.99956071159</v>
      </c>
      <c r="V31" s="48"/>
      <c r="W31" s="65" t="s">
        <v>127</v>
      </c>
      <c r="X31" s="68">
        <f>R37</f>
        <v>221370.03879308183</v>
      </c>
    </row>
    <row r="32" spans="1:24" ht="15.75">
      <c r="H32" s="36" t="s">
        <v>101</v>
      </c>
      <c r="I32" s="60">
        <f>ONSV_AUX_2017!Z30</f>
        <v>3210</v>
      </c>
      <c r="J32" s="9"/>
      <c r="K32" s="27"/>
      <c r="L32" s="62"/>
      <c r="M32" s="20"/>
      <c r="N32" s="28" t="s">
        <v>128</v>
      </c>
      <c r="O32" s="69">
        <f>J38/O31</f>
        <v>0.98650228014020713</v>
      </c>
      <c r="P32" s="64"/>
      <c r="Q32" s="70" t="s">
        <v>129</v>
      </c>
      <c r="R32" s="63">
        <f>J41/R31</f>
        <v>0.62204580661102704</v>
      </c>
      <c r="S32" s="71"/>
      <c r="T32" s="65" t="s">
        <v>130</v>
      </c>
      <c r="U32" s="67">
        <f>I47-J47</f>
        <v>37.077582772035385</v>
      </c>
      <c r="V32" s="48"/>
      <c r="W32" s="65" t="s">
        <v>131</v>
      </c>
      <c r="X32" s="68">
        <f>I42-J42</f>
        <v>175.01109553175047</v>
      </c>
    </row>
    <row r="33" spans="8:24" ht="15.75">
      <c r="H33" s="36" t="s">
        <v>16</v>
      </c>
      <c r="I33" s="60">
        <f>ONSV_AUX_2017!Z31</f>
        <v>276054</v>
      </c>
      <c r="J33" s="9"/>
      <c r="K33" s="2" t="s">
        <v>132</v>
      </c>
      <c r="L33" s="63">
        <f>I38/L31</f>
        <v>0.84419750408054817</v>
      </c>
      <c r="M33" s="20"/>
      <c r="N33" s="28" t="s">
        <v>133</v>
      </c>
      <c r="O33" s="69">
        <f>J47/O31</f>
        <v>1.3497719859792937E-2</v>
      </c>
      <c r="P33" s="64"/>
      <c r="Q33" s="70" t="s">
        <v>134</v>
      </c>
      <c r="R33" s="63">
        <f>J42/R31</f>
        <v>0.37795419338897301</v>
      </c>
      <c r="S33" s="71"/>
      <c r="T33" s="65" t="s">
        <v>135</v>
      </c>
      <c r="U33" s="72">
        <f>O37</f>
        <v>107899.92285651638</v>
      </c>
      <c r="V33" s="73"/>
      <c r="W33" s="65" t="s">
        <v>136</v>
      </c>
      <c r="X33" s="72">
        <f>R40</f>
        <v>908836.95011138637</v>
      </c>
    </row>
    <row r="34" spans="8:24" ht="15.75">
      <c r="H34" s="36" t="s">
        <v>94</v>
      </c>
      <c r="I34" s="60">
        <f>ONSV_AUX_2017!Z32</f>
        <v>13515714</v>
      </c>
      <c r="J34" s="10"/>
      <c r="K34" s="2" t="s">
        <v>2</v>
      </c>
      <c r="L34" s="63">
        <f>I41/L31</f>
        <v>8.9731256572515058E-2</v>
      </c>
      <c r="M34" s="20"/>
      <c r="N34" s="20"/>
      <c r="O34" s="74"/>
      <c r="P34" s="48"/>
      <c r="Q34" s="48"/>
      <c r="R34" s="48"/>
      <c r="S34" s="48"/>
      <c r="T34" s="48"/>
      <c r="U34" s="62"/>
      <c r="V34" s="75"/>
      <c r="W34" s="48"/>
      <c r="X34" s="62"/>
    </row>
    <row r="35" spans="8:24" ht="15.75">
      <c r="K35" s="2" t="s">
        <v>3</v>
      </c>
      <c r="L35" s="63">
        <f>I42/L31</f>
        <v>5.4520590508298293E-2</v>
      </c>
      <c r="M35" s="20"/>
      <c r="N35" s="28" t="s">
        <v>137</v>
      </c>
      <c r="O35" s="60">
        <f>IF(O33*I30&gt;J47,J47,O33*I30)</f>
        <v>131543.99956071159</v>
      </c>
      <c r="P35" s="76"/>
      <c r="Q35" s="65" t="s">
        <v>138</v>
      </c>
      <c r="R35" s="60">
        <f>I31-I39-I40-I43-I46</f>
        <v>585706</v>
      </c>
      <c r="S35" s="77"/>
      <c r="T35" s="65" t="s">
        <v>139</v>
      </c>
      <c r="U35" s="67">
        <f>O43</f>
        <v>9614102.00043929</v>
      </c>
      <c r="V35" s="76"/>
      <c r="W35" s="65" t="s">
        <v>140</v>
      </c>
      <c r="X35" s="67">
        <f>I39</f>
        <v>671880</v>
      </c>
    </row>
    <row r="36" spans="8:24" ht="15.75">
      <c r="H36" s="24" t="s">
        <v>141</v>
      </c>
      <c r="K36" s="2" t="s">
        <v>0</v>
      </c>
      <c r="L36" s="63">
        <f>I47/L31</f>
        <v>1.1550648838638428E-2</v>
      </c>
      <c r="O36" s="48"/>
      <c r="P36" s="76"/>
      <c r="Q36" s="65" t="s">
        <v>142</v>
      </c>
      <c r="R36" s="60">
        <f>R32*R35</f>
        <v>364335.96120691823</v>
      </c>
      <c r="S36" s="48"/>
      <c r="T36" s="65" t="s">
        <v>143</v>
      </c>
      <c r="U36" s="67">
        <f>O41</f>
        <v>1835425</v>
      </c>
      <c r="V36" s="66"/>
      <c r="W36" s="65" t="s">
        <v>144</v>
      </c>
      <c r="X36" s="67">
        <f>I40</f>
        <v>164330</v>
      </c>
    </row>
    <row r="37" spans="8:24" ht="15.75">
      <c r="K37" s="11"/>
      <c r="L37" s="11"/>
      <c r="M37" s="11"/>
      <c r="N37" s="28" t="s">
        <v>145</v>
      </c>
      <c r="O37" s="60">
        <f>J47-O35</f>
        <v>107899.92285651638</v>
      </c>
      <c r="P37" s="76"/>
      <c r="Q37" s="65" t="s">
        <v>127</v>
      </c>
      <c r="R37" s="60">
        <f>R33*R35</f>
        <v>221370.03879308183</v>
      </c>
      <c r="S37" s="48"/>
      <c r="T37" s="65" t="s">
        <v>146</v>
      </c>
      <c r="U37" s="67">
        <f>O42</f>
        <v>276054</v>
      </c>
      <c r="V37" s="71"/>
      <c r="W37" s="48"/>
      <c r="X37" s="62"/>
    </row>
    <row r="38" spans="8:24" ht="15.75">
      <c r="H38" s="37" t="s">
        <v>103</v>
      </c>
      <c r="I38" s="60">
        <f>ONSV_AUX_2017!Z56</f>
        <v>17502849</v>
      </c>
      <c r="J38" s="61">
        <f>I38-(L33*I32)</f>
        <v>17500139.126011901</v>
      </c>
      <c r="K38" s="11"/>
      <c r="L38" s="11"/>
      <c r="M38" s="11"/>
      <c r="O38" s="76"/>
      <c r="P38" s="76"/>
      <c r="Q38" s="48"/>
      <c r="R38" s="78"/>
      <c r="S38" s="48"/>
      <c r="T38" s="65" t="s">
        <v>147</v>
      </c>
      <c r="U38" s="68">
        <f>I38-J38</f>
        <v>2709.8739880993962</v>
      </c>
      <c r="V38" s="71"/>
      <c r="W38" s="65" t="s">
        <v>148</v>
      </c>
      <c r="X38" s="67">
        <f>I46</f>
        <v>155692</v>
      </c>
    </row>
    <row r="39" spans="8:24" ht="15.75">
      <c r="H39" s="37" t="s">
        <v>104</v>
      </c>
      <c r="I39" s="60">
        <f>ONSV_AUX_2017!Z57</f>
        <v>671880</v>
      </c>
      <c r="J39" s="10">
        <f>I39</f>
        <v>671880</v>
      </c>
      <c r="K39" s="11"/>
      <c r="L39" s="11"/>
      <c r="M39" s="11"/>
      <c r="N39" s="26" t="s">
        <v>149</v>
      </c>
      <c r="O39" s="76"/>
      <c r="P39" s="76"/>
      <c r="Q39" s="65" t="s">
        <v>150</v>
      </c>
      <c r="R39" s="60">
        <f>J41-R36</f>
        <v>1495785.001459484</v>
      </c>
      <c r="S39" s="48"/>
      <c r="T39" s="65" t="s">
        <v>151</v>
      </c>
      <c r="U39" s="72">
        <f>O44</f>
        <v>5774558.1255726106</v>
      </c>
      <c r="V39" s="48"/>
      <c r="W39" s="65" t="s">
        <v>152</v>
      </c>
      <c r="X39" s="67">
        <f>I43</f>
        <v>118905</v>
      </c>
    </row>
    <row r="40" spans="8:24" ht="15.75">
      <c r="H40" s="37" t="s">
        <v>105</v>
      </c>
      <c r="I40" s="60">
        <f>ONSV_AUX_2017!Z58</f>
        <v>164330</v>
      </c>
      <c r="J40" s="10">
        <f>I40</f>
        <v>164330</v>
      </c>
      <c r="K40" s="11"/>
      <c r="L40" s="11"/>
      <c r="M40" s="11"/>
      <c r="O40" s="73"/>
      <c r="P40" s="76"/>
      <c r="Q40" s="65" t="s">
        <v>136</v>
      </c>
      <c r="R40" s="60">
        <f>J42-R37</f>
        <v>908836.95011138637</v>
      </c>
      <c r="S40" s="48"/>
      <c r="T40" s="48"/>
      <c r="U40" s="62"/>
      <c r="V40" s="77"/>
      <c r="W40" s="48"/>
      <c r="X40" s="62"/>
    </row>
    <row r="41" spans="8:24" ht="15.75">
      <c r="H41" s="37" t="s">
        <v>106</v>
      </c>
      <c r="I41" s="60">
        <f>ONSV_AUX_2017!Z59</f>
        <v>1860409</v>
      </c>
      <c r="J41" s="61">
        <f>I41-(L34*I32)</f>
        <v>1860120.9626664023</v>
      </c>
      <c r="K41" s="11"/>
      <c r="L41" s="11"/>
      <c r="M41" s="11"/>
      <c r="N41" s="28" t="s">
        <v>143</v>
      </c>
      <c r="O41" s="60">
        <f>I29</f>
        <v>1835425</v>
      </c>
      <c r="P41" s="76"/>
      <c r="Q41" s="48"/>
      <c r="R41" s="48"/>
      <c r="S41" s="77"/>
      <c r="T41" s="65" t="s">
        <v>142</v>
      </c>
      <c r="U41" s="68">
        <f>R36</f>
        <v>364335.96120691823</v>
      </c>
      <c r="V41" s="48"/>
      <c r="W41" s="65" t="s">
        <v>153</v>
      </c>
      <c r="X41" s="67">
        <f>I44</f>
        <v>4444152</v>
      </c>
    </row>
    <row r="42" spans="8:24" ht="15.75">
      <c r="H42" s="37" t="s">
        <v>107</v>
      </c>
      <c r="I42" s="60">
        <f>ONSV_AUX_2017!Z60</f>
        <v>1130382</v>
      </c>
      <c r="J42" s="61">
        <f>I42-(L35*I32)</f>
        <v>1130206.9889044682</v>
      </c>
      <c r="K42" s="11"/>
      <c r="L42" s="11"/>
      <c r="M42" s="11"/>
      <c r="N42" s="28" t="s">
        <v>146</v>
      </c>
      <c r="O42" s="60">
        <f>I33</f>
        <v>276054</v>
      </c>
      <c r="P42" s="76"/>
      <c r="Q42" s="48"/>
      <c r="R42" s="48"/>
      <c r="S42" s="48"/>
      <c r="T42" s="65" t="s">
        <v>154</v>
      </c>
      <c r="U42" s="68">
        <f>I41-J41</f>
        <v>288.03733359766193</v>
      </c>
      <c r="V42" s="48"/>
      <c r="W42" s="65" t="s">
        <v>155</v>
      </c>
      <c r="X42" s="67">
        <f>I45</f>
        <v>847646</v>
      </c>
    </row>
    <row r="43" spans="8:24" ht="15.75">
      <c r="H43" s="37" t="s">
        <v>108</v>
      </c>
      <c r="I43" s="60">
        <f>ONSV_AUX_2017!Z61</f>
        <v>118905</v>
      </c>
      <c r="J43" s="10">
        <f>I43</f>
        <v>118905</v>
      </c>
      <c r="K43" s="11"/>
      <c r="L43" s="11"/>
      <c r="M43" s="11"/>
      <c r="N43" s="28" t="s">
        <v>139</v>
      </c>
      <c r="O43" s="60">
        <f>IF(OR((O32*I30&gt;J38),((O41+O42+(O32*I30))&gt;J38)),(J38-O41-O42),(O32*I30))</f>
        <v>9614102.00043929</v>
      </c>
      <c r="P43" s="76"/>
      <c r="Q43" s="48"/>
      <c r="R43" s="78"/>
      <c r="S43" s="48"/>
      <c r="T43" s="65" t="s">
        <v>150</v>
      </c>
      <c r="U43" s="72">
        <f>R39</f>
        <v>1495785.001459484</v>
      </c>
      <c r="V43" s="48"/>
      <c r="W43" s="48"/>
      <c r="X43" s="48"/>
    </row>
    <row r="44" spans="8:24" ht="15.75">
      <c r="H44" s="37" t="s">
        <v>109</v>
      </c>
      <c r="I44" s="60">
        <f>ONSV_AUX_2017!Z62</f>
        <v>4444152</v>
      </c>
      <c r="J44" s="10">
        <f>I44</f>
        <v>4444152</v>
      </c>
      <c r="K44" s="11"/>
      <c r="L44" s="11"/>
      <c r="M44" s="11"/>
      <c r="N44" s="28" t="s">
        <v>151</v>
      </c>
      <c r="O44" s="60">
        <f>IF((J38-O41-O43-O42)&lt;0,0,(J38-O41-O43-O42))</f>
        <v>5774558.1255726106</v>
      </c>
      <c r="P44" s="48"/>
      <c r="Q44" s="48"/>
      <c r="R44" s="48"/>
      <c r="S44" s="48"/>
      <c r="T44" s="48"/>
      <c r="U44" s="62"/>
      <c r="V44" s="48"/>
      <c r="W44" s="48"/>
      <c r="X44" s="48"/>
    </row>
    <row r="45" spans="8:24" ht="15.75">
      <c r="H45" s="37" t="s">
        <v>110</v>
      </c>
      <c r="I45" s="60">
        <f>ONSV_AUX_2017!Z63</f>
        <v>847646</v>
      </c>
      <c r="J45" s="10">
        <f>I45</f>
        <v>847646</v>
      </c>
      <c r="K45" s="11"/>
      <c r="L45" s="11"/>
      <c r="M45" s="11"/>
      <c r="O45" s="48"/>
      <c r="P45" s="76"/>
      <c r="Q45" s="48"/>
      <c r="R45" s="48"/>
      <c r="S45" s="48"/>
      <c r="T45" s="79" t="s">
        <v>156</v>
      </c>
      <c r="U45" s="80">
        <f>(SUM(U31:U43,X31:X42)/SUM(I38:I47))-1</f>
        <v>0</v>
      </c>
      <c r="V45" s="48"/>
      <c r="W45" s="79" t="s">
        <v>10</v>
      </c>
      <c r="X45" s="67">
        <f>SUM(U31:U43,X31:X42)</f>
        <v>27135725.999999996</v>
      </c>
    </row>
    <row r="46" spans="8:24" ht="15.75">
      <c r="H46" s="37" t="s">
        <v>111</v>
      </c>
      <c r="I46" s="60">
        <f>ONSV_AUX_2017!Z64</f>
        <v>155692</v>
      </c>
      <c r="J46" s="10">
        <f>I46</f>
        <v>155692</v>
      </c>
      <c r="K46" s="11"/>
      <c r="L46" s="11"/>
      <c r="M46" s="11"/>
      <c r="O46" s="48"/>
      <c r="P46" s="76"/>
      <c r="Q46" s="48"/>
      <c r="R46" s="48"/>
      <c r="S46" s="48"/>
      <c r="T46" s="48"/>
      <c r="U46" s="48"/>
      <c r="V46" s="48"/>
      <c r="W46" s="48"/>
      <c r="X46" s="48"/>
    </row>
    <row r="47" spans="8:24" ht="15.75">
      <c r="H47" s="37" t="s">
        <v>112</v>
      </c>
      <c r="I47" s="60">
        <f>ONSV_AUX_2017!Z65</f>
        <v>239481</v>
      </c>
      <c r="J47" s="61">
        <f>I47-(L36*I32)</f>
        <v>239443.92241722796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39"/>
      <c r="I48" s="40"/>
      <c r="J48" s="40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4" customFormat="1" ht="15.75">
      <c r="A50" s="101" t="str">
        <f>"SÃO PAULO/"&amp;ONSV_AUX_2016!A1&amp;""</f>
        <v>SÃO PAULO/2016</v>
      </c>
      <c r="B50" s="102"/>
      <c r="C50" s="102"/>
      <c r="D50" s="102"/>
      <c r="E50" s="102"/>
      <c r="F50" s="102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</row>
    <row r="52" spans="1:24" ht="15.75">
      <c r="H52" s="23" t="s">
        <v>118</v>
      </c>
      <c r="N52" s="26"/>
      <c r="O52" s="26"/>
      <c r="P52" s="9"/>
      <c r="Q52" s="26"/>
      <c r="R52" s="26"/>
      <c r="S52" s="26"/>
      <c r="T52" s="104"/>
      <c r="U52" s="104"/>
      <c r="V52" s="104"/>
      <c r="W52" s="104"/>
      <c r="X52" s="104"/>
    </row>
    <row r="53" spans="1:24" ht="15.75">
      <c r="J53" s="9"/>
      <c r="M53" s="25"/>
      <c r="N53" s="9"/>
      <c r="O53" s="9"/>
      <c r="P53" s="9"/>
      <c r="Q53" s="11"/>
      <c r="R53" s="11"/>
      <c r="S53" s="11"/>
    </row>
    <row r="54" spans="1:24" ht="15.75">
      <c r="H54" s="36" t="s">
        <v>81</v>
      </c>
      <c r="I54" s="60">
        <f>ONSV_AUX_2016!Z27</f>
        <v>1836413</v>
      </c>
      <c r="J54" s="9"/>
      <c r="K54" s="104" t="s">
        <v>119</v>
      </c>
      <c r="L54" s="104"/>
      <c r="M54" s="9"/>
      <c r="N54" s="26" t="s">
        <v>120</v>
      </c>
      <c r="O54" s="26"/>
      <c r="Q54" s="26" t="s">
        <v>121</v>
      </c>
      <c r="R54" s="26"/>
      <c r="S54" s="26"/>
      <c r="T54" s="25" t="s">
        <v>122</v>
      </c>
      <c r="U54" s="25"/>
      <c r="V54" s="25"/>
      <c r="W54" s="25"/>
      <c r="X54" s="25"/>
    </row>
    <row r="55" spans="1:24" ht="15.75">
      <c r="H55" s="36" t="s">
        <v>84</v>
      </c>
      <c r="I55" s="60">
        <f>ONSV_AUX_2016!Z28</f>
        <v>9165189</v>
      </c>
      <c r="J55" s="9"/>
      <c r="K55" s="9"/>
      <c r="L55" s="9"/>
      <c r="M55" s="9"/>
      <c r="N55" s="9"/>
      <c r="O55" s="9"/>
      <c r="P55" s="20"/>
      <c r="Q55" s="11"/>
      <c r="R55" s="11"/>
      <c r="S55" s="11"/>
    </row>
    <row r="56" spans="1:24" ht="15.75">
      <c r="H56" s="36" t="s">
        <v>85</v>
      </c>
      <c r="I56" s="60">
        <f>ONSV_AUX_2016!Z29</f>
        <v>1651997</v>
      </c>
      <c r="J56" s="9"/>
      <c r="K56" s="2" t="s">
        <v>123</v>
      </c>
      <c r="L56" s="60">
        <f>I63+I66+I67+I72</f>
        <v>20157541</v>
      </c>
      <c r="N56" s="28" t="s">
        <v>124</v>
      </c>
      <c r="O56" s="60">
        <f>J63+J72</f>
        <v>17279063.870524682</v>
      </c>
      <c r="P56" s="64"/>
      <c r="Q56" s="65" t="s">
        <v>125</v>
      </c>
      <c r="R56" s="60">
        <f>J66+J67</f>
        <v>2875962.1294753165</v>
      </c>
      <c r="S56" s="66"/>
      <c r="T56" s="65" t="s">
        <v>126</v>
      </c>
      <c r="U56" s="67">
        <f>O60</f>
        <v>113813.21625568104</v>
      </c>
      <c r="V56" s="48"/>
      <c r="W56" s="65" t="s">
        <v>127</v>
      </c>
      <c r="X56" s="68">
        <f>R62</f>
        <v>207052.78806433638</v>
      </c>
    </row>
    <row r="57" spans="1:24" ht="15.75">
      <c r="H57" s="36" t="s">
        <v>101</v>
      </c>
      <c r="I57" s="60">
        <f>ONSV_AUX_2016!Z30</f>
        <v>2515</v>
      </c>
      <c r="J57" s="9"/>
      <c r="K57" s="27"/>
      <c r="L57" s="62"/>
      <c r="M57" s="20"/>
      <c r="N57" s="28" t="s">
        <v>128</v>
      </c>
      <c r="O57" s="69">
        <f>J63/O56</f>
        <v>0.98758201099227949</v>
      </c>
      <c r="P57" s="64"/>
      <c r="Q57" s="70" t="s">
        <v>129</v>
      </c>
      <c r="R57" s="63">
        <f>J66/R56</f>
        <v>0.62387821108979147</v>
      </c>
      <c r="S57" s="71"/>
      <c r="T57" s="65" t="s">
        <v>130</v>
      </c>
      <c r="U57" s="67">
        <f>I72-J72</f>
        <v>26.774792123702355</v>
      </c>
      <c r="V57" s="48"/>
      <c r="W57" s="65" t="s">
        <v>131</v>
      </c>
      <c r="X57" s="68">
        <f>I67-J67</f>
        <v>134.97902373108082</v>
      </c>
    </row>
    <row r="58" spans="1:24" ht="15.75">
      <c r="H58" s="36" t="s">
        <v>16</v>
      </c>
      <c r="I58" s="60">
        <f>ONSV_AUX_2016!Z31</f>
        <v>277796</v>
      </c>
      <c r="J58" s="9"/>
      <c r="K58" s="2" t="s">
        <v>132</v>
      </c>
      <c r="L58" s="63">
        <f>I63/L56</f>
        <v>0.84666190186590717</v>
      </c>
      <c r="M58" s="20"/>
      <c r="N58" s="28" t="s">
        <v>133</v>
      </c>
      <c r="O58" s="69">
        <f>J72/O56</f>
        <v>1.2417989007720521E-2</v>
      </c>
      <c r="P58" s="64"/>
      <c r="Q58" s="70" t="s">
        <v>134</v>
      </c>
      <c r="R58" s="63">
        <f>J67/R56</f>
        <v>0.37612178891020859</v>
      </c>
      <c r="S58" s="71"/>
      <c r="T58" s="65" t="s">
        <v>135</v>
      </c>
      <c r="U58" s="72">
        <f>O62</f>
        <v>100758.00895219526</v>
      </c>
      <c r="V58" s="73"/>
      <c r="W58" s="65" t="s">
        <v>136</v>
      </c>
      <c r="X58" s="72">
        <f>R65</f>
        <v>874659.23291193251</v>
      </c>
    </row>
    <row r="59" spans="1:24" ht="15.75">
      <c r="H59" s="36" t="s">
        <v>94</v>
      </c>
      <c r="I59" s="60">
        <f>ONSV_AUX_2016!Z32</f>
        <v>13419197</v>
      </c>
      <c r="J59" s="10"/>
      <c r="K59" s="2" t="s">
        <v>2</v>
      </c>
      <c r="L59" s="63">
        <f>I66/L56</f>
        <v>8.9022465587444422E-2</v>
      </c>
      <c r="M59" s="20"/>
      <c r="N59" s="20"/>
      <c r="O59" s="74"/>
      <c r="P59" s="48"/>
      <c r="Q59" s="48"/>
      <c r="R59" s="48"/>
      <c r="S59" s="48"/>
      <c r="T59" s="48"/>
      <c r="U59" s="62"/>
      <c r="V59" s="75"/>
      <c r="W59" s="48"/>
      <c r="X59" s="62"/>
    </row>
    <row r="60" spans="1:24" ht="15.75">
      <c r="K60" s="2" t="s">
        <v>3</v>
      </c>
      <c r="L60" s="63">
        <f>I67/L56</f>
        <v>5.3669591940802702E-2</v>
      </c>
      <c r="M60" s="20"/>
      <c r="N60" s="28" t="s">
        <v>137</v>
      </c>
      <c r="O60" s="60">
        <f>IF(O58*I55&gt;J72,J72,O58*I55)</f>
        <v>113813.21625568104</v>
      </c>
      <c r="P60" s="76"/>
      <c r="Q60" s="65" t="s">
        <v>138</v>
      </c>
      <c r="R60" s="60">
        <f>I56-I64-I65-I68-I71</f>
        <v>550494</v>
      </c>
      <c r="S60" s="77"/>
      <c r="T60" s="65" t="s">
        <v>139</v>
      </c>
      <c r="U60" s="67">
        <f>O68</f>
        <v>9051375.7837443184</v>
      </c>
      <c r="V60" s="76"/>
      <c r="W60" s="65" t="s">
        <v>140</v>
      </c>
      <c r="X60" s="67">
        <f>I64</f>
        <v>668207</v>
      </c>
    </row>
    <row r="61" spans="1:24" ht="15.75">
      <c r="H61" s="24" t="s">
        <v>141</v>
      </c>
      <c r="K61" s="2" t="s">
        <v>0</v>
      </c>
      <c r="L61" s="63">
        <f>I72/L56</f>
        <v>1.0646040605845723E-2</v>
      </c>
      <c r="O61" s="48"/>
      <c r="P61" s="76"/>
      <c r="Q61" s="65" t="s">
        <v>142</v>
      </c>
      <c r="R61" s="60">
        <f>R57*R60</f>
        <v>343441.21193566365</v>
      </c>
      <c r="S61" s="48"/>
      <c r="T61" s="65" t="s">
        <v>143</v>
      </c>
      <c r="U61" s="67">
        <f>O66</f>
        <v>1836413</v>
      </c>
      <c r="V61" s="66"/>
      <c r="W61" s="65" t="s">
        <v>144</v>
      </c>
      <c r="X61" s="67">
        <f>I65</f>
        <v>161285</v>
      </c>
    </row>
    <row r="62" spans="1:24" ht="15.75">
      <c r="K62" s="11"/>
      <c r="L62" s="11"/>
      <c r="M62" s="11"/>
      <c r="N62" s="28" t="s">
        <v>145</v>
      </c>
      <c r="O62" s="60">
        <f>J72-O60</f>
        <v>100758.00895219526</v>
      </c>
      <c r="P62" s="76"/>
      <c r="Q62" s="65" t="s">
        <v>127</v>
      </c>
      <c r="R62" s="60">
        <f>R58*R60</f>
        <v>207052.78806433638</v>
      </c>
      <c r="S62" s="48"/>
      <c r="T62" s="65" t="s">
        <v>146</v>
      </c>
      <c r="U62" s="67">
        <f>O67</f>
        <v>277796</v>
      </c>
      <c r="V62" s="71"/>
      <c r="W62" s="48"/>
      <c r="X62" s="62"/>
    </row>
    <row r="63" spans="1:24" ht="15.75">
      <c r="H63" s="37" t="s">
        <v>103</v>
      </c>
      <c r="I63" s="60">
        <f>ONSV_AUX_2016!Z56</f>
        <v>17066622</v>
      </c>
      <c r="J63" s="61">
        <f>I63-(L58*I57)</f>
        <v>17064492.645316806</v>
      </c>
      <c r="K63" s="11"/>
      <c r="L63" s="11"/>
      <c r="M63" s="11"/>
      <c r="O63" s="76"/>
      <c r="P63" s="76"/>
      <c r="Q63" s="48"/>
      <c r="R63" s="78"/>
      <c r="S63" s="48"/>
      <c r="T63" s="65" t="s">
        <v>147</v>
      </c>
      <c r="U63" s="68">
        <f>I63-J63</f>
        <v>2129.3546831943095</v>
      </c>
      <c r="V63" s="71"/>
      <c r="W63" s="65" t="s">
        <v>148</v>
      </c>
      <c r="X63" s="67">
        <f>I71</f>
        <v>154245</v>
      </c>
    </row>
    <row r="64" spans="1:24" ht="15.75">
      <c r="H64" s="37" t="s">
        <v>104</v>
      </c>
      <c r="I64" s="60">
        <f>ONSV_AUX_2016!Z57</f>
        <v>668207</v>
      </c>
      <c r="J64" s="10">
        <f>I64</f>
        <v>668207</v>
      </c>
      <c r="K64" s="11"/>
      <c r="L64" s="11"/>
      <c r="M64" s="11"/>
      <c r="N64" s="26" t="s">
        <v>149</v>
      </c>
      <c r="O64" s="76"/>
      <c r="P64" s="76"/>
      <c r="Q64" s="65" t="s">
        <v>150</v>
      </c>
      <c r="R64" s="60">
        <f>J66-R61</f>
        <v>1450808.896563384</v>
      </c>
      <c r="S64" s="48"/>
      <c r="T64" s="65" t="s">
        <v>151</v>
      </c>
      <c r="U64" s="72">
        <f>O69</f>
        <v>5898907.8615724873</v>
      </c>
      <c r="V64" s="48"/>
      <c r="W64" s="65" t="s">
        <v>152</v>
      </c>
      <c r="X64" s="67">
        <f>I68</f>
        <v>117766</v>
      </c>
    </row>
    <row r="65" spans="1:24" ht="15.75">
      <c r="H65" s="37" t="s">
        <v>105</v>
      </c>
      <c r="I65" s="60">
        <f>ONSV_AUX_2016!Z58</f>
        <v>161285</v>
      </c>
      <c r="J65" s="10">
        <f>I65</f>
        <v>161285</v>
      </c>
      <c r="K65" s="11"/>
      <c r="L65" s="11"/>
      <c r="M65" s="11"/>
      <c r="O65" s="73"/>
      <c r="P65" s="76"/>
      <c r="Q65" s="65" t="s">
        <v>136</v>
      </c>
      <c r="R65" s="60">
        <f>J67-R62</f>
        <v>874659.23291193251</v>
      </c>
      <c r="S65" s="48"/>
      <c r="T65" s="48"/>
      <c r="U65" s="62"/>
      <c r="V65" s="77"/>
      <c r="W65" s="48"/>
      <c r="X65" s="62"/>
    </row>
    <row r="66" spans="1:24" ht="15.75">
      <c r="H66" s="37" t="s">
        <v>106</v>
      </c>
      <c r="I66" s="60">
        <f>ONSV_AUX_2016!Z59</f>
        <v>1794474</v>
      </c>
      <c r="J66" s="61">
        <f>I66-(L59*I57)</f>
        <v>1794250.1084990476</v>
      </c>
      <c r="K66" s="11"/>
      <c r="L66" s="11"/>
      <c r="M66" s="11"/>
      <c r="N66" s="28" t="s">
        <v>143</v>
      </c>
      <c r="O66" s="60">
        <f>I54</f>
        <v>1836413</v>
      </c>
      <c r="P66" s="76"/>
      <c r="Q66" s="48"/>
      <c r="R66" s="48"/>
      <c r="S66" s="77"/>
      <c r="T66" s="65" t="s">
        <v>142</v>
      </c>
      <c r="U66" s="68">
        <f>R61</f>
        <v>343441.21193566365</v>
      </c>
      <c r="V66" s="48"/>
      <c r="W66" s="65" t="s">
        <v>153</v>
      </c>
      <c r="X66" s="67">
        <f>I69</f>
        <v>4331281</v>
      </c>
    </row>
    <row r="67" spans="1:24" ht="15.75">
      <c r="H67" s="37" t="s">
        <v>107</v>
      </c>
      <c r="I67" s="60">
        <f>ONSV_AUX_2016!Z60</f>
        <v>1081847</v>
      </c>
      <c r="J67" s="61">
        <f>I67-(L60*I57)</f>
        <v>1081712.0209762689</v>
      </c>
      <c r="K67" s="11"/>
      <c r="L67" s="11"/>
      <c r="M67" s="11"/>
      <c r="N67" s="28" t="s">
        <v>146</v>
      </c>
      <c r="O67" s="60">
        <f>I58</f>
        <v>277796</v>
      </c>
      <c r="P67" s="76"/>
      <c r="Q67" s="48"/>
      <c r="R67" s="48"/>
      <c r="S67" s="48"/>
      <c r="T67" s="65" t="s">
        <v>154</v>
      </c>
      <c r="U67" s="68">
        <f>I66-J66</f>
        <v>223.89150095242076</v>
      </c>
      <c r="V67" s="48"/>
      <c r="W67" s="65" t="s">
        <v>155</v>
      </c>
      <c r="X67" s="67">
        <f>I70</f>
        <v>814292</v>
      </c>
    </row>
    <row r="68" spans="1:24" ht="15.75">
      <c r="H68" s="37" t="s">
        <v>108</v>
      </c>
      <c r="I68" s="60">
        <f>ONSV_AUX_2016!Z61</f>
        <v>117766</v>
      </c>
      <c r="J68" s="10">
        <f>I68</f>
        <v>117766</v>
      </c>
      <c r="K68" s="11"/>
      <c r="L68" s="11"/>
      <c r="M68" s="11"/>
      <c r="N68" s="28" t="s">
        <v>139</v>
      </c>
      <c r="O68" s="60">
        <f>IF(OR((O57*I55&gt;J63),((O66+O67+(O57*I55))&gt;J63)),(J63-O66-O67),(O57*I55))</f>
        <v>9051375.7837443184</v>
      </c>
      <c r="P68" s="76"/>
      <c r="Q68" s="48"/>
      <c r="R68" s="78"/>
      <c r="S68" s="48"/>
      <c r="T68" s="65" t="s">
        <v>150</v>
      </c>
      <c r="U68" s="72">
        <f>R64</f>
        <v>1450808.896563384</v>
      </c>
      <c r="V68" s="48"/>
      <c r="W68" s="48"/>
      <c r="X68" s="48"/>
    </row>
    <row r="69" spans="1:24" ht="15.75">
      <c r="H69" s="37" t="s">
        <v>109</v>
      </c>
      <c r="I69" s="60">
        <f>ONSV_AUX_2016!Z62</f>
        <v>4331281</v>
      </c>
      <c r="J69" s="10">
        <f>I69</f>
        <v>4331281</v>
      </c>
      <c r="K69" s="11"/>
      <c r="L69" s="11"/>
      <c r="M69" s="11"/>
      <c r="N69" s="28" t="s">
        <v>151</v>
      </c>
      <c r="O69" s="60">
        <f>IF((J63-O66-O68-O67)&lt;0,0,(J63-O66-O68-O67))</f>
        <v>5898907.8615724873</v>
      </c>
      <c r="P69" s="48"/>
      <c r="Q69" s="48"/>
      <c r="R69" s="48"/>
      <c r="S69" s="48"/>
      <c r="T69" s="48"/>
      <c r="U69" s="62"/>
      <c r="V69" s="48"/>
      <c r="W69" s="48"/>
      <c r="X69" s="48"/>
    </row>
    <row r="70" spans="1:24" ht="15.75">
      <c r="H70" s="37" t="s">
        <v>110</v>
      </c>
      <c r="I70" s="60">
        <f>ONSV_AUX_2016!Z63</f>
        <v>814292</v>
      </c>
      <c r="J70" s="10">
        <f>I70</f>
        <v>814292</v>
      </c>
      <c r="K70" s="11"/>
      <c r="L70" s="11"/>
      <c r="M70" s="11"/>
      <c r="O70" s="48"/>
      <c r="P70" s="76"/>
      <c r="Q70" s="48"/>
      <c r="R70" s="48"/>
      <c r="S70" s="48"/>
      <c r="T70" s="79" t="s">
        <v>156</v>
      </c>
      <c r="U70" s="80">
        <f>(SUM(U56:U68,X56:X67)/SUM(I63:I72))-1</f>
        <v>0</v>
      </c>
      <c r="V70" s="48"/>
      <c r="W70" s="79" t="s">
        <v>10</v>
      </c>
      <c r="X70" s="67">
        <f>SUM(U56:U68,X56:X67)</f>
        <v>26404617.000000004</v>
      </c>
    </row>
    <row r="71" spans="1:24" ht="15.75">
      <c r="H71" s="37" t="s">
        <v>111</v>
      </c>
      <c r="I71" s="60">
        <f>ONSV_AUX_2016!Z64</f>
        <v>154245</v>
      </c>
      <c r="J71" s="10">
        <f>I71</f>
        <v>154245</v>
      </c>
      <c r="K71" s="11"/>
      <c r="L71" s="11"/>
      <c r="M71" s="11"/>
      <c r="O71" s="48"/>
      <c r="P71" s="76"/>
      <c r="Q71" s="48"/>
      <c r="R71" s="48"/>
      <c r="S71" s="48"/>
      <c r="T71" s="48"/>
      <c r="U71" s="48"/>
      <c r="V71" s="48"/>
      <c r="W71" s="48"/>
      <c r="X71" s="48"/>
    </row>
    <row r="72" spans="1:24" ht="15.75">
      <c r="H72" s="37" t="s">
        <v>112</v>
      </c>
      <c r="I72" s="60">
        <f>ONSV_AUX_2016!Z65</f>
        <v>214598</v>
      </c>
      <c r="J72" s="61">
        <f>I72-(L61*I57)</f>
        <v>214571.2252078763</v>
      </c>
      <c r="K72" s="12"/>
      <c r="L72" s="12"/>
      <c r="M72" s="12"/>
      <c r="N72" s="12"/>
      <c r="O72" s="12"/>
      <c r="P72" s="12"/>
      <c r="Q72" s="4"/>
      <c r="R72" s="4"/>
    </row>
    <row r="75" spans="1:24" s="34" customFormat="1" ht="15.75">
      <c r="A75" s="101" t="str">
        <f>"SÃO PAULO/"&amp;ONSV_AUX_2015!A1&amp;""</f>
        <v>SÃO PAULO/2015</v>
      </c>
      <c r="B75" s="102"/>
      <c r="C75" s="102"/>
      <c r="D75" s="102"/>
      <c r="E75" s="102"/>
      <c r="F75" s="102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 spans="1:24"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>
      <c r="H77" s="23" t="s">
        <v>118</v>
      </c>
      <c r="P77" s="9"/>
    </row>
    <row r="78" spans="1:24" ht="15.75">
      <c r="J78" s="9"/>
      <c r="M78" s="25"/>
      <c r="P78" s="9"/>
    </row>
    <row r="79" spans="1:24" ht="15.75">
      <c r="H79" s="36" t="s">
        <v>81</v>
      </c>
      <c r="I79" s="60">
        <f>ONSV_AUX_2015!Z27</f>
        <v>1837534</v>
      </c>
      <c r="J79" s="9"/>
      <c r="K79" s="104" t="s">
        <v>119</v>
      </c>
      <c r="L79" s="104"/>
      <c r="M79" s="9"/>
      <c r="N79" s="26" t="s">
        <v>120</v>
      </c>
      <c r="O79" s="26"/>
      <c r="Q79" s="26" t="s">
        <v>121</v>
      </c>
      <c r="R79" s="26"/>
      <c r="S79" s="26"/>
      <c r="T79" s="25" t="s">
        <v>122</v>
      </c>
      <c r="U79" s="25"/>
      <c r="V79" s="25"/>
      <c r="W79" s="25"/>
      <c r="X79" s="25"/>
    </row>
    <row r="80" spans="1:24" ht="15.75">
      <c r="H80" s="36" t="s">
        <v>84</v>
      </c>
      <c r="I80" s="60">
        <f>ONSV_AUX_2015!Z28</f>
        <v>8539599</v>
      </c>
      <c r="J80" s="9"/>
      <c r="K80" s="9"/>
      <c r="L80" s="9"/>
      <c r="M80" s="9"/>
      <c r="N80" s="9"/>
      <c r="O80" s="9"/>
      <c r="P80" s="20"/>
      <c r="Q80" s="11"/>
      <c r="R80" s="11"/>
      <c r="S80" s="11"/>
    </row>
    <row r="81" spans="8:24" ht="15.75">
      <c r="H81" s="36" t="s">
        <v>85</v>
      </c>
      <c r="I81" s="60">
        <f>ONSV_AUX_2015!Z29</f>
        <v>1609910</v>
      </c>
      <c r="J81" s="9"/>
      <c r="K81" s="2" t="s">
        <v>123</v>
      </c>
      <c r="L81" s="60">
        <f>I88+I91+I92+I97</f>
        <v>19539621</v>
      </c>
      <c r="N81" s="28" t="s">
        <v>124</v>
      </c>
      <c r="O81" s="60">
        <f>J88+J97</f>
        <v>16778888.304307949</v>
      </c>
      <c r="P81" s="64"/>
      <c r="Q81" s="65" t="s">
        <v>125</v>
      </c>
      <c r="R81" s="60">
        <f>J91+J92</f>
        <v>2758676.6956920503</v>
      </c>
      <c r="S81" s="66"/>
      <c r="T81" s="65" t="s">
        <v>126</v>
      </c>
      <c r="U81" s="67">
        <f>O85</f>
        <v>96729.326468622749</v>
      </c>
      <c r="V81" s="48"/>
      <c r="W81" s="65" t="s">
        <v>127</v>
      </c>
      <c r="X81" s="68">
        <f>R87</f>
        <v>194241.05284695321</v>
      </c>
    </row>
    <row r="82" spans="8:24" ht="15.75">
      <c r="H82" s="36" t="s">
        <v>101</v>
      </c>
      <c r="I82" s="60">
        <f>ONSV_AUX_2015!Z30</f>
        <v>2056</v>
      </c>
      <c r="J82" s="9"/>
      <c r="K82" s="27"/>
      <c r="L82" s="62"/>
      <c r="M82" s="20"/>
      <c r="N82" s="28" t="s">
        <v>128</v>
      </c>
      <c r="O82" s="69">
        <f>J88/O81</f>
        <v>0.9886728491034974</v>
      </c>
      <c r="P82" s="64"/>
      <c r="Q82" s="70" t="s">
        <v>129</v>
      </c>
      <c r="R82" s="63">
        <f>J91/R81</f>
        <v>0.62821121093510723</v>
      </c>
      <c r="S82" s="71"/>
      <c r="T82" s="65" t="s">
        <v>130</v>
      </c>
      <c r="U82" s="67">
        <f>I97-J97</f>
        <v>20.000301541149383</v>
      </c>
      <c r="V82" s="48"/>
      <c r="W82" s="65" t="s">
        <v>131</v>
      </c>
      <c r="X82" s="68">
        <f>I92-J92</f>
        <v>107.93188711290713</v>
      </c>
    </row>
    <row r="83" spans="8:24" ht="15.75">
      <c r="H83" s="36" t="s">
        <v>16</v>
      </c>
      <c r="I83" s="60">
        <f>ONSV_AUX_2015!Z31</f>
        <v>282901</v>
      </c>
      <c r="J83" s="9"/>
      <c r="K83" s="2" t="s">
        <v>132</v>
      </c>
      <c r="L83" s="63">
        <f>I88/L81</f>
        <v>0.84907363351622833</v>
      </c>
      <c r="M83" s="20"/>
      <c r="N83" s="28" t="s">
        <v>133</v>
      </c>
      <c r="O83" s="69">
        <f>J97/O81</f>
        <v>1.1327150896502604E-2</v>
      </c>
      <c r="P83" s="64"/>
      <c r="Q83" s="70" t="s">
        <v>134</v>
      </c>
      <c r="R83" s="63">
        <f>J92/R81</f>
        <v>0.37178878906489277</v>
      </c>
      <c r="S83" s="71"/>
      <c r="T83" s="65" t="s">
        <v>135</v>
      </c>
      <c r="U83" s="72">
        <f>O87</f>
        <v>93327.673229836102</v>
      </c>
      <c r="V83" s="73"/>
      <c r="W83" s="65" t="s">
        <v>136</v>
      </c>
      <c r="X83" s="72">
        <f>R90</f>
        <v>831404.01526593394</v>
      </c>
    </row>
    <row r="84" spans="8:24" ht="15.75">
      <c r="H84" s="36" t="s">
        <v>94</v>
      </c>
      <c r="I84" s="60">
        <f>ONSV_AUX_2015!Z32</f>
        <v>13321851</v>
      </c>
      <c r="J84" s="10"/>
      <c r="K84" s="2" t="s">
        <v>2</v>
      </c>
      <c r="L84" s="63">
        <f>I91/L81</f>
        <v>8.8702539317420739E-2</v>
      </c>
      <c r="M84" s="20"/>
      <c r="N84" s="20"/>
      <c r="O84" s="74"/>
      <c r="P84" s="48"/>
      <c r="Q84" s="48"/>
      <c r="R84" s="48"/>
      <c r="S84" s="48"/>
      <c r="T84" s="48"/>
      <c r="U84" s="62"/>
      <c r="V84" s="75"/>
      <c r="W84" s="48"/>
      <c r="X84" s="62"/>
    </row>
    <row r="85" spans="8:24" ht="15.75">
      <c r="K85" s="2" t="s">
        <v>3</v>
      </c>
      <c r="L85" s="63">
        <f>I92/L81</f>
        <v>5.2496054043218138E-2</v>
      </c>
      <c r="M85" s="20"/>
      <c r="N85" s="28" t="s">
        <v>137</v>
      </c>
      <c r="O85" s="60">
        <f>IF(O83*I80&gt;J97,J97,O83*I80)</f>
        <v>96729.326468622749</v>
      </c>
      <c r="P85" s="76"/>
      <c r="Q85" s="65" t="s">
        <v>138</v>
      </c>
      <c r="R85" s="60">
        <f>I81-I89-I90-I93-I96</f>
        <v>522450</v>
      </c>
      <c r="S85" s="77"/>
      <c r="T85" s="65" t="s">
        <v>139</v>
      </c>
      <c r="U85" s="67">
        <f>O93</f>
        <v>8442869.6735313777</v>
      </c>
      <c r="V85" s="76"/>
      <c r="W85" s="65" t="s">
        <v>140</v>
      </c>
      <c r="X85" s="67">
        <f>I89</f>
        <v>662006</v>
      </c>
    </row>
    <row r="86" spans="8:24" ht="15.75">
      <c r="H86" s="24" t="s">
        <v>141</v>
      </c>
      <c r="K86" s="2" t="s">
        <v>0</v>
      </c>
      <c r="L86" s="63">
        <f>I97/L81</f>
        <v>9.727773123132737E-3</v>
      </c>
      <c r="O86" s="48"/>
      <c r="P86" s="76"/>
      <c r="Q86" s="65" t="s">
        <v>142</v>
      </c>
      <c r="R86" s="60">
        <f>R82*R85</f>
        <v>328208.94715304679</v>
      </c>
      <c r="S86" s="48"/>
      <c r="T86" s="65" t="s">
        <v>143</v>
      </c>
      <c r="U86" s="67">
        <f>O91</f>
        <v>1837534</v>
      </c>
      <c r="V86" s="66"/>
      <c r="W86" s="65" t="s">
        <v>144</v>
      </c>
      <c r="X86" s="67">
        <f>I90</f>
        <v>157832</v>
      </c>
    </row>
    <row r="87" spans="8:24" ht="15.75">
      <c r="K87" s="11"/>
      <c r="L87" s="11"/>
      <c r="M87" s="11"/>
      <c r="N87" s="28" t="s">
        <v>145</v>
      </c>
      <c r="O87" s="60">
        <f>J97-O85</f>
        <v>93327.673229836102</v>
      </c>
      <c r="P87" s="76"/>
      <c r="Q87" s="65" t="s">
        <v>127</v>
      </c>
      <c r="R87" s="60">
        <f>R83*R85</f>
        <v>194241.05284695321</v>
      </c>
      <c r="S87" s="48"/>
      <c r="T87" s="65" t="s">
        <v>146</v>
      </c>
      <c r="U87" s="67">
        <f>O92</f>
        <v>282901</v>
      </c>
      <c r="V87" s="71"/>
      <c r="W87" s="48"/>
      <c r="X87" s="62"/>
    </row>
    <row r="88" spans="8:24" ht="15.75">
      <c r="H88" s="37" t="s">
        <v>103</v>
      </c>
      <c r="I88" s="60">
        <f>ONSV_AUX_2015!Z56</f>
        <v>16590577</v>
      </c>
      <c r="J88" s="61">
        <f>I88-(L83*I82)</f>
        <v>16588831.304609491</v>
      </c>
      <c r="K88" s="11"/>
      <c r="L88" s="11"/>
      <c r="M88" s="11"/>
      <c r="O88" s="76"/>
      <c r="P88" s="76"/>
      <c r="Q88" s="48"/>
      <c r="R88" s="78"/>
      <c r="S88" s="48"/>
      <c r="T88" s="65" t="s">
        <v>147</v>
      </c>
      <c r="U88" s="68">
        <f>I88-J88</f>
        <v>1745.6953905094415</v>
      </c>
      <c r="V88" s="71"/>
      <c r="W88" s="65" t="s">
        <v>148</v>
      </c>
      <c r="X88" s="67">
        <f>I96</f>
        <v>152208</v>
      </c>
    </row>
    <row r="89" spans="8:24" ht="15.75">
      <c r="H89" s="37" t="s">
        <v>104</v>
      </c>
      <c r="I89" s="60">
        <f>ONSV_AUX_2015!Z57</f>
        <v>662006</v>
      </c>
      <c r="J89" s="10">
        <f>I89</f>
        <v>662006</v>
      </c>
      <c r="K89" s="11"/>
      <c r="L89" s="11"/>
      <c r="M89" s="11"/>
      <c r="N89" s="26" t="s">
        <v>149</v>
      </c>
      <c r="O89" s="76"/>
      <c r="P89" s="76"/>
      <c r="Q89" s="65" t="s">
        <v>150</v>
      </c>
      <c r="R89" s="60">
        <f>J91-R86</f>
        <v>1404822.6804261166</v>
      </c>
      <c r="S89" s="48"/>
      <c r="T89" s="65" t="s">
        <v>151</v>
      </c>
      <c r="U89" s="72">
        <f>O94</f>
        <v>6025526.6310781129</v>
      </c>
      <c r="V89" s="48"/>
      <c r="W89" s="65" t="s">
        <v>152</v>
      </c>
      <c r="X89" s="67">
        <f>I93</f>
        <v>115414</v>
      </c>
    </row>
    <row r="90" spans="8:24" ht="15.75">
      <c r="H90" s="37" t="s">
        <v>105</v>
      </c>
      <c r="I90" s="60">
        <f>ONSV_AUX_2015!Z58</f>
        <v>157832</v>
      </c>
      <c r="J90" s="10">
        <f>I90</f>
        <v>157832</v>
      </c>
      <c r="K90" s="11"/>
      <c r="L90" s="11"/>
      <c r="M90" s="11"/>
      <c r="O90" s="73"/>
      <c r="P90" s="76"/>
      <c r="Q90" s="65" t="s">
        <v>136</v>
      </c>
      <c r="R90" s="60">
        <f>J92-R87</f>
        <v>831404.01526593394</v>
      </c>
      <c r="S90" s="48"/>
      <c r="T90" s="48"/>
      <c r="U90" s="62"/>
      <c r="V90" s="77"/>
      <c r="W90" s="48"/>
      <c r="X90" s="62"/>
    </row>
    <row r="91" spans="8:24" ht="15.75">
      <c r="H91" s="37" t="s">
        <v>106</v>
      </c>
      <c r="I91" s="60">
        <f>ONSV_AUX_2015!Z59</f>
        <v>1733214</v>
      </c>
      <c r="J91" s="61">
        <f>I91-(L84*I82)</f>
        <v>1733031.6275791633</v>
      </c>
      <c r="K91" s="11"/>
      <c r="L91" s="11"/>
      <c r="M91" s="11"/>
      <c r="N91" s="28" t="s">
        <v>143</v>
      </c>
      <c r="O91" s="60">
        <f>I79</f>
        <v>1837534</v>
      </c>
      <c r="P91" s="76"/>
      <c r="Q91" s="48"/>
      <c r="R91" s="48"/>
      <c r="S91" s="77"/>
      <c r="T91" s="65" t="s">
        <v>142</v>
      </c>
      <c r="U91" s="68">
        <f>R86</f>
        <v>328208.94715304679</v>
      </c>
      <c r="V91" s="48"/>
      <c r="W91" s="65" t="s">
        <v>153</v>
      </c>
      <c r="X91" s="67">
        <f>I94</f>
        <v>4202417</v>
      </c>
    </row>
    <row r="92" spans="8:24" ht="15.75">
      <c r="H92" s="37" t="s">
        <v>107</v>
      </c>
      <c r="I92" s="60">
        <f>ONSV_AUX_2015!Z60</f>
        <v>1025753</v>
      </c>
      <c r="J92" s="61">
        <f>I92-(L85*I82)</f>
        <v>1025645.0681128871</v>
      </c>
      <c r="K92" s="11"/>
      <c r="L92" s="11"/>
      <c r="M92" s="11"/>
      <c r="N92" s="28" t="s">
        <v>146</v>
      </c>
      <c r="O92" s="60">
        <f>I83</f>
        <v>282901</v>
      </c>
      <c r="P92" s="76"/>
      <c r="Q92" s="48"/>
      <c r="R92" s="48"/>
      <c r="S92" s="48"/>
      <c r="T92" s="65" t="s">
        <v>154</v>
      </c>
      <c r="U92" s="68">
        <f>I91-J91</f>
        <v>182.37242083670571</v>
      </c>
      <c r="V92" s="48"/>
      <c r="W92" s="65" t="s">
        <v>155</v>
      </c>
      <c r="X92" s="67">
        <f>I95</f>
        <v>775941</v>
      </c>
    </row>
    <row r="93" spans="8:24" ht="15.75">
      <c r="H93" s="37" t="s">
        <v>108</v>
      </c>
      <c r="I93" s="60">
        <f>ONSV_AUX_2015!Z61</f>
        <v>115414</v>
      </c>
      <c r="J93" s="10">
        <f>I93</f>
        <v>115414</v>
      </c>
      <c r="K93" s="11"/>
      <c r="L93" s="11"/>
      <c r="M93" s="11"/>
      <c r="N93" s="28" t="s">
        <v>139</v>
      </c>
      <c r="O93" s="60">
        <f>IF(OR((O82*I80&gt;J88),((O91+O92+(O82*I80))&gt;J88)),(J88-O91-O92),(O82*I80))</f>
        <v>8442869.6735313777</v>
      </c>
      <c r="P93" s="76"/>
      <c r="Q93" s="48"/>
      <c r="R93" s="78"/>
      <c r="S93" s="48"/>
      <c r="T93" s="65" t="s">
        <v>150</v>
      </c>
      <c r="U93" s="72">
        <f>R89</f>
        <v>1404822.6804261166</v>
      </c>
      <c r="V93" s="48"/>
      <c r="W93" s="48"/>
      <c r="X93" s="48"/>
    </row>
    <row r="94" spans="8:24" ht="15.75">
      <c r="H94" s="37" t="s">
        <v>109</v>
      </c>
      <c r="I94" s="60">
        <f>ONSV_AUX_2015!Z62</f>
        <v>4202417</v>
      </c>
      <c r="J94" s="10">
        <f>I94</f>
        <v>4202417</v>
      </c>
      <c r="K94" s="11"/>
      <c r="L94" s="11"/>
      <c r="M94" s="11"/>
      <c r="N94" s="28" t="s">
        <v>151</v>
      </c>
      <c r="O94" s="60">
        <f>IF((J88-O91-O93-O92)&lt;0,0,(J88-O91-O93-O92))</f>
        <v>6025526.6310781129</v>
      </c>
      <c r="P94" s="48"/>
      <c r="Q94" s="48"/>
      <c r="R94" s="48"/>
      <c r="S94" s="48"/>
      <c r="T94" s="48"/>
      <c r="U94" s="62"/>
      <c r="V94" s="48"/>
      <c r="W94" s="48"/>
      <c r="X94" s="48"/>
    </row>
    <row r="95" spans="8:24" ht="15.75">
      <c r="H95" s="37" t="s">
        <v>110</v>
      </c>
      <c r="I95" s="60">
        <f>ONSV_AUX_2015!Z63</f>
        <v>775941</v>
      </c>
      <c r="J95" s="10">
        <f>I95</f>
        <v>775941</v>
      </c>
      <c r="K95" s="11"/>
      <c r="L95" s="11"/>
      <c r="M95" s="11"/>
      <c r="O95" s="48"/>
      <c r="P95" s="76"/>
      <c r="Q95" s="48"/>
      <c r="R95" s="48"/>
      <c r="S95" s="48"/>
      <c r="T95" s="79" t="s">
        <v>156</v>
      </c>
      <c r="U95" s="80">
        <f>(SUM(U81:U93,X81:X92)/SUM(I88:I97))-1</f>
        <v>0</v>
      </c>
      <c r="V95" s="48"/>
      <c r="W95" s="79" t="s">
        <v>10</v>
      </c>
      <c r="X95" s="67">
        <f>SUM(U81:U93,X81:X92)</f>
        <v>25605439</v>
      </c>
    </row>
    <row r="96" spans="8:24" ht="15.75">
      <c r="H96" s="37" t="s">
        <v>111</v>
      </c>
      <c r="I96" s="60">
        <f>ONSV_AUX_2015!Z64</f>
        <v>152208</v>
      </c>
      <c r="J96" s="10">
        <f>I96</f>
        <v>152208</v>
      </c>
      <c r="K96" s="11"/>
      <c r="L96" s="11"/>
      <c r="M96" s="11"/>
      <c r="O96" s="48"/>
      <c r="P96" s="76"/>
      <c r="Q96" s="48"/>
      <c r="R96" s="48"/>
      <c r="S96" s="48"/>
      <c r="T96" s="48"/>
      <c r="U96" s="48"/>
      <c r="V96" s="48"/>
      <c r="W96" s="48"/>
      <c r="X96" s="48"/>
    </row>
    <row r="97" spans="1:24" ht="15.75">
      <c r="H97" s="37" t="s">
        <v>112</v>
      </c>
      <c r="I97" s="60">
        <f>ONSV_AUX_2015!Z65</f>
        <v>190077</v>
      </c>
      <c r="J97" s="61">
        <f>I97-(L86*I82)</f>
        <v>190056.99969845885</v>
      </c>
      <c r="K97" s="12"/>
      <c r="L97" s="12"/>
      <c r="M97" s="12"/>
      <c r="N97" s="12"/>
      <c r="O97" s="12"/>
      <c r="P97" s="12"/>
      <c r="Q97" s="4"/>
      <c r="R97" s="4"/>
    </row>
    <row r="98" spans="1:24" ht="15.75">
      <c r="I98" s="40"/>
      <c r="J98" s="21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4" ht="15.75">
      <c r="I99" s="40"/>
      <c r="J99" s="21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4" s="34" customFormat="1" ht="15.75">
      <c r="A100" s="101" t="str">
        <f>"SÃO PAULO/"&amp;ONSV_AUX_2014!A1&amp;""</f>
        <v>SÃO PAULO/2014</v>
      </c>
      <c r="B100" s="102"/>
      <c r="C100" s="102"/>
      <c r="D100" s="102"/>
      <c r="E100" s="102"/>
      <c r="F100" s="102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</row>
    <row r="101" spans="1:24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>
      <c r="H102" s="23" t="s">
        <v>118</v>
      </c>
      <c r="N102" s="26"/>
      <c r="O102" s="26"/>
      <c r="P102" s="9"/>
      <c r="Q102" s="26"/>
      <c r="R102" s="26"/>
      <c r="S102" s="26"/>
      <c r="T102" s="25"/>
      <c r="U102" s="25"/>
      <c r="V102" s="25"/>
      <c r="W102" s="25"/>
      <c r="X102" s="25"/>
    </row>
    <row r="103" spans="1:24" ht="15.75">
      <c r="J103" s="9"/>
      <c r="M103" s="25"/>
      <c r="N103" s="9"/>
      <c r="O103" s="9"/>
      <c r="P103" s="9"/>
      <c r="Q103" s="11"/>
      <c r="R103" s="11"/>
      <c r="S103" s="11"/>
    </row>
    <row r="104" spans="1:24" ht="15.75">
      <c r="H104" s="36" t="s">
        <v>81</v>
      </c>
      <c r="I104" s="60">
        <f>ONSV_AUX_2014!Z27</f>
        <v>1839232</v>
      </c>
      <c r="J104" s="9"/>
      <c r="K104" s="104" t="s">
        <v>119</v>
      </c>
      <c r="L104" s="104"/>
      <c r="M104" s="9"/>
      <c r="N104" s="26" t="s">
        <v>120</v>
      </c>
      <c r="O104" s="26"/>
      <c r="Q104" s="26" t="s">
        <v>121</v>
      </c>
      <c r="R104" s="26"/>
      <c r="S104" s="26"/>
      <c r="T104" s="25" t="s">
        <v>122</v>
      </c>
      <c r="U104" s="25"/>
      <c r="V104" s="25"/>
      <c r="W104" s="25"/>
      <c r="X104" s="25"/>
    </row>
    <row r="105" spans="1:24" ht="15.75">
      <c r="H105" s="36" t="s">
        <v>84</v>
      </c>
      <c r="I105" s="60">
        <f>ONSV_AUX_2014!Z28</f>
        <v>7701680</v>
      </c>
      <c r="J105" s="9"/>
      <c r="K105" s="9"/>
      <c r="L105" s="9"/>
      <c r="M105" s="9"/>
      <c r="N105" s="9"/>
      <c r="O105" s="9"/>
      <c r="P105" s="20"/>
      <c r="Q105" s="11"/>
      <c r="R105" s="11"/>
      <c r="S105" s="11"/>
    </row>
    <row r="106" spans="1:24" ht="15.75">
      <c r="H106" s="36" t="s">
        <v>85</v>
      </c>
      <c r="I106" s="60">
        <f>ONSV_AUX_2014!Z29</f>
        <v>1546849</v>
      </c>
      <c r="J106" s="9"/>
      <c r="K106" s="2" t="s">
        <v>123</v>
      </c>
      <c r="L106" s="60">
        <f>I113+I116+I117+I122</f>
        <v>18736254</v>
      </c>
      <c r="N106" s="28" t="s">
        <v>124</v>
      </c>
      <c r="O106" s="60">
        <f>J113+J122</f>
        <v>16133363.242066422</v>
      </c>
      <c r="P106" s="64"/>
      <c r="Q106" s="65" t="s">
        <v>125</v>
      </c>
      <c r="R106" s="60">
        <f>J116+J117</f>
        <v>2601066.7579335761</v>
      </c>
      <c r="S106" s="66"/>
      <c r="T106" s="65" t="s">
        <v>126</v>
      </c>
      <c r="U106" s="67">
        <f>O110</f>
        <v>78865.334866569654</v>
      </c>
      <c r="V106" s="48"/>
      <c r="W106" s="65" t="s">
        <v>127</v>
      </c>
      <c r="X106" s="68">
        <f>R112</f>
        <v>180594.73840050437</v>
      </c>
    </row>
    <row r="107" spans="1:24" ht="15.75">
      <c r="H107" s="36" t="s">
        <v>101</v>
      </c>
      <c r="I107" s="60">
        <f>ONSV_AUX_2014!Z30</f>
        <v>1824</v>
      </c>
      <c r="J107" s="9"/>
      <c r="K107" s="27"/>
      <c r="L107" s="62"/>
      <c r="M107" s="20"/>
      <c r="N107" s="28" t="s">
        <v>128</v>
      </c>
      <c r="O107" s="69">
        <f>J113/O106</f>
        <v>0.98975998290417555</v>
      </c>
      <c r="P107" s="64"/>
      <c r="Q107" s="70" t="s">
        <v>129</v>
      </c>
      <c r="R107" s="63">
        <f>J116/R106</f>
        <v>0.6290744698845202</v>
      </c>
      <c r="S107" s="71"/>
      <c r="T107" s="65" t="s">
        <v>130</v>
      </c>
      <c r="U107" s="67">
        <f>I122-J122</f>
        <v>16.084588093217462</v>
      </c>
      <c r="V107" s="48"/>
      <c r="W107" s="65" t="s">
        <v>131</v>
      </c>
      <c r="X107" s="68">
        <f>I117-J117</f>
        <v>93.933947735815309</v>
      </c>
    </row>
    <row r="108" spans="1:24" ht="15.75">
      <c r="H108" s="36" t="s">
        <v>16</v>
      </c>
      <c r="I108" s="60">
        <f>ONSV_AUX_2014!Z31</f>
        <v>290506</v>
      </c>
      <c r="J108" s="9"/>
      <c r="K108" s="2" t="s">
        <v>132</v>
      </c>
      <c r="L108" s="63">
        <f>I113/L106</f>
        <v>0.85234284291833362</v>
      </c>
      <c r="M108" s="20"/>
      <c r="N108" s="28" t="s">
        <v>133</v>
      </c>
      <c r="O108" s="69">
        <f>J122/O106</f>
        <v>1.0240017095824502E-2</v>
      </c>
      <c r="P108" s="64"/>
      <c r="Q108" s="70" t="s">
        <v>134</v>
      </c>
      <c r="R108" s="63">
        <f>J117/R106</f>
        <v>0.37092553011547985</v>
      </c>
      <c r="S108" s="71"/>
      <c r="T108" s="65" t="s">
        <v>135</v>
      </c>
      <c r="U108" s="72">
        <f>O112</f>
        <v>86340.580545337129</v>
      </c>
      <c r="V108" s="73"/>
      <c r="W108" s="65" t="s">
        <v>136</v>
      </c>
      <c r="X108" s="72">
        <f>R115</f>
        <v>784207.32765175984</v>
      </c>
    </row>
    <row r="109" spans="1:24" ht="15.75">
      <c r="H109" s="36" t="s">
        <v>94</v>
      </c>
      <c r="I109" s="60">
        <f>ONSV_AUX_2014!Z32</f>
        <v>13190535</v>
      </c>
      <c r="J109" s="10"/>
      <c r="K109" s="2" t="s">
        <v>2</v>
      </c>
      <c r="L109" s="63">
        <f>I116/L106</f>
        <v>8.733997735086213E-2</v>
      </c>
      <c r="M109" s="20"/>
      <c r="N109" s="20"/>
      <c r="O109" s="74"/>
      <c r="P109" s="48"/>
      <c r="Q109" s="48"/>
      <c r="R109" s="48"/>
      <c r="S109" s="48"/>
      <c r="T109" s="48"/>
      <c r="U109" s="62"/>
      <c r="V109" s="75"/>
      <c r="W109" s="48"/>
      <c r="X109" s="62"/>
    </row>
    <row r="110" spans="1:24" ht="15.75">
      <c r="K110" s="2" t="s">
        <v>3</v>
      </c>
      <c r="L110" s="63">
        <f>I117/L106</f>
        <v>5.1498874855133797E-2</v>
      </c>
      <c r="M110" s="20"/>
      <c r="N110" s="28" t="s">
        <v>137</v>
      </c>
      <c r="O110" s="60">
        <f>IF(O108*I105&gt;J122,J122,O108*I105)</f>
        <v>78865.334866569654</v>
      </c>
      <c r="P110" s="76"/>
      <c r="Q110" s="65" t="s">
        <v>138</v>
      </c>
      <c r="R110" s="60">
        <f>I106-I114-I115-I118-I121</f>
        <v>486876</v>
      </c>
      <c r="S110" s="77"/>
      <c r="T110" s="65" t="s">
        <v>139</v>
      </c>
      <c r="U110" s="67">
        <f>O118</f>
        <v>7622814.6651334306</v>
      </c>
      <c r="V110" s="76"/>
      <c r="W110" s="65" t="s">
        <v>140</v>
      </c>
      <c r="X110" s="67">
        <f>I114</f>
        <v>650072</v>
      </c>
    </row>
    <row r="111" spans="1:24" ht="15.75">
      <c r="H111" s="24" t="s">
        <v>141</v>
      </c>
      <c r="K111" s="2" t="s">
        <v>0</v>
      </c>
      <c r="L111" s="63">
        <f>I122/L106</f>
        <v>8.8183048756704518E-3</v>
      </c>
      <c r="O111" s="48"/>
      <c r="P111" s="76"/>
      <c r="Q111" s="65" t="s">
        <v>142</v>
      </c>
      <c r="R111" s="60">
        <f>R107*R110</f>
        <v>306281.26159949566</v>
      </c>
      <c r="S111" s="48"/>
      <c r="T111" s="65" t="s">
        <v>143</v>
      </c>
      <c r="U111" s="67">
        <f>O116</f>
        <v>1839232</v>
      </c>
      <c r="V111" s="66"/>
      <c r="W111" s="65" t="s">
        <v>144</v>
      </c>
      <c r="X111" s="67">
        <f>I115</f>
        <v>151322</v>
      </c>
    </row>
    <row r="112" spans="1:24" ht="15.75">
      <c r="K112" s="11"/>
      <c r="L112" s="11"/>
      <c r="M112" s="11"/>
      <c r="N112" s="28" t="s">
        <v>145</v>
      </c>
      <c r="O112" s="60">
        <f>J122-O110</f>
        <v>86340.580545337129</v>
      </c>
      <c r="P112" s="76"/>
      <c r="Q112" s="65" t="s">
        <v>127</v>
      </c>
      <c r="R112" s="60">
        <f>R108*R110</f>
        <v>180594.73840050437</v>
      </c>
      <c r="S112" s="48"/>
      <c r="T112" s="65" t="s">
        <v>146</v>
      </c>
      <c r="U112" s="67">
        <f>O117</f>
        <v>290506</v>
      </c>
      <c r="V112" s="71"/>
      <c r="W112" s="48"/>
      <c r="X112" s="62"/>
    </row>
    <row r="113" spans="8:24" ht="15.75">
      <c r="H113" s="37" t="s">
        <v>103</v>
      </c>
      <c r="I113" s="60">
        <f>ONSV_AUX_2014!Z56</f>
        <v>15969712</v>
      </c>
      <c r="J113" s="61">
        <f>I113-(L108*I107)</f>
        <v>15968157.326654516</v>
      </c>
      <c r="K113" s="11"/>
      <c r="L113" s="11"/>
      <c r="M113" s="11"/>
      <c r="O113" s="76"/>
      <c r="P113" s="76"/>
      <c r="Q113" s="48"/>
      <c r="R113" s="78"/>
      <c r="S113" s="48"/>
      <c r="T113" s="65" t="s">
        <v>147</v>
      </c>
      <c r="U113" s="68">
        <f>I113-J113</f>
        <v>1554.6733454838395</v>
      </c>
      <c r="V113" s="71"/>
      <c r="W113" s="65" t="s">
        <v>148</v>
      </c>
      <c r="X113" s="67">
        <f>I121</f>
        <v>147744</v>
      </c>
    </row>
    <row r="114" spans="8:24" ht="15.75">
      <c r="H114" s="37" t="s">
        <v>104</v>
      </c>
      <c r="I114" s="60">
        <f>ONSV_AUX_2014!Z57</f>
        <v>650072</v>
      </c>
      <c r="J114" s="10">
        <f>I114</f>
        <v>650072</v>
      </c>
      <c r="K114" s="11"/>
      <c r="L114" s="11"/>
      <c r="M114" s="11"/>
      <c r="N114" s="26" t="s">
        <v>149</v>
      </c>
      <c r="O114" s="76"/>
      <c r="P114" s="76"/>
      <c r="Q114" s="65" t="s">
        <v>150</v>
      </c>
      <c r="R114" s="60">
        <f>J116-R111</f>
        <v>1329983.4302818165</v>
      </c>
      <c r="S114" s="48"/>
      <c r="T114" s="65" t="s">
        <v>151</v>
      </c>
      <c r="U114" s="72">
        <f>O119</f>
        <v>6215604.6615210855</v>
      </c>
      <c r="V114" s="48"/>
      <c r="W114" s="65" t="s">
        <v>152</v>
      </c>
      <c r="X114" s="67">
        <f>I118</f>
        <v>110835</v>
      </c>
    </row>
    <row r="115" spans="8:24" ht="15.75">
      <c r="H115" s="37" t="s">
        <v>105</v>
      </c>
      <c r="I115" s="60">
        <f>ONSV_AUX_2014!Z58</f>
        <v>151322</v>
      </c>
      <c r="J115" s="10">
        <f>I115</f>
        <v>151322</v>
      </c>
      <c r="K115" s="11"/>
      <c r="L115" s="11"/>
      <c r="M115" s="11"/>
      <c r="O115" s="73"/>
      <c r="P115" s="76"/>
      <c r="Q115" s="65" t="s">
        <v>136</v>
      </c>
      <c r="R115" s="60">
        <f>J117-R112</f>
        <v>784207.32765175984</v>
      </c>
      <c r="S115" s="48"/>
      <c r="T115" s="48"/>
      <c r="U115" s="62"/>
      <c r="V115" s="77"/>
      <c r="W115" s="48"/>
      <c r="X115" s="62"/>
    </row>
    <row r="116" spans="8:24" ht="15.75">
      <c r="H116" s="37" t="s">
        <v>106</v>
      </c>
      <c r="I116" s="60">
        <f>ONSV_AUX_2014!Z59</f>
        <v>1636424</v>
      </c>
      <c r="J116" s="61">
        <f>I116-(L109*I107)</f>
        <v>1636264.6918813121</v>
      </c>
      <c r="K116" s="11"/>
      <c r="L116" s="11"/>
      <c r="M116" s="11"/>
      <c r="N116" s="28" t="s">
        <v>143</v>
      </c>
      <c r="O116" s="60">
        <f>I104</f>
        <v>1839232</v>
      </c>
      <c r="P116" s="76"/>
      <c r="Q116" s="48"/>
      <c r="R116" s="48"/>
      <c r="S116" s="77"/>
      <c r="T116" s="65" t="s">
        <v>142</v>
      </c>
      <c r="U116" s="68">
        <f>R111</f>
        <v>306281.26159949566</v>
      </c>
      <c r="V116" s="48"/>
      <c r="W116" s="65" t="s">
        <v>153</v>
      </c>
      <c r="X116" s="67">
        <f>I119</f>
        <v>4056600</v>
      </c>
    </row>
    <row r="117" spans="8:24" ht="15.75">
      <c r="H117" s="37" t="s">
        <v>107</v>
      </c>
      <c r="I117" s="60">
        <f>ONSV_AUX_2014!Z60</f>
        <v>964896</v>
      </c>
      <c r="J117" s="61">
        <f>I117-(L110*I107)</f>
        <v>964802.06605226418</v>
      </c>
      <c r="K117" s="11"/>
      <c r="L117" s="11"/>
      <c r="M117" s="11"/>
      <c r="N117" s="28" t="s">
        <v>146</v>
      </c>
      <c r="O117" s="60">
        <f>I108</f>
        <v>290506</v>
      </c>
      <c r="P117" s="76"/>
      <c r="Q117" s="48"/>
      <c r="R117" s="48"/>
      <c r="S117" s="48"/>
      <c r="T117" s="65" t="s">
        <v>154</v>
      </c>
      <c r="U117" s="68">
        <f>I116-J116</f>
        <v>159.30811868794262</v>
      </c>
      <c r="V117" s="48"/>
      <c r="W117" s="65" t="s">
        <v>155</v>
      </c>
      <c r="X117" s="67">
        <f>I120</f>
        <v>723826</v>
      </c>
    </row>
    <row r="118" spans="8:24" ht="15.75">
      <c r="H118" s="37" t="s">
        <v>108</v>
      </c>
      <c r="I118" s="60">
        <f>ONSV_AUX_2014!Z61</f>
        <v>110835</v>
      </c>
      <c r="J118" s="10">
        <f>I118</f>
        <v>110835</v>
      </c>
      <c r="K118" s="11"/>
      <c r="L118" s="11"/>
      <c r="M118" s="11"/>
      <c r="N118" s="28" t="s">
        <v>139</v>
      </c>
      <c r="O118" s="60">
        <f>IF(OR((O107*I105&gt;J113),((O116+O117+(O107*I105))&gt;J113)),(J113-O116-O117),(O107*I105))</f>
        <v>7622814.6651334306</v>
      </c>
      <c r="P118" s="76"/>
      <c r="Q118" s="48"/>
      <c r="R118" s="78"/>
      <c r="S118" s="48"/>
      <c r="T118" s="65" t="s">
        <v>150</v>
      </c>
      <c r="U118" s="72">
        <f>R114</f>
        <v>1329983.4302818165</v>
      </c>
      <c r="V118" s="48"/>
      <c r="W118" s="48"/>
      <c r="X118" s="48"/>
    </row>
    <row r="119" spans="8:24" ht="15.75">
      <c r="H119" s="37" t="s">
        <v>109</v>
      </c>
      <c r="I119" s="60">
        <f>ONSV_AUX_2014!Z62</f>
        <v>4056600</v>
      </c>
      <c r="J119" s="10">
        <f>I119</f>
        <v>4056600</v>
      </c>
      <c r="K119" s="11"/>
      <c r="L119" s="11"/>
      <c r="M119" s="11"/>
      <c r="N119" s="28" t="s">
        <v>151</v>
      </c>
      <c r="O119" s="60">
        <f>IF((J113-O116-O118-O117)&lt;0,0,(J113-O116-O118-O117))</f>
        <v>6215604.6615210855</v>
      </c>
      <c r="P119" s="48"/>
      <c r="Q119" s="48"/>
      <c r="R119" s="48"/>
      <c r="S119" s="48"/>
      <c r="T119" s="48"/>
      <c r="U119" s="62"/>
      <c r="V119" s="48"/>
      <c r="W119" s="48"/>
      <c r="X119" s="48"/>
    </row>
    <row r="120" spans="8:24" ht="15.75">
      <c r="H120" s="37" t="s">
        <v>110</v>
      </c>
      <c r="I120" s="60">
        <f>ONSV_AUX_2014!Z63</f>
        <v>723826</v>
      </c>
      <c r="J120" s="10">
        <f>I120</f>
        <v>723826</v>
      </c>
      <c r="K120" s="11"/>
      <c r="L120" s="11"/>
      <c r="M120" s="11"/>
      <c r="O120" s="48"/>
      <c r="P120" s="76"/>
      <c r="Q120" s="48"/>
      <c r="R120" s="48"/>
      <c r="S120" s="48"/>
      <c r="T120" s="79" t="s">
        <v>156</v>
      </c>
      <c r="U120" s="80">
        <f>(SUM(U106:U118,X106:X117)/SUM(I113:I122))-1</f>
        <v>0</v>
      </c>
      <c r="V120" s="48"/>
      <c r="W120" s="79" t="s">
        <v>10</v>
      </c>
      <c r="X120" s="67">
        <f>SUM(U106:U118,X106:X117)</f>
        <v>24576653</v>
      </c>
    </row>
    <row r="121" spans="8:24" ht="15.75">
      <c r="H121" s="37" t="s">
        <v>111</v>
      </c>
      <c r="I121" s="60">
        <f>ONSV_AUX_2014!Z64</f>
        <v>147744</v>
      </c>
      <c r="J121" s="10">
        <f>I121</f>
        <v>147744</v>
      </c>
      <c r="K121" s="11"/>
      <c r="L121" s="11"/>
      <c r="M121" s="11"/>
      <c r="O121" s="48"/>
      <c r="P121" s="76"/>
      <c r="Q121" s="48"/>
      <c r="R121" s="48"/>
      <c r="S121" s="48"/>
      <c r="T121" s="48"/>
      <c r="U121" s="48"/>
      <c r="V121" s="48"/>
      <c r="W121" s="48"/>
      <c r="X121" s="48"/>
    </row>
    <row r="122" spans="8:24" ht="15.75">
      <c r="H122" s="37" t="s">
        <v>112</v>
      </c>
      <c r="I122" s="60">
        <f>ONSV_AUX_2014!Z65</f>
        <v>165222</v>
      </c>
      <c r="J122" s="61">
        <f>I122-(L111*I107)</f>
        <v>165205.91541190678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A1:F1"/>
    <mergeCell ref="Q4:R4"/>
    <mergeCell ref="T4:X4"/>
    <mergeCell ref="K5:L5"/>
    <mergeCell ref="A25:F25"/>
    <mergeCell ref="T27:X27"/>
    <mergeCell ref="T52:X52"/>
    <mergeCell ref="K79:L79"/>
    <mergeCell ref="A100:F100"/>
    <mergeCell ref="K104:L104"/>
    <mergeCell ref="K29:L29"/>
    <mergeCell ref="A50:F50"/>
    <mergeCell ref="A75:F75"/>
    <mergeCell ref="K54:L5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9" tint="0.39997558519241921"/>
  </sheetPr>
  <dimension ref="A1:X122"/>
  <sheetViews>
    <sheetView showGridLines="0" topLeftCell="A97" zoomScale="90" zoomScaleNormal="90" workbookViewId="0">
      <selection activeCell="E2" sqref="E1:E1048576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  <col min="27" max="28" width="10" bestFit="1" customWidth="1"/>
    <col min="30" max="30" width="10" bestFit="1" customWidth="1"/>
  </cols>
  <sheetData>
    <row r="1" spans="1:24" s="31" customFormat="1" ht="15.75">
      <c r="A1" s="101" t="str">
        <f>"SERGIPE/"&amp;ONSV_AUX_2018!A1&amp;""</f>
        <v>SERGIPE/2018</v>
      </c>
      <c r="B1" s="102"/>
      <c r="C1" s="102"/>
      <c r="D1" s="102"/>
      <c r="E1" s="102"/>
      <c r="F1" s="102"/>
    </row>
    <row r="2" spans="1:24" s="4" customFormat="1" ht="15.75">
      <c r="A2" s="32"/>
      <c r="B2" s="32"/>
      <c r="C2" s="32"/>
      <c r="D2" s="32"/>
      <c r="E2" s="32"/>
      <c r="F2" s="32"/>
    </row>
    <row r="3" spans="1:24" ht="15.75">
      <c r="A3" s="12"/>
      <c r="H3" s="23" t="s">
        <v>118</v>
      </c>
    </row>
    <row r="4" spans="1:24" ht="15.75">
      <c r="B4" s="5"/>
      <c r="J4" s="9"/>
      <c r="M4" s="25"/>
      <c r="N4" s="25"/>
      <c r="O4" s="25"/>
      <c r="P4" s="25"/>
      <c r="Q4" s="103"/>
      <c r="R4" s="103"/>
      <c r="S4" s="22"/>
      <c r="T4" s="104"/>
      <c r="U4" s="104"/>
      <c r="V4" s="104"/>
      <c r="W4" s="104"/>
      <c r="X4" s="104"/>
    </row>
    <row r="5" spans="1:24" ht="15.75">
      <c r="H5" s="36" t="s">
        <v>81</v>
      </c>
      <c r="I5" s="60">
        <f>ONSV_AUX_2018!AA27</f>
        <v>18475</v>
      </c>
      <c r="J5" s="9"/>
      <c r="K5" s="104" t="s">
        <v>119</v>
      </c>
      <c r="L5" s="104"/>
      <c r="M5" s="9"/>
      <c r="N5" s="26" t="s">
        <v>120</v>
      </c>
      <c r="O5" s="26"/>
      <c r="Q5" s="26" t="s">
        <v>121</v>
      </c>
      <c r="R5" s="26"/>
      <c r="S5" s="26"/>
      <c r="T5" s="25" t="s">
        <v>122</v>
      </c>
      <c r="U5" s="25"/>
      <c r="V5" s="25"/>
      <c r="W5" s="25"/>
      <c r="X5" s="25"/>
    </row>
    <row r="6" spans="1:24" ht="15.75">
      <c r="H6" s="36" t="s">
        <v>84</v>
      </c>
      <c r="I6" s="60">
        <f>ONSV_AUX_2018!AA28</f>
        <v>295805</v>
      </c>
      <c r="J6" s="9"/>
      <c r="K6" s="9"/>
      <c r="L6" s="9"/>
      <c r="M6" s="9"/>
      <c r="N6" s="9"/>
      <c r="O6" s="9"/>
      <c r="P6" s="20"/>
      <c r="Q6" s="11"/>
      <c r="R6" s="11"/>
      <c r="S6" s="11"/>
    </row>
    <row r="7" spans="1:24" ht="15.75">
      <c r="H7" s="36" t="s">
        <v>85</v>
      </c>
      <c r="I7" s="60">
        <f>ONSV_AUX_2018!AA29</f>
        <v>53862</v>
      </c>
      <c r="J7" s="9"/>
      <c r="K7" s="2" t="s">
        <v>123</v>
      </c>
      <c r="L7" s="60">
        <f>I14+I17+I18+I23</f>
        <v>386731</v>
      </c>
      <c r="N7" s="28" t="s">
        <v>124</v>
      </c>
      <c r="O7" s="60">
        <f>J14+J23</f>
        <v>328652.253178566</v>
      </c>
      <c r="P7" s="64"/>
      <c r="Q7" s="65" t="s">
        <v>125</v>
      </c>
      <c r="R7" s="60">
        <f>J17+J18</f>
        <v>58023.746821434019</v>
      </c>
      <c r="S7" s="66"/>
      <c r="T7" s="65" t="s">
        <v>126</v>
      </c>
      <c r="U7" s="67">
        <f>O11</f>
        <v>4039.770869397229</v>
      </c>
      <c r="V7" s="48"/>
      <c r="W7" s="65" t="s">
        <v>127</v>
      </c>
      <c r="X7" s="68">
        <f>R13</f>
        <v>5355.3554073614559</v>
      </c>
    </row>
    <row r="8" spans="1:24" ht="15.75">
      <c r="H8" s="36" t="s">
        <v>101</v>
      </c>
      <c r="I8" s="60">
        <f>ONSV_AUX_2018!AA30</f>
        <v>55</v>
      </c>
      <c r="J8" s="9"/>
      <c r="K8" s="27"/>
      <c r="L8" s="62"/>
      <c r="M8" s="20"/>
      <c r="N8" s="28" t="s">
        <v>128</v>
      </c>
      <c r="O8" s="69">
        <f>J14/O7</f>
        <v>0.98634312851575445</v>
      </c>
      <c r="P8" s="64"/>
      <c r="Q8" s="70" t="s">
        <v>129</v>
      </c>
      <c r="R8" s="63">
        <f>J17/R7</f>
        <v>0.72885649296939614</v>
      </c>
      <c r="S8" s="71"/>
      <c r="T8" s="65" t="s">
        <v>130</v>
      </c>
      <c r="U8" s="67">
        <f>I23-J23</f>
        <v>0.63841533262166195</v>
      </c>
      <c r="V8" s="48"/>
      <c r="W8" s="65" t="s">
        <v>131</v>
      </c>
      <c r="X8" s="68">
        <f>I18-J18</f>
        <v>2.2377957805292681</v>
      </c>
    </row>
    <row r="9" spans="1:24" ht="15.75">
      <c r="H9" s="36" t="s">
        <v>16</v>
      </c>
      <c r="I9" s="60">
        <f>ONSV_AUX_2018!AA31</f>
        <v>21754</v>
      </c>
      <c r="J9" s="9"/>
      <c r="K9" s="2" t="s">
        <v>132</v>
      </c>
      <c r="L9" s="63">
        <f>I14/L7</f>
        <v>0.83833465638906635</v>
      </c>
      <c r="M9" s="20"/>
      <c r="N9" s="28" t="s">
        <v>133</v>
      </c>
      <c r="O9" s="69">
        <f>J23/O7</f>
        <v>1.3656871484245462E-2</v>
      </c>
      <c r="P9" s="64"/>
      <c r="Q9" s="70" t="s">
        <v>134</v>
      </c>
      <c r="R9" s="63">
        <f>J18/R7</f>
        <v>0.2711435070306038</v>
      </c>
      <c r="S9" s="71"/>
      <c r="T9" s="65" t="s">
        <v>135</v>
      </c>
      <c r="U9" s="72">
        <f>O13</f>
        <v>448.5907152701493</v>
      </c>
      <c r="V9" s="73"/>
      <c r="W9" s="65" t="s">
        <v>136</v>
      </c>
      <c r="X9" s="72">
        <f>R16</f>
        <v>10377.406796858015</v>
      </c>
    </row>
    <row r="10" spans="1:24" ht="15.75">
      <c r="H10" s="36" t="s">
        <v>94</v>
      </c>
      <c r="I10" s="60">
        <f>ONSV_AUX_2018!AA32</f>
        <v>342709</v>
      </c>
      <c r="J10" s="10"/>
      <c r="K10" s="2" t="s">
        <v>2</v>
      </c>
      <c r="L10" s="63">
        <f>I17/L7</f>
        <v>0.1093705960990973</v>
      </c>
      <c r="M10" s="20"/>
      <c r="N10" s="20"/>
      <c r="O10" s="74"/>
      <c r="P10" s="48"/>
      <c r="Q10" s="48"/>
      <c r="R10" s="48"/>
      <c r="S10" s="48"/>
      <c r="T10" s="48"/>
      <c r="U10" s="62"/>
      <c r="V10" s="75"/>
      <c r="W10" s="48"/>
      <c r="X10" s="62"/>
    </row>
    <row r="11" spans="1:24" ht="15.75">
      <c r="K11" s="2" t="s">
        <v>3</v>
      </c>
      <c r="L11" s="63">
        <f>I18/L7</f>
        <v>4.0687196009629431E-2</v>
      </c>
      <c r="M11" s="20"/>
      <c r="N11" s="28" t="s">
        <v>137</v>
      </c>
      <c r="O11" s="60">
        <f>IF(O9*I6&gt;J23,J23,O9*I6)</f>
        <v>4039.770869397229</v>
      </c>
      <c r="P11" s="76"/>
      <c r="Q11" s="65" t="s">
        <v>138</v>
      </c>
      <c r="R11" s="60">
        <f>I7-I15-I16-I19-I22</f>
        <v>19751</v>
      </c>
      <c r="S11" s="77"/>
      <c r="T11" s="65" t="s">
        <v>139</v>
      </c>
      <c r="U11" s="67">
        <f>O19</f>
        <v>283934.89159389859</v>
      </c>
      <c r="V11" s="76"/>
      <c r="W11" s="65" t="s">
        <v>140</v>
      </c>
      <c r="X11" s="67">
        <f>I15</f>
        <v>21183</v>
      </c>
    </row>
    <row r="12" spans="1:24" ht="15.75">
      <c r="H12" s="24" t="s">
        <v>141</v>
      </c>
      <c r="K12" s="2" t="s">
        <v>0</v>
      </c>
      <c r="L12" s="63">
        <f>I23/L7</f>
        <v>1.1607551502206961E-2</v>
      </c>
      <c r="O12" s="48"/>
      <c r="P12" s="76"/>
      <c r="Q12" s="65" t="s">
        <v>142</v>
      </c>
      <c r="R12" s="60">
        <f>R8*R11</f>
        <v>14395.644592638544</v>
      </c>
      <c r="S12" s="48"/>
      <c r="T12" s="65" t="s">
        <v>143</v>
      </c>
      <c r="U12" s="67">
        <f>O17</f>
        <v>18475</v>
      </c>
      <c r="V12" s="66"/>
      <c r="W12" s="65" t="s">
        <v>144</v>
      </c>
      <c r="X12" s="67">
        <f>I16</f>
        <v>2523</v>
      </c>
    </row>
    <row r="13" spans="1:24" ht="15.75">
      <c r="K13" s="11"/>
      <c r="L13" s="11"/>
      <c r="M13" s="11"/>
      <c r="N13" s="28" t="s">
        <v>145</v>
      </c>
      <c r="O13" s="60">
        <f>J23-O11</f>
        <v>448.5907152701493</v>
      </c>
      <c r="P13" s="76"/>
      <c r="Q13" s="65" t="s">
        <v>127</v>
      </c>
      <c r="R13" s="60">
        <f>R9*R11</f>
        <v>5355.3554073614559</v>
      </c>
      <c r="S13" s="48"/>
      <c r="T13" s="65" t="s">
        <v>146</v>
      </c>
      <c r="U13" s="67">
        <f>O18</f>
        <v>21754</v>
      </c>
      <c r="V13" s="71"/>
      <c r="W13" s="48"/>
      <c r="X13" s="62"/>
    </row>
    <row r="14" spans="1:24" ht="15.75">
      <c r="H14" s="37" t="s">
        <v>103</v>
      </c>
      <c r="I14" s="60">
        <f>ONSV_AUX_2018!AA56</f>
        <v>324210</v>
      </c>
      <c r="J14" s="61">
        <f>I14-(L9*I8)</f>
        <v>324163.89159389859</v>
      </c>
      <c r="K14" s="11"/>
      <c r="L14" s="11"/>
      <c r="M14" s="11"/>
      <c r="O14" s="76"/>
      <c r="P14" s="76"/>
      <c r="Q14" s="48"/>
      <c r="R14" s="78"/>
      <c r="S14" s="48"/>
      <c r="T14" s="65" t="s">
        <v>147</v>
      </c>
      <c r="U14" s="68">
        <f>I14-J14</f>
        <v>46.108406101411674</v>
      </c>
      <c r="V14" s="71"/>
      <c r="W14" s="65" t="s">
        <v>148</v>
      </c>
      <c r="X14" s="67">
        <f>I22</f>
        <v>6996</v>
      </c>
    </row>
    <row r="15" spans="1:24" ht="15.75">
      <c r="H15" s="37" t="s">
        <v>104</v>
      </c>
      <c r="I15" s="60">
        <f>ONSV_AUX_2018!AA57</f>
        <v>21183</v>
      </c>
      <c r="J15" s="10">
        <f>I15</f>
        <v>21183</v>
      </c>
      <c r="K15" s="11"/>
      <c r="L15" s="11"/>
      <c r="M15" s="11"/>
      <c r="N15" s="26" t="s">
        <v>149</v>
      </c>
      <c r="O15" s="76"/>
      <c r="P15" s="76"/>
      <c r="Q15" s="65" t="s">
        <v>150</v>
      </c>
      <c r="R15" s="60">
        <f>J17-R12</f>
        <v>27895.340024576006</v>
      </c>
      <c r="S15" s="48"/>
      <c r="T15" s="65" t="s">
        <v>151</v>
      </c>
      <c r="U15" s="72">
        <f>O20</f>
        <v>0</v>
      </c>
      <c r="V15" s="48"/>
      <c r="W15" s="65" t="s">
        <v>152</v>
      </c>
      <c r="X15" s="67">
        <f>I19</f>
        <v>3409</v>
      </c>
    </row>
    <row r="16" spans="1:24" ht="15.75">
      <c r="H16" s="37" t="s">
        <v>105</v>
      </c>
      <c r="I16" s="60">
        <f>ONSV_AUX_2018!AA58</f>
        <v>2523</v>
      </c>
      <c r="J16" s="10">
        <f>I16</f>
        <v>2523</v>
      </c>
      <c r="K16" s="11"/>
      <c r="L16" s="11"/>
      <c r="M16" s="11"/>
      <c r="O16" s="73"/>
      <c r="P16" s="76"/>
      <c r="Q16" s="65" t="s">
        <v>136</v>
      </c>
      <c r="R16" s="60">
        <f>J18-R13</f>
        <v>10377.406796858015</v>
      </c>
      <c r="S16" s="48"/>
      <c r="T16" s="48"/>
      <c r="U16" s="62"/>
      <c r="V16" s="77"/>
      <c r="W16" s="48"/>
      <c r="X16" s="62"/>
    </row>
    <row r="17" spans="1:24" ht="15.75">
      <c r="H17" s="37" t="s">
        <v>106</v>
      </c>
      <c r="I17" s="60">
        <f>ONSV_AUX_2018!AA59</f>
        <v>42297</v>
      </c>
      <c r="J17" s="61">
        <f>I17-(L10*I8)</f>
        <v>42290.984617214548</v>
      </c>
      <c r="K17" s="11"/>
      <c r="L17" s="11"/>
      <c r="M17" s="11"/>
      <c r="N17" s="28" t="s">
        <v>143</v>
      </c>
      <c r="O17" s="60">
        <f>I5</f>
        <v>18475</v>
      </c>
      <c r="P17" s="76"/>
      <c r="Q17" s="48"/>
      <c r="R17" s="48"/>
      <c r="S17" s="77"/>
      <c r="T17" s="65" t="s">
        <v>142</v>
      </c>
      <c r="U17" s="68">
        <f>R12</f>
        <v>14395.644592638544</v>
      </c>
      <c r="V17" s="48"/>
      <c r="W17" s="65" t="s">
        <v>153</v>
      </c>
      <c r="X17" s="67">
        <f>I20</f>
        <v>247001</v>
      </c>
    </row>
    <row r="18" spans="1:24" ht="15.75">
      <c r="H18" s="37" t="s">
        <v>107</v>
      </c>
      <c r="I18" s="60">
        <f>ONSV_AUX_2018!AA60</f>
        <v>15735</v>
      </c>
      <c r="J18" s="61">
        <f>I18-(L11*I8)</f>
        <v>15732.762204219471</v>
      </c>
      <c r="K18" s="11"/>
      <c r="L18" s="11"/>
      <c r="M18" s="11"/>
      <c r="N18" s="28" t="s">
        <v>146</v>
      </c>
      <c r="O18" s="60">
        <f>I9</f>
        <v>21754</v>
      </c>
      <c r="P18" s="76"/>
      <c r="Q18" s="48"/>
      <c r="R18" s="48"/>
      <c r="S18" s="48"/>
      <c r="T18" s="65" t="s">
        <v>154</v>
      </c>
      <c r="U18" s="68">
        <f>I17-J17</f>
        <v>6.0153827854519477</v>
      </c>
      <c r="V18" s="48"/>
      <c r="W18" s="65" t="s">
        <v>155</v>
      </c>
      <c r="X18" s="67">
        <f>I21</f>
        <v>42582</v>
      </c>
    </row>
    <row r="19" spans="1:24" ht="15.75">
      <c r="H19" s="37" t="s">
        <v>108</v>
      </c>
      <c r="I19" s="60">
        <f>ONSV_AUX_2018!AA61</f>
        <v>3409</v>
      </c>
      <c r="J19" s="10">
        <f>I19</f>
        <v>3409</v>
      </c>
      <c r="K19" s="11"/>
      <c r="L19" s="11"/>
      <c r="M19" s="11"/>
      <c r="N19" s="28" t="s">
        <v>139</v>
      </c>
      <c r="O19" s="60">
        <f>IF(OR((O8*I6&gt;J14),((O17+O18+(O8*I6))&gt;J14)),(J14-O17-O18),(O8*I6))</f>
        <v>283934.89159389859</v>
      </c>
      <c r="P19" s="76"/>
      <c r="Q19" s="48"/>
      <c r="R19" s="78"/>
      <c r="S19" s="48"/>
      <c r="T19" s="65" t="s">
        <v>150</v>
      </c>
      <c r="U19" s="72">
        <f>R15</f>
        <v>27895.340024576006</v>
      </c>
      <c r="V19" s="48"/>
      <c r="W19" s="48"/>
      <c r="X19" s="48"/>
    </row>
    <row r="20" spans="1:24" ht="15.75">
      <c r="H20" s="37" t="s">
        <v>109</v>
      </c>
      <c r="I20" s="60">
        <f>ONSV_AUX_2018!AA62</f>
        <v>247001</v>
      </c>
      <c r="J20" s="10">
        <f t="shared" ref="J20:J22" si="0">I20</f>
        <v>247001</v>
      </c>
      <c r="K20" s="11"/>
      <c r="L20" s="11"/>
      <c r="M20" s="11"/>
      <c r="N20" s="28" t="s">
        <v>151</v>
      </c>
      <c r="O20" s="60">
        <f>IF((J14-O17-O19-O18)&lt;0,0,(J14-O17-O19-O18))</f>
        <v>0</v>
      </c>
      <c r="P20" s="48"/>
      <c r="Q20" s="48"/>
      <c r="R20" s="48"/>
      <c r="S20" s="48"/>
      <c r="T20" s="48"/>
      <c r="U20" s="62"/>
      <c r="V20" s="48"/>
      <c r="W20" s="48"/>
      <c r="X20" s="48"/>
    </row>
    <row r="21" spans="1:24" ht="15.75">
      <c r="H21" s="37" t="s">
        <v>110</v>
      </c>
      <c r="I21" s="60">
        <f>ONSV_AUX_2018!AA63</f>
        <v>42582</v>
      </c>
      <c r="J21" s="10">
        <f t="shared" si="0"/>
        <v>42582</v>
      </c>
      <c r="K21" s="11"/>
      <c r="L21" s="11"/>
      <c r="M21" s="11"/>
      <c r="O21" s="48"/>
      <c r="P21" s="76"/>
      <c r="Q21" s="48"/>
      <c r="R21" s="48"/>
      <c r="S21" s="48"/>
      <c r="T21" s="79" t="s">
        <v>156</v>
      </c>
      <c r="U21" s="80">
        <f>(SUM(U7:U19,X7:X18)/SUM(I14:I23))-1</f>
        <v>0</v>
      </c>
      <c r="V21" s="48"/>
      <c r="W21" s="79" t="s">
        <v>10</v>
      </c>
      <c r="X21" s="67">
        <f>SUM(U7:U19,X7:X18)</f>
        <v>710425</v>
      </c>
    </row>
    <row r="22" spans="1:24" ht="15.75">
      <c r="H22" s="37" t="s">
        <v>111</v>
      </c>
      <c r="I22" s="60">
        <f>ONSV_AUX_2018!AA64</f>
        <v>6996</v>
      </c>
      <c r="J22" s="10">
        <f t="shared" si="0"/>
        <v>6996</v>
      </c>
      <c r="K22" s="11"/>
      <c r="L22" s="11"/>
      <c r="M22" s="11"/>
      <c r="O22" s="48"/>
      <c r="P22" s="76"/>
      <c r="Q22" s="48"/>
      <c r="R22" s="48"/>
      <c r="S22" s="48"/>
      <c r="T22" s="48"/>
      <c r="U22" s="48"/>
      <c r="V22" s="48"/>
      <c r="W22" s="48"/>
      <c r="X22" s="48"/>
    </row>
    <row r="23" spans="1:24" ht="15.75">
      <c r="H23" s="37" t="s">
        <v>112</v>
      </c>
      <c r="I23" s="60">
        <f>ONSV_AUX_2018!AA65</f>
        <v>4489</v>
      </c>
      <c r="J23" s="61">
        <f>I23-(L12*I8)</f>
        <v>4488.3615846673783</v>
      </c>
      <c r="K23" s="12"/>
      <c r="L23" s="12"/>
      <c r="M23" s="12"/>
      <c r="N23" s="12"/>
      <c r="O23" s="12"/>
      <c r="P23" s="12"/>
      <c r="Q23" s="4"/>
      <c r="R23" s="4"/>
    </row>
    <row r="25" spans="1:24" s="35" customFormat="1" ht="15.75">
      <c r="A25" s="101" t="str">
        <f>"SERGIPE/"&amp;ONSV_AUX_2017!A1&amp;""</f>
        <v>SERGIPE/2017</v>
      </c>
      <c r="B25" s="102"/>
      <c r="C25" s="102"/>
      <c r="D25" s="102"/>
      <c r="E25" s="102"/>
      <c r="F25" s="102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 spans="1:24" ht="15.75">
      <c r="A26" s="12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>
      <c r="A27" s="12"/>
      <c r="H27" s="23" t="s">
        <v>118</v>
      </c>
      <c r="N27" s="26"/>
      <c r="O27" s="26"/>
      <c r="P27" s="9"/>
      <c r="Q27" s="26"/>
      <c r="R27" s="26"/>
      <c r="S27" s="26"/>
      <c r="T27" s="104"/>
      <c r="U27" s="104"/>
      <c r="V27" s="104"/>
      <c r="W27" s="104"/>
      <c r="X27" s="104"/>
    </row>
    <row r="28" spans="1:24" ht="15.75">
      <c r="B28" s="5"/>
      <c r="J28" s="9"/>
      <c r="M28" s="25"/>
    </row>
    <row r="29" spans="1:24" ht="15.75">
      <c r="H29" s="36" t="s">
        <v>81</v>
      </c>
      <c r="I29" s="60">
        <f>ONSV_AUX_2017!AA27</f>
        <v>18453</v>
      </c>
      <c r="J29" s="9"/>
      <c r="K29" s="104" t="s">
        <v>119</v>
      </c>
      <c r="L29" s="104"/>
      <c r="M29" s="9"/>
      <c r="N29" s="26" t="s">
        <v>120</v>
      </c>
      <c r="O29" s="26"/>
      <c r="Q29" s="26" t="s">
        <v>121</v>
      </c>
      <c r="R29" s="26"/>
      <c r="S29" s="26"/>
      <c r="T29" s="25" t="s">
        <v>122</v>
      </c>
      <c r="U29" s="25"/>
      <c r="V29" s="25"/>
      <c r="W29" s="25"/>
      <c r="X29" s="25"/>
    </row>
    <row r="30" spans="1:24" ht="15.75">
      <c r="H30" s="36" t="s">
        <v>84</v>
      </c>
      <c r="I30" s="60">
        <f>ONSV_AUX_2017!AA28</f>
        <v>277682</v>
      </c>
      <c r="J30" s="9"/>
      <c r="K30" s="9"/>
      <c r="L30" s="9"/>
      <c r="M30" s="9"/>
      <c r="N30" s="9"/>
      <c r="O30" s="9"/>
      <c r="P30" s="20"/>
      <c r="Q30" s="11"/>
      <c r="R30" s="11"/>
      <c r="S30" s="11"/>
    </row>
    <row r="31" spans="1:24" ht="15.75">
      <c r="H31" s="36" t="s">
        <v>85</v>
      </c>
      <c r="I31" s="60">
        <f>ONSV_AUX_2017!AA29</f>
        <v>52039</v>
      </c>
      <c r="J31" s="9"/>
      <c r="K31" s="2" t="s">
        <v>123</v>
      </c>
      <c r="L31" s="60">
        <f>I38+I41+I42+I47</f>
        <v>371920</v>
      </c>
      <c r="N31" s="28" t="s">
        <v>124</v>
      </c>
      <c r="O31" s="60">
        <f>J38+J47</f>
        <v>317093.15674069693</v>
      </c>
      <c r="P31" s="64"/>
      <c r="Q31" s="65" t="s">
        <v>125</v>
      </c>
      <c r="R31" s="60">
        <f>J41+J42</f>
        <v>54791.843259303074</v>
      </c>
      <c r="S31" s="66"/>
      <c r="T31" s="65" t="s">
        <v>126</v>
      </c>
      <c r="U31" s="67">
        <f>O35</f>
        <v>3585.6995235287254</v>
      </c>
      <c r="V31" s="48"/>
      <c r="W31" s="65" t="s">
        <v>127</v>
      </c>
      <c r="X31" s="68">
        <f>R37</f>
        <v>4969.673887256602</v>
      </c>
    </row>
    <row r="32" spans="1:24" ht="15.75">
      <c r="H32" s="36" t="s">
        <v>101</v>
      </c>
      <c r="I32" s="60">
        <f>ONSV_AUX_2017!AA30</f>
        <v>35</v>
      </c>
      <c r="J32" s="9"/>
      <c r="K32" s="27"/>
      <c r="L32" s="62"/>
      <c r="M32" s="20"/>
      <c r="N32" s="28" t="s">
        <v>128</v>
      </c>
      <c r="O32" s="69">
        <f>J38/O31</f>
        <v>0.98708702932300718</v>
      </c>
      <c r="P32" s="64"/>
      <c r="Q32" s="70" t="s">
        <v>129</v>
      </c>
      <c r="R32" s="63">
        <f>J41/R31</f>
        <v>0.73191963063671373</v>
      </c>
      <c r="S32" s="71"/>
      <c r="T32" s="65" t="s">
        <v>130</v>
      </c>
      <c r="U32" s="67">
        <f>I47-J47</f>
        <v>0.38536513228655167</v>
      </c>
      <c r="V32" s="48"/>
      <c r="W32" s="65" t="s">
        <v>131</v>
      </c>
      <c r="X32" s="68">
        <f>I42-J42</f>
        <v>1.3824209507420164</v>
      </c>
    </row>
    <row r="33" spans="8:24" ht="15.75">
      <c r="H33" s="36" t="s">
        <v>16</v>
      </c>
      <c r="I33" s="60">
        <f>ONSV_AUX_2017!AA31</f>
        <v>21178</v>
      </c>
      <c r="J33" s="9"/>
      <c r="K33" s="2" t="s">
        <v>132</v>
      </c>
      <c r="L33" s="63">
        <f>I38/L31</f>
        <v>0.84165411916541188</v>
      </c>
      <c r="M33" s="20"/>
      <c r="N33" s="28" t="s">
        <v>133</v>
      </c>
      <c r="O33" s="69">
        <f>J47/O31</f>
        <v>1.2912970676992838E-2</v>
      </c>
      <c r="P33" s="64"/>
      <c r="Q33" s="70" t="s">
        <v>134</v>
      </c>
      <c r="R33" s="63">
        <f>J42/R31</f>
        <v>0.26808036936328633</v>
      </c>
      <c r="S33" s="71"/>
      <c r="T33" s="65" t="s">
        <v>135</v>
      </c>
      <c r="U33" s="72">
        <f>O37</f>
        <v>508.91511133898803</v>
      </c>
      <c r="V33" s="73"/>
      <c r="W33" s="65" t="s">
        <v>136</v>
      </c>
      <c r="X33" s="72">
        <f>R40</f>
        <v>9718.943691792656</v>
      </c>
    </row>
    <row r="34" spans="8:24" ht="15.75">
      <c r="H34" s="36" t="s">
        <v>94</v>
      </c>
      <c r="I34" s="60">
        <f>ONSV_AUX_2017!AA32</f>
        <v>334338</v>
      </c>
      <c r="J34" s="10"/>
      <c r="K34" s="2" t="s">
        <v>2</v>
      </c>
      <c r="L34" s="63">
        <f>I41/L31</f>
        <v>0.1078377070337707</v>
      </c>
      <c r="M34" s="20"/>
      <c r="N34" s="20"/>
      <c r="O34" s="74"/>
      <c r="P34" s="48"/>
      <c r="Q34" s="48"/>
      <c r="R34" s="48"/>
      <c r="S34" s="48"/>
      <c r="T34" s="48"/>
      <c r="U34" s="62"/>
      <c r="V34" s="75"/>
      <c r="W34" s="48"/>
      <c r="X34" s="62"/>
    </row>
    <row r="35" spans="8:24" ht="15.75">
      <c r="K35" s="2" t="s">
        <v>3</v>
      </c>
      <c r="L35" s="63">
        <f>I42/L31</f>
        <v>3.9497741449774144E-2</v>
      </c>
      <c r="M35" s="20"/>
      <c r="N35" s="28" t="s">
        <v>137</v>
      </c>
      <c r="O35" s="60">
        <f>IF(O33*I30&gt;J47,J47,O33*I30)</f>
        <v>3585.6995235287254</v>
      </c>
      <c r="P35" s="76"/>
      <c r="Q35" s="65" t="s">
        <v>138</v>
      </c>
      <c r="R35" s="60">
        <f>I31-I39-I40-I43-I46</f>
        <v>18538</v>
      </c>
      <c r="S35" s="77"/>
      <c r="T35" s="65" t="s">
        <v>139</v>
      </c>
      <c r="U35" s="67">
        <f>O43</f>
        <v>273367.54210582923</v>
      </c>
      <c r="V35" s="76"/>
      <c r="W35" s="65" t="s">
        <v>140</v>
      </c>
      <c r="X35" s="67">
        <f>I39</f>
        <v>20896</v>
      </c>
    </row>
    <row r="36" spans="8:24" ht="15.75">
      <c r="H36" s="24" t="s">
        <v>141</v>
      </c>
      <c r="K36" s="2" t="s">
        <v>0</v>
      </c>
      <c r="L36" s="63">
        <f>I47/L31</f>
        <v>1.1010432351043235E-2</v>
      </c>
      <c r="O36" s="48"/>
      <c r="P36" s="76"/>
      <c r="Q36" s="65" t="s">
        <v>142</v>
      </c>
      <c r="R36" s="60">
        <f>R32*R35</f>
        <v>13568.3261127434</v>
      </c>
      <c r="S36" s="48"/>
      <c r="T36" s="65" t="s">
        <v>143</v>
      </c>
      <c r="U36" s="67">
        <f>O41</f>
        <v>18453</v>
      </c>
      <c r="V36" s="66"/>
      <c r="W36" s="65" t="s">
        <v>144</v>
      </c>
      <c r="X36" s="67">
        <f>I40</f>
        <v>2410</v>
      </c>
    </row>
    <row r="37" spans="8:24" ht="15.75">
      <c r="K37" s="11"/>
      <c r="L37" s="11"/>
      <c r="M37" s="11"/>
      <c r="N37" s="28" t="s">
        <v>145</v>
      </c>
      <c r="O37" s="60">
        <f>J47-O35</f>
        <v>508.91511133898803</v>
      </c>
      <c r="P37" s="76"/>
      <c r="Q37" s="65" t="s">
        <v>127</v>
      </c>
      <c r="R37" s="60">
        <f>R33*R35</f>
        <v>4969.673887256602</v>
      </c>
      <c r="S37" s="48"/>
      <c r="T37" s="65" t="s">
        <v>146</v>
      </c>
      <c r="U37" s="67">
        <f>O42</f>
        <v>21178</v>
      </c>
      <c r="V37" s="71"/>
      <c r="W37" s="48"/>
      <c r="X37" s="62"/>
    </row>
    <row r="38" spans="8:24" ht="15.75">
      <c r="H38" s="37" t="s">
        <v>103</v>
      </c>
      <c r="I38" s="60">
        <f>ONSV_AUX_2017!AA56</f>
        <v>313028</v>
      </c>
      <c r="J38" s="61">
        <f>I38-(L33*I32)</f>
        <v>312998.54210582923</v>
      </c>
      <c r="K38" s="11"/>
      <c r="L38" s="11"/>
      <c r="M38" s="11"/>
      <c r="O38" s="76"/>
      <c r="P38" s="76"/>
      <c r="Q38" s="48"/>
      <c r="R38" s="78"/>
      <c r="S38" s="48"/>
      <c r="T38" s="65" t="s">
        <v>147</v>
      </c>
      <c r="U38" s="68">
        <f>I38-J38</f>
        <v>29.457894170773216</v>
      </c>
      <c r="V38" s="71"/>
      <c r="W38" s="65" t="s">
        <v>148</v>
      </c>
      <c r="X38" s="67">
        <f>I46</f>
        <v>6784</v>
      </c>
    </row>
    <row r="39" spans="8:24" ht="15.75">
      <c r="H39" s="37" t="s">
        <v>104</v>
      </c>
      <c r="I39" s="60">
        <f>ONSV_AUX_2017!AA57</f>
        <v>20896</v>
      </c>
      <c r="J39" s="10">
        <f>I39</f>
        <v>20896</v>
      </c>
      <c r="K39" s="11"/>
      <c r="L39" s="11"/>
      <c r="M39" s="11"/>
      <c r="N39" s="26" t="s">
        <v>149</v>
      </c>
      <c r="O39" s="76"/>
      <c r="P39" s="76"/>
      <c r="Q39" s="65" t="s">
        <v>150</v>
      </c>
      <c r="R39" s="60">
        <f>J41-R36</f>
        <v>26534.899567510416</v>
      </c>
      <c r="S39" s="48"/>
      <c r="T39" s="65" t="s">
        <v>151</v>
      </c>
      <c r="U39" s="72">
        <f>O44</f>
        <v>0</v>
      </c>
      <c r="V39" s="48"/>
      <c r="W39" s="65" t="s">
        <v>152</v>
      </c>
      <c r="X39" s="67">
        <f>I43</f>
        <v>3411</v>
      </c>
    </row>
    <row r="40" spans="8:24" ht="15.75">
      <c r="H40" s="37" t="s">
        <v>105</v>
      </c>
      <c r="I40" s="60">
        <f>ONSV_AUX_2017!AA58</f>
        <v>2410</v>
      </c>
      <c r="J40" s="10">
        <f>I40</f>
        <v>2410</v>
      </c>
      <c r="K40" s="11"/>
      <c r="L40" s="11"/>
      <c r="M40" s="11"/>
      <c r="O40" s="73"/>
      <c r="P40" s="76"/>
      <c r="Q40" s="65" t="s">
        <v>136</v>
      </c>
      <c r="R40" s="60">
        <f>J42-R37</f>
        <v>9718.943691792656</v>
      </c>
      <c r="S40" s="48"/>
      <c r="T40" s="48"/>
      <c r="U40" s="62"/>
      <c r="V40" s="77"/>
      <c r="W40" s="48"/>
      <c r="X40" s="62"/>
    </row>
    <row r="41" spans="8:24" ht="15.75">
      <c r="H41" s="37" t="s">
        <v>106</v>
      </c>
      <c r="I41" s="60">
        <f>ONSV_AUX_2017!AA59</f>
        <v>40107</v>
      </c>
      <c r="J41" s="61">
        <f>I41-(L34*I32)</f>
        <v>40103.225680253818</v>
      </c>
      <c r="K41" s="11"/>
      <c r="L41" s="11"/>
      <c r="M41" s="11"/>
      <c r="N41" s="28" t="s">
        <v>143</v>
      </c>
      <c r="O41" s="60">
        <f>I29</f>
        <v>18453</v>
      </c>
      <c r="P41" s="76"/>
      <c r="Q41" s="48"/>
      <c r="R41" s="48"/>
      <c r="S41" s="77"/>
      <c r="T41" s="65" t="s">
        <v>142</v>
      </c>
      <c r="U41" s="68">
        <f>R36</f>
        <v>13568.3261127434</v>
      </c>
      <c r="V41" s="48"/>
      <c r="W41" s="65" t="s">
        <v>153</v>
      </c>
      <c r="X41" s="67">
        <f>I44</f>
        <v>237066</v>
      </c>
    </row>
    <row r="42" spans="8:24" ht="15.75">
      <c r="H42" s="37" t="s">
        <v>107</v>
      </c>
      <c r="I42" s="60">
        <f>ONSV_AUX_2017!AA60</f>
        <v>14690</v>
      </c>
      <c r="J42" s="61">
        <f>I42-(L35*I32)</f>
        <v>14688.617579049258</v>
      </c>
      <c r="K42" s="11"/>
      <c r="L42" s="11"/>
      <c r="M42" s="11"/>
      <c r="N42" s="28" t="s">
        <v>146</v>
      </c>
      <c r="O42" s="60">
        <f>I33</f>
        <v>21178</v>
      </c>
      <c r="P42" s="76"/>
      <c r="Q42" s="48"/>
      <c r="R42" s="48"/>
      <c r="S42" s="48"/>
      <c r="T42" s="65" t="s">
        <v>154</v>
      </c>
      <c r="U42" s="68">
        <f>I41-J41</f>
        <v>3.7743197461823002</v>
      </c>
      <c r="V42" s="48"/>
      <c r="W42" s="65" t="s">
        <v>155</v>
      </c>
      <c r="X42" s="67">
        <f>I45</f>
        <v>40759</v>
      </c>
    </row>
    <row r="43" spans="8:24" ht="15.75">
      <c r="H43" s="37" t="s">
        <v>108</v>
      </c>
      <c r="I43" s="60">
        <f>ONSV_AUX_2017!AA61</f>
        <v>3411</v>
      </c>
      <c r="J43" s="10">
        <f>I43</f>
        <v>3411</v>
      </c>
      <c r="K43" s="11"/>
      <c r="L43" s="11"/>
      <c r="M43" s="11"/>
      <c r="N43" s="28" t="s">
        <v>139</v>
      </c>
      <c r="O43" s="60">
        <f>IF(OR((O32*I30&gt;J38),((O41+O42+(O32*I30))&gt;J38)),(J38-O41-O42),(O32*I30))</f>
        <v>273367.54210582923</v>
      </c>
      <c r="P43" s="76"/>
      <c r="Q43" s="48"/>
      <c r="R43" s="78"/>
      <c r="S43" s="48"/>
      <c r="T43" s="65" t="s">
        <v>150</v>
      </c>
      <c r="U43" s="72">
        <f>R39</f>
        <v>26534.899567510416</v>
      </c>
      <c r="V43" s="48"/>
      <c r="W43" s="48"/>
      <c r="X43" s="48"/>
    </row>
    <row r="44" spans="8:24" ht="15.75">
      <c r="H44" s="37" t="s">
        <v>109</v>
      </c>
      <c r="I44" s="60">
        <f>ONSV_AUX_2017!AA62</f>
        <v>237066</v>
      </c>
      <c r="J44" s="10">
        <f>I44</f>
        <v>237066</v>
      </c>
      <c r="K44" s="11"/>
      <c r="L44" s="11"/>
      <c r="M44" s="11"/>
      <c r="N44" s="28" t="s">
        <v>151</v>
      </c>
      <c r="O44" s="60">
        <f>IF((J38-O41-O43-O42)&lt;0,0,(J38-O41-O43-O42))</f>
        <v>0</v>
      </c>
      <c r="P44" s="48"/>
      <c r="Q44" s="48"/>
      <c r="R44" s="48"/>
      <c r="S44" s="48"/>
      <c r="T44" s="48"/>
      <c r="U44" s="62"/>
      <c r="V44" s="48"/>
      <c r="W44" s="48"/>
      <c r="X44" s="48"/>
    </row>
    <row r="45" spans="8:24" ht="15.75">
      <c r="H45" s="37" t="s">
        <v>110</v>
      </c>
      <c r="I45" s="60">
        <f>ONSV_AUX_2017!AA63</f>
        <v>40759</v>
      </c>
      <c r="J45" s="10">
        <f>I45</f>
        <v>40759</v>
      </c>
      <c r="K45" s="11"/>
      <c r="L45" s="11"/>
      <c r="M45" s="11"/>
      <c r="O45" s="48"/>
      <c r="P45" s="76"/>
      <c r="Q45" s="48"/>
      <c r="R45" s="48"/>
      <c r="S45" s="48"/>
      <c r="T45" s="79" t="s">
        <v>156</v>
      </c>
      <c r="U45" s="80">
        <f>(SUM(U31:U43,X31:X42)/SUM(I38:I47))-1</f>
        <v>0</v>
      </c>
      <c r="V45" s="48"/>
      <c r="W45" s="79" t="s">
        <v>10</v>
      </c>
      <c r="X45" s="67">
        <f>SUM(U31:U43,X31:X42)</f>
        <v>683246</v>
      </c>
    </row>
    <row r="46" spans="8:24" ht="15.75">
      <c r="H46" s="37" t="s">
        <v>111</v>
      </c>
      <c r="I46" s="60">
        <f>ONSV_AUX_2017!AA64</f>
        <v>6784</v>
      </c>
      <c r="J46" s="10">
        <f>I46</f>
        <v>6784</v>
      </c>
      <c r="K46" s="11"/>
      <c r="L46" s="11"/>
      <c r="M46" s="11"/>
      <c r="O46" s="48"/>
      <c r="P46" s="76"/>
      <c r="Q46" s="48"/>
      <c r="R46" s="48"/>
      <c r="S46" s="48"/>
      <c r="T46" s="48"/>
      <c r="U46" s="48"/>
      <c r="V46" s="48"/>
      <c r="W46" s="48"/>
      <c r="X46" s="48"/>
    </row>
    <row r="47" spans="8:24" ht="15.75">
      <c r="H47" s="37" t="s">
        <v>112</v>
      </c>
      <c r="I47" s="60">
        <f>ONSV_AUX_2017!AA65</f>
        <v>4095</v>
      </c>
      <c r="J47" s="61">
        <f>I47-(L36*I32)</f>
        <v>4094.6146348677134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39"/>
      <c r="I48" s="40"/>
      <c r="J48" s="40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5" customFormat="1" ht="15.75">
      <c r="A50" s="101" t="str">
        <f>"SERGIPE/"&amp;ONSV_AUX_2016!A1&amp;""</f>
        <v>SERGIPE/2016</v>
      </c>
      <c r="B50" s="102"/>
      <c r="C50" s="102"/>
      <c r="D50" s="102"/>
      <c r="E50" s="102"/>
      <c r="F50" s="102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</row>
    <row r="52" spans="1:24" ht="15.75">
      <c r="H52" s="23" t="s">
        <v>118</v>
      </c>
      <c r="N52" s="26"/>
      <c r="O52" s="26"/>
      <c r="P52" s="9"/>
      <c r="Q52" s="26"/>
      <c r="R52" s="26"/>
      <c r="S52" s="26"/>
      <c r="T52" s="104"/>
      <c r="U52" s="104"/>
      <c r="V52" s="104"/>
      <c r="W52" s="104"/>
      <c r="X52" s="104"/>
    </row>
    <row r="53" spans="1:24" ht="15.75">
      <c r="J53" s="9"/>
      <c r="M53" s="25"/>
      <c r="N53" s="9"/>
      <c r="O53" s="9"/>
      <c r="P53" s="9"/>
      <c r="Q53" s="11"/>
      <c r="R53" s="11"/>
      <c r="S53" s="11"/>
    </row>
    <row r="54" spans="1:24" ht="15.75">
      <c r="H54" s="36" t="s">
        <v>81</v>
      </c>
      <c r="I54" s="60">
        <f>ONSV_AUX_2016!AA27</f>
        <v>18425</v>
      </c>
      <c r="J54" s="9"/>
      <c r="K54" s="104" t="s">
        <v>119</v>
      </c>
      <c r="L54" s="104"/>
      <c r="M54" s="9"/>
      <c r="N54" s="26" t="s">
        <v>120</v>
      </c>
      <c r="O54" s="26"/>
      <c r="Q54" s="26" t="s">
        <v>121</v>
      </c>
      <c r="R54" s="26"/>
      <c r="S54" s="26"/>
      <c r="T54" s="25" t="s">
        <v>122</v>
      </c>
      <c r="U54" s="25"/>
      <c r="V54" s="25"/>
      <c r="W54" s="25"/>
      <c r="X54" s="25"/>
    </row>
    <row r="55" spans="1:24" ht="15.75">
      <c r="H55" s="36" t="s">
        <v>84</v>
      </c>
      <c r="I55" s="60">
        <f>ONSV_AUX_2016!AA28</f>
        <v>260375</v>
      </c>
      <c r="J55" s="9"/>
      <c r="K55" s="9"/>
      <c r="L55" s="9"/>
      <c r="M55" s="9"/>
      <c r="N55" s="9"/>
      <c r="O55" s="9"/>
      <c r="P55" s="20"/>
      <c r="Q55" s="11"/>
      <c r="R55" s="11"/>
      <c r="S55" s="11"/>
    </row>
    <row r="56" spans="1:24" ht="15.75">
      <c r="H56" s="36" t="s">
        <v>85</v>
      </c>
      <c r="I56" s="60">
        <f>ONSV_AUX_2016!AA29</f>
        <v>50769</v>
      </c>
      <c r="J56" s="9"/>
      <c r="K56" s="2" t="s">
        <v>123</v>
      </c>
      <c r="L56" s="60">
        <f>I63+I66+I67+I72</f>
        <v>358763</v>
      </c>
      <c r="N56" s="28" t="s">
        <v>124</v>
      </c>
      <c r="O56" s="60">
        <f>J63+J72</f>
        <v>306628.34104966227</v>
      </c>
      <c r="P56" s="64"/>
      <c r="Q56" s="65" t="s">
        <v>125</v>
      </c>
      <c r="R56" s="60">
        <f>J66+J67</f>
        <v>52111.658950337689</v>
      </c>
      <c r="S56" s="66"/>
      <c r="T56" s="65" t="s">
        <v>126</v>
      </c>
      <c r="U56" s="67">
        <f>O60</f>
        <v>3229.1295720174271</v>
      </c>
      <c r="V56" s="48"/>
      <c r="W56" s="65" t="s">
        <v>127</v>
      </c>
      <c r="X56" s="68">
        <f>R62</f>
        <v>4693.9620838530163</v>
      </c>
    </row>
    <row r="57" spans="1:24" ht="15.75">
      <c r="H57" s="36" t="s">
        <v>101</v>
      </c>
      <c r="I57" s="60">
        <f>ONSV_AUX_2016!AA30</f>
        <v>23</v>
      </c>
      <c r="J57" s="9"/>
      <c r="K57" s="27"/>
      <c r="L57" s="62"/>
      <c r="M57" s="20"/>
      <c r="N57" s="28" t="s">
        <v>128</v>
      </c>
      <c r="O57" s="69">
        <f>J63/O56</f>
        <v>0.98759815814875695</v>
      </c>
      <c r="P57" s="64"/>
      <c r="Q57" s="70" t="s">
        <v>129</v>
      </c>
      <c r="R57" s="63">
        <f>J66/R56</f>
        <v>0.73441427612011889</v>
      </c>
      <c r="S57" s="71"/>
      <c r="T57" s="65" t="s">
        <v>130</v>
      </c>
      <c r="U57" s="67">
        <f>I72-J72</f>
        <v>0.2438071930496335</v>
      </c>
      <c r="V57" s="48"/>
      <c r="W57" s="65" t="s">
        <v>131</v>
      </c>
      <c r="X57" s="68">
        <f>I67-J67</f>
        <v>0.88733509308440262</v>
      </c>
    </row>
    <row r="58" spans="1:24" ht="15.75">
      <c r="H58" s="36" t="s">
        <v>16</v>
      </c>
      <c r="I58" s="60">
        <f>ONSV_AUX_2016!AA31</f>
        <v>20731</v>
      </c>
      <c r="J58" s="9"/>
      <c r="K58" s="2" t="s">
        <v>132</v>
      </c>
      <c r="L58" s="63">
        <f>I63/L56</f>
        <v>0.84413665846255048</v>
      </c>
      <c r="M58" s="20"/>
      <c r="N58" s="28" t="s">
        <v>133</v>
      </c>
      <c r="O58" s="69">
        <f>J72/O56</f>
        <v>1.240184185124312E-2</v>
      </c>
      <c r="P58" s="64"/>
      <c r="Q58" s="70" t="s">
        <v>134</v>
      </c>
      <c r="R58" s="63">
        <f>J67/R56</f>
        <v>0.265585723879881</v>
      </c>
      <c r="S58" s="71"/>
      <c r="T58" s="65" t="s">
        <v>135</v>
      </c>
      <c r="U58" s="72">
        <f>O62</f>
        <v>573.62662078952326</v>
      </c>
      <c r="V58" s="73"/>
      <c r="W58" s="65" t="s">
        <v>136</v>
      </c>
      <c r="X58" s="72">
        <f>R65</f>
        <v>9146.1505810538983</v>
      </c>
    </row>
    <row r="59" spans="1:24" ht="15.75">
      <c r="H59" s="36" t="s">
        <v>94</v>
      </c>
      <c r="I59" s="60">
        <f>ONSV_AUX_2016!AA32</f>
        <v>321640</v>
      </c>
      <c r="J59" s="10"/>
      <c r="K59" s="2" t="s">
        <v>2</v>
      </c>
      <c r="L59" s="63">
        <f>I66/L56</f>
        <v>0.10668324214035449</v>
      </c>
      <c r="M59" s="20"/>
      <c r="N59" s="20"/>
      <c r="O59" s="74"/>
      <c r="P59" s="48"/>
      <c r="Q59" s="48"/>
      <c r="R59" s="48"/>
      <c r="S59" s="48"/>
      <c r="T59" s="48"/>
      <c r="U59" s="62"/>
      <c r="V59" s="75"/>
      <c r="W59" s="48"/>
      <c r="X59" s="62"/>
    </row>
    <row r="60" spans="1:24" ht="15.75">
      <c r="K60" s="2" t="s">
        <v>3</v>
      </c>
      <c r="L60" s="63">
        <f>I67/L56</f>
        <v>3.857978665581456E-2</v>
      </c>
      <c r="M60" s="20"/>
      <c r="N60" s="28" t="s">
        <v>137</v>
      </c>
      <c r="O60" s="60">
        <f>IF(O58*I55&gt;J72,J72,O58*I55)</f>
        <v>3229.1295720174271</v>
      </c>
      <c r="P60" s="76"/>
      <c r="Q60" s="65" t="s">
        <v>138</v>
      </c>
      <c r="R60" s="60">
        <f>I56-I64-I65-I68-I71</f>
        <v>17674</v>
      </c>
      <c r="S60" s="77"/>
      <c r="T60" s="65" t="s">
        <v>139</v>
      </c>
      <c r="U60" s="67">
        <f>O68</f>
        <v>257145.87042798259</v>
      </c>
      <c r="V60" s="76"/>
      <c r="W60" s="65" t="s">
        <v>140</v>
      </c>
      <c r="X60" s="67">
        <f>I64</f>
        <v>20840</v>
      </c>
    </row>
    <row r="61" spans="1:24" ht="15.75">
      <c r="H61" s="24" t="s">
        <v>141</v>
      </c>
      <c r="K61" s="2" t="s">
        <v>0</v>
      </c>
      <c r="L61" s="63">
        <f>I72/L56</f>
        <v>1.0600312741280456E-2</v>
      </c>
      <c r="O61" s="48"/>
      <c r="P61" s="76"/>
      <c r="Q61" s="65" t="s">
        <v>142</v>
      </c>
      <c r="R61" s="60">
        <f>R57*R60</f>
        <v>12980.037916146981</v>
      </c>
      <c r="S61" s="48"/>
      <c r="T61" s="65" t="s">
        <v>143</v>
      </c>
      <c r="U61" s="67">
        <f>O66</f>
        <v>18425</v>
      </c>
      <c r="V61" s="66"/>
      <c r="W61" s="65" t="s">
        <v>144</v>
      </c>
      <c r="X61" s="67">
        <f>I65</f>
        <v>2334</v>
      </c>
    </row>
    <row r="62" spans="1:24" ht="15.75">
      <c r="K62" s="11"/>
      <c r="L62" s="11"/>
      <c r="M62" s="11"/>
      <c r="N62" s="28" t="s">
        <v>145</v>
      </c>
      <c r="O62" s="60">
        <f>J72-O60</f>
        <v>573.62662078952326</v>
      </c>
      <c r="P62" s="76"/>
      <c r="Q62" s="65" t="s">
        <v>127</v>
      </c>
      <c r="R62" s="60">
        <f>R58*R60</f>
        <v>4693.9620838530163</v>
      </c>
      <c r="S62" s="48"/>
      <c r="T62" s="65" t="s">
        <v>146</v>
      </c>
      <c r="U62" s="67">
        <f>O67</f>
        <v>20731</v>
      </c>
      <c r="V62" s="71"/>
      <c r="W62" s="48"/>
      <c r="X62" s="62"/>
    </row>
    <row r="63" spans="1:24" ht="15.75">
      <c r="H63" s="37" t="s">
        <v>103</v>
      </c>
      <c r="I63" s="60">
        <f>ONSV_AUX_2016!AA56</f>
        <v>302845</v>
      </c>
      <c r="J63" s="61">
        <f>I63-(L58*I57)</f>
        <v>302825.58485685533</v>
      </c>
      <c r="K63" s="11"/>
      <c r="L63" s="11"/>
      <c r="M63" s="11"/>
      <c r="O63" s="76"/>
      <c r="P63" s="76"/>
      <c r="Q63" s="48"/>
      <c r="R63" s="78"/>
      <c r="S63" s="48"/>
      <c r="T63" s="65" t="s">
        <v>147</v>
      </c>
      <c r="U63" s="68">
        <f>I63-J63</f>
        <v>19.415143144666217</v>
      </c>
      <c r="V63" s="71"/>
      <c r="W63" s="65" t="s">
        <v>148</v>
      </c>
      <c r="X63" s="67">
        <f>I71</f>
        <v>6525</v>
      </c>
    </row>
    <row r="64" spans="1:24" ht="15.75">
      <c r="H64" s="37" t="s">
        <v>104</v>
      </c>
      <c r="I64" s="60">
        <f>ONSV_AUX_2016!AA57</f>
        <v>20840</v>
      </c>
      <c r="J64" s="10">
        <f>I64</f>
        <v>20840</v>
      </c>
      <c r="K64" s="11"/>
      <c r="L64" s="11"/>
      <c r="M64" s="11"/>
      <c r="N64" s="26" t="s">
        <v>149</v>
      </c>
      <c r="O64" s="76"/>
      <c r="P64" s="76"/>
      <c r="Q64" s="65" t="s">
        <v>150</v>
      </c>
      <c r="R64" s="60">
        <f>J66-R61</f>
        <v>25291.508369283787</v>
      </c>
      <c r="S64" s="48"/>
      <c r="T64" s="65" t="s">
        <v>151</v>
      </c>
      <c r="U64" s="72">
        <f>O69</f>
        <v>6523.7144288727432</v>
      </c>
      <c r="V64" s="48"/>
      <c r="W64" s="65" t="s">
        <v>152</v>
      </c>
      <c r="X64" s="67">
        <f>I68</f>
        <v>3396</v>
      </c>
    </row>
    <row r="65" spans="1:24" ht="15.75">
      <c r="H65" s="37" t="s">
        <v>105</v>
      </c>
      <c r="I65" s="60">
        <f>ONSV_AUX_2016!AA58</f>
        <v>2334</v>
      </c>
      <c r="J65" s="10">
        <f>I65</f>
        <v>2334</v>
      </c>
      <c r="K65" s="11"/>
      <c r="L65" s="11"/>
      <c r="M65" s="11"/>
      <c r="O65" s="73"/>
      <c r="P65" s="76"/>
      <c r="Q65" s="65" t="s">
        <v>136</v>
      </c>
      <c r="R65" s="60">
        <f>J67-R62</f>
        <v>9146.1505810538983</v>
      </c>
      <c r="S65" s="48"/>
      <c r="T65" s="48"/>
      <c r="U65" s="62"/>
      <c r="V65" s="77"/>
      <c r="W65" s="48"/>
      <c r="X65" s="62"/>
    </row>
    <row r="66" spans="1:24" ht="15.75">
      <c r="H66" s="37" t="s">
        <v>106</v>
      </c>
      <c r="I66" s="60">
        <f>ONSV_AUX_2016!AA59</f>
        <v>38274</v>
      </c>
      <c r="J66" s="61">
        <f>I66-(L59*I57)</f>
        <v>38271.54628543077</v>
      </c>
      <c r="K66" s="11"/>
      <c r="L66" s="11"/>
      <c r="M66" s="11"/>
      <c r="N66" s="28" t="s">
        <v>143</v>
      </c>
      <c r="O66" s="60">
        <f>I54</f>
        <v>18425</v>
      </c>
      <c r="P66" s="76"/>
      <c r="Q66" s="48"/>
      <c r="R66" s="48"/>
      <c r="S66" s="77"/>
      <c r="T66" s="65" t="s">
        <v>142</v>
      </c>
      <c r="U66" s="68">
        <f>R61</f>
        <v>12980.037916146981</v>
      </c>
      <c r="V66" s="48"/>
      <c r="W66" s="65" t="s">
        <v>153</v>
      </c>
      <c r="X66" s="67">
        <f>I69</f>
        <v>226178</v>
      </c>
    </row>
    <row r="67" spans="1:24" ht="15.75">
      <c r="H67" s="37" t="s">
        <v>107</v>
      </c>
      <c r="I67" s="60">
        <f>ONSV_AUX_2016!AA60</f>
        <v>13841</v>
      </c>
      <c r="J67" s="61">
        <f>I67-(L60*I57)</f>
        <v>13840.112664906916</v>
      </c>
      <c r="K67" s="11"/>
      <c r="L67" s="11"/>
      <c r="M67" s="11"/>
      <c r="N67" s="28" t="s">
        <v>146</v>
      </c>
      <c r="O67" s="60">
        <f>I58</f>
        <v>20731</v>
      </c>
      <c r="P67" s="76"/>
      <c r="Q67" s="48"/>
      <c r="R67" s="48"/>
      <c r="S67" s="48"/>
      <c r="T67" s="65" t="s">
        <v>154</v>
      </c>
      <c r="U67" s="68">
        <f>I66-J66</f>
        <v>2.4537145692302147</v>
      </c>
      <c r="V67" s="48"/>
      <c r="W67" s="65" t="s">
        <v>155</v>
      </c>
      <c r="X67" s="67">
        <f>I70</f>
        <v>39103</v>
      </c>
    </row>
    <row r="68" spans="1:24" ht="15.75">
      <c r="H68" s="37" t="s">
        <v>108</v>
      </c>
      <c r="I68" s="60">
        <f>ONSV_AUX_2016!AA61</f>
        <v>3396</v>
      </c>
      <c r="J68" s="10">
        <f>I68</f>
        <v>3396</v>
      </c>
      <c r="K68" s="11"/>
      <c r="L68" s="11"/>
      <c r="M68" s="11"/>
      <c r="N68" s="28" t="s">
        <v>139</v>
      </c>
      <c r="O68" s="60">
        <f>IF(OR((O57*I55&gt;J63),((O66+O67+(O57*I55))&gt;J63)),(J63-O66-O67),(O57*I55))</f>
        <v>257145.87042798259</v>
      </c>
      <c r="P68" s="76"/>
      <c r="Q68" s="48"/>
      <c r="R68" s="78"/>
      <c r="S68" s="48"/>
      <c r="T68" s="65" t="s">
        <v>150</v>
      </c>
      <c r="U68" s="72">
        <f>R64</f>
        <v>25291.508369283787</v>
      </c>
      <c r="V68" s="48"/>
      <c r="W68" s="48"/>
      <c r="X68" s="48"/>
    </row>
    <row r="69" spans="1:24" ht="15.75">
      <c r="H69" s="37" t="s">
        <v>109</v>
      </c>
      <c r="I69" s="60">
        <f>ONSV_AUX_2016!AA62</f>
        <v>226178</v>
      </c>
      <c r="J69" s="10">
        <f>I69</f>
        <v>226178</v>
      </c>
      <c r="K69" s="11"/>
      <c r="L69" s="11"/>
      <c r="M69" s="11"/>
      <c r="N69" s="28" t="s">
        <v>151</v>
      </c>
      <c r="O69" s="60">
        <f>IF((J63-O66-O68-O67)&lt;0,0,(J63-O66-O68-O67))</f>
        <v>6523.7144288727432</v>
      </c>
      <c r="P69" s="48"/>
      <c r="Q69" s="48"/>
      <c r="R69" s="48"/>
      <c r="S69" s="48"/>
      <c r="T69" s="48"/>
      <c r="U69" s="62"/>
      <c r="V69" s="48"/>
      <c r="W69" s="48"/>
      <c r="X69" s="48"/>
    </row>
    <row r="70" spans="1:24" ht="15.75">
      <c r="H70" s="37" t="s">
        <v>110</v>
      </c>
      <c r="I70" s="60">
        <f>ONSV_AUX_2016!AA63</f>
        <v>39103</v>
      </c>
      <c r="J70" s="10">
        <f>I70</f>
        <v>39103</v>
      </c>
      <c r="K70" s="11"/>
      <c r="L70" s="11"/>
      <c r="M70" s="11"/>
      <c r="O70" s="48"/>
      <c r="P70" s="76"/>
      <c r="Q70" s="48"/>
      <c r="R70" s="48"/>
      <c r="S70" s="48"/>
      <c r="T70" s="79" t="s">
        <v>156</v>
      </c>
      <c r="U70" s="80">
        <f>(SUM(U56:U68,X56:X67)/SUM(I63:I72))-1</f>
        <v>0</v>
      </c>
      <c r="V70" s="48"/>
      <c r="W70" s="79" t="s">
        <v>10</v>
      </c>
      <c r="X70" s="67">
        <f>SUM(U56:U68,X56:X67)</f>
        <v>657139</v>
      </c>
    </row>
    <row r="71" spans="1:24" ht="15.75">
      <c r="H71" s="37" t="s">
        <v>111</v>
      </c>
      <c r="I71" s="60">
        <f>ONSV_AUX_2016!AA64</f>
        <v>6525</v>
      </c>
      <c r="J71" s="10">
        <f>I71</f>
        <v>6525</v>
      </c>
      <c r="K71" s="11"/>
      <c r="L71" s="11"/>
      <c r="M71" s="11"/>
      <c r="O71" s="48"/>
      <c r="P71" s="76"/>
      <c r="Q71" s="48"/>
      <c r="R71" s="48"/>
      <c r="S71" s="48"/>
      <c r="T71" s="48"/>
      <c r="U71" s="48"/>
      <c r="V71" s="48"/>
      <c r="W71" s="48"/>
      <c r="X71" s="48"/>
    </row>
    <row r="72" spans="1:24" ht="15.75">
      <c r="H72" s="37" t="s">
        <v>112</v>
      </c>
      <c r="I72" s="60">
        <f>ONSV_AUX_2016!AA65</f>
        <v>3803</v>
      </c>
      <c r="J72" s="61">
        <f>I72-(L61*I57)</f>
        <v>3802.7561928069504</v>
      </c>
      <c r="K72" s="12"/>
      <c r="L72" s="12"/>
      <c r="M72" s="12"/>
      <c r="N72" s="12"/>
      <c r="O72" s="12"/>
      <c r="P72" s="12"/>
      <c r="Q72" s="4"/>
      <c r="R72" s="4"/>
    </row>
    <row r="75" spans="1:24" s="35" customFormat="1" ht="15.75">
      <c r="A75" s="101" t="str">
        <f>"SERGIPE/"&amp;ONSV_AUX_2015!A1&amp;""</f>
        <v>SERGIPE/2015</v>
      </c>
      <c r="B75" s="102"/>
      <c r="C75" s="102"/>
      <c r="D75" s="102"/>
      <c r="E75" s="102"/>
      <c r="F75" s="102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 spans="1:24"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>
      <c r="H77" s="23" t="s">
        <v>118</v>
      </c>
      <c r="P77" s="9"/>
    </row>
    <row r="78" spans="1:24" ht="15.75">
      <c r="J78" s="9"/>
      <c r="M78" s="25"/>
      <c r="P78" s="9"/>
    </row>
    <row r="79" spans="1:24" ht="15.75">
      <c r="H79" s="36" t="s">
        <v>81</v>
      </c>
      <c r="I79" s="60">
        <f>ONSV_AUX_2015!AA27</f>
        <v>18411</v>
      </c>
      <c r="J79" s="9"/>
      <c r="K79" s="104" t="s">
        <v>119</v>
      </c>
      <c r="L79" s="104"/>
      <c r="M79" s="9"/>
      <c r="N79" s="26" t="s">
        <v>120</v>
      </c>
      <c r="O79" s="26"/>
      <c r="Q79" s="26" t="s">
        <v>121</v>
      </c>
      <c r="R79" s="26"/>
      <c r="S79" s="26"/>
      <c r="T79" s="25" t="s">
        <v>122</v>
      </c>
      <c r="U79" s="25"/>
      <c r="V79" s="25"/>
      <c r="W79" s="25"/>
      <c r="X79" s="25"/>
    </row>
    <row r="80" spans="1:24" ht="15.75">
      <c r="H80" s="36" t="s">
        <v>84</v>
      </c>
      <c r="I80" s="60">
        <f>ONSV_AUX_2015!AA28</f>
        <v>237484</v>
      </c>
      <c r="J80" s="9"/>
      <c r="K80" s="9"/>
      <c r="L80" s="9"/>
      <c r="M80" s="9"/>
      <c r="N80" s="9"/>
      <c r="O80" s="9"/>
      <c r="P80" s="20"/>
      <c r="Q80" s="11"/>
      <c r="R80" s="11"/>
      <c r="S80" s="11"/>
    </row>
    <row r="81" spans="8:24" ht="15.75">
      <c r="H81" s="36" t="s">
        <v>85</v>
      </c>
      <c r="I81" s="60">
        <f>ONSV_AUX_2015!AA29</f>
        <v>49121</v>
      </c>
      <c r="J81" s="9"/>
      <c r="K81" s="2" t="s">
        <v>123</v>
      </c>
      <c r="L81" s="60">
        <f>I88+I91+I92+I97</f>
        <v>342436</v>
      </c>
      <c r="N81" s="28" t="s">
        <v>124</v>
      </c>
      <c r="O81" s="60">
        <f>J88+J97</f>
        <v>293538.99752070458</v>
      </c>
      <c r="P81" s="64"/>
      <c r="Q81" s="65" t="s">
        <v>125</v>
      </c>
      <c r="R81" s="60">
        <f>J91+J92</f>
        <v>48876.002479295406</v>
      </c>
      <c r="S81" s="66"/>
      <c r="T81" s="65" t="s">
        <v>126</v>
      </c>
      <c r="U81" s="67">
        <f>O85</f>
        <v>2860.5804801111881</v>
      </c>
      <c r="V81" s="48"/>
      <c r="W81" s="65" t="s">
        <v>127</v>
      </c>
      <c r="X81" s="68">
        <f>R87</f>
        <v>4396.5223715706124</v>
      </c>
    </row>
    <row r="82" spans="8:24" ht="15.75">
      <c r="H82" s="36" t="s">
        <v>101</v>
      </c>
      <c r="I82" s="60">
        <f>ONSV_AUX_2015!AA30</f>
        <v>21</v>
      </c>
      <c r="J82" s="9"/>
      <c r="K82" s="27"/>
      <c r="L82" s="62"/>
      <c r="M82" s="20"/>
      <c r="N82" s="28" t="s">
        <v>128</v>
      </c>
      <c r="O82" s="69">
        <f>J88/O81</f>
        <v>0.98795463913311554</v>
      </c>
      <c r="P82" s="64"/>
      <c r="Q82" s="70" t="s">
        <v>129</v>
      </c>
      <c r="R82" s="63">
        <f>J91/R81</f>
        <v>0.73872215061682922</v>
      </c>
      <c r="S82" s="71"/>
      <c r="T82" s="65" t="s">
        <v>130</v>
      </c>
      <c r="U82" s="67">
        <f>I97-J97</f>
        <v>0.21684635961173626</v>
      </c>
      <c r="V82" s="48"/>
      <c r="W82" s="65" t="s">
        <v>131</v>
      </c>
      <c r="X82" s="68">
        <f>I92-J92</f>
        <v>0.78318576317906263</v>
      </c>
    </row>
    <row r="83" spans="8:24" ht="15.75">
      <c r="H83" s="36" t="s">
        <v>16</v>
      </c>
      <c r="I83" s="60">
        <f>ONSV_AUX_2015!AA31</f>
        <v>20057</v>
      </c>
      <c r="J83" s="9"/>
      <c r="K83" s="2" t="s">
        <v>132</v>
      </c>
      <c r="L83" s="63">
        <f>I88/L81</f>
        <v>0.84693490170426011</v>
      </c>
      <c r="M83" s="20"/>
      <c r="N83" s="28" t="s">
        <v>133</v>
      </c>
      <c r="O83" s="69">
        <f>J97/O81</f>
        <v>1.2045360866884456E-2</v>
      </c>
      <c r="P83" s="64"/>
      <c r="Q83" s="70" t="s">
        <v>134</v>
      </c>
      <c r="R83" s="63">
        <f>J92/R81</f>
        <v>0.26127784938317067</v>
      </c>
      <c r="S83" s="71"/>
      <c r="T83" s="65" t="s">
        <v>135</v>
      </c>
      <c r="U83" s="72">
        <f>O87</f>
        <v>675.20267352920018</v>
      </c>
      <c r="V83" s="73"/>
      <c r="W83" s="65" t="s">
        <v>136</v>
      </c>
      <c r="X83" s="72">
        <f>R90</f>
        <v>8373.6944426662085</v>
      </c>
    </row>
    <row r="84" spans="8:24" ht="15.75">
      <c r="H84" s="36" t="s">
        <v>94</v>
      </c>
      <c r="I84" s="60">
        <f>ONSV_AUX_2015!AA32</f>
        <v>299495</v>
      </c>
      <c r="J84" s="10"/>
      <c r="K84" s="2" t="s">
        <v>2</v>
      </c>
      <c r="L84" s="63">
        <f>I91/L81</f>
        <v>0.10544452101998622</v>
      </c>
      <c r="M84" s="20"/>
      <c r="N84" s="20"/>
      <c r="O84" s="74"/>
      <c r="P84" s="48"/>
      <c r="Q84" s="48"/>
      <c r="R84" s="48"/>
      <c r="S84" s="48"/>
      <c r="T84" s="48"/>
      <c r="U84" s="62"/>
      <c r="V84" s="75"/>
      <c r="W84" s="48"/>
      <c r="X84" s="62"/>
    </row>
    <row r="85" spans="8:24" ht="15.75">
      <c r="K85" s="2" t="s">
        <v>3</v>
      </c>
      <c r="L85" s="63">
        <f>I92/L81</f>
        <v>3.729456015138595E-2</v>
      </c>
      <c r="M85" s="20"/>
      <c r="N85" s="28" t="s">
        <v>137</v>
      </c>
      <c r="O85" s="60">
        <f>IF(O83*I80&gt;J97,J97,O83*I80)</f>
        <v>2860.5804801111881</v>
      </c>
      <c r="P85" s="76"/>
      <c r="Q85" s="65" t="s">
        <v>138</v>
      </c>
      <c r="R85" s="60">
        <f>I81-I89-I90-I93-I96</f>
        <v>16827</v>
      </c>
      <c r="S85" s="77"/>
      <c r="T85" s="65" t="s">
        <v>139</v>
      </c>
      <c r="U85" s="67">
        <f>O93</f>
        <v>234623.41951988882</v>
      </c>
      <c r="V85" s="76"/>
      <c r="W85" s="65" t="s">
        <v>140</v>
      </c>
      <c r="X85" s="67">
        <f>I89</f>
        <v>20482</v>
      </c>
    </row>
    <row r="86" spans="8:24" ht="15.75">
      <c r="H86" s="24" t="s">
        <v>141</v>
      </c>
      <c r="K86" s="2" t="s">
        <v>0</v>
      </c>
      <c r="L86" s="63">
        <f>I97/L81</f>
        <v>1.0326017124367766E-2</v>
      </c>
      <c r="O86" s="48"/>
      <c r="P86" s="76"/>
      <c r="Q86" s="65" t="s">
        <v>142</v>
      </c>
      <c r="R86" s="60">
        <f>R82*R85</f>
        <v>12430.477628429386</v>
      </c>
      <c r="S86" s="48"/>
      <c r="T86" s="65" t="s">
        <v>143</v>
      </c>
      <c r="U86" s="67">
        <f>O91</f>
        <v>18411</v>
      </c>
      <c r="V86" s="66"/>
      <c r="W86" s="65" t="s">
        <v>144</v>
      </c>
      <c r="X86" s="67">
        <f>I90</f>
        <v>2205</v>
      </c>
    </row>
    <row r="87" spans="8:24" ht="15.75">
      <c r="K87" s="11"/>
      <c r="L87" s="11"/>
      <c r="M87" s="11"/>
      <c r="N87" s="28" t="s">
        <v>145</v>
      </c>
      <c r="O87" s="60">
        <f>J97-O85</f>
        <v>675.20267352920018</v>
      </c>
      <c r="P87" s="76"/>
      <c r="Q87" s="65" t="s">
        <v>127</v>
      </c>
      <c r="R87" s="60">
        <f>R83*R85</f>
        <v>4396.5223715706124</v>
      </c>
      <c r="S87" s="48"/>
      <c r="T87" s="65" t="s">
        <v>146</v>
      </c>
      <c r="U87" s="67">
        <f>O92</f>
        <v>20057</v>
      </c>
      <c r="V87" s="71"/>
      <c r="W87" s="48"/>
      <c r="X87" s="62"/>
    </row>
    <row r="88" spans="8:24" ht="15.75">
      <c r="H88" s="37" t="s">
        <v>103</v>
      </c>
      <c r="I88" s="60">
        <f>ONSV_AUX_2015!AA56</f>
        <v>290021</v>
      </c>
      <c r="J88" s="61">
        <f>I88-(L83*I82)</f>
        <v>290003.21436706418</v>
      </c>
      <c r="K88" s="11"/>
      <c r="L88" s="11"/>
      <c r="M88" s="11"/>
      <c r="O88" s="76"/>
      <c r="P88" s="76"/>
      <c r="Q88" s="48"/>
      <c r="R88" s="78"/>
      <c r="S88" s="48"/>
      <c r="T88" s="65" t="s">
        <v>147</v>
      </c>
      <c r="U88" s="68">
        <f>I88-J88</f>
        <v>17.785632935818285</v>
      </c>
      <c r="V88" s="71"/>
      <c r="W88" s="65" t="s">
        <v>148</v>
      </c>
      <c r="X88" s="67">
        <f>I96</f>
        <v>6302</v>
      </c>
    </row>
    <row r="89" spans="8:24" ht="15.75">
      <c r="H89" s="37" t="s">
        <v>104</v>
      </c>
      <c r="I89" s="60">
        <f>ONSV_AUX_2015!AA57</f>
        <v>20482</v>
      </c>
      <c r="J89" s="10">
        <f>I89</f>
        <v>20482</v>
      </c>
      <c r="K89" s="11"/>
      <c r="L89" s="11"/>
      <c r="M89" s="11"/>
      <c r="N89" s="26" t="s">
        <v>149</v>
      </c>
      <c r="O89" s="76"/>
      <c r="P89" s="76"/>
      <c r="Q89" s="65" t="s">
        <v>150</v>
      </c>
      <c r="R89" s="60">
        <f>J91-R86</f>
        <v>23675.308036629198</v>
      </c>
      <c r="S89" s="48"/>
      <c r="T89" s="65" t="s">
        <v>151</v>
      </c>
      <c r="U89" s="72">
        <f>O94</f>
        <v>16911.794847175363</v>
      </c>
      <c r="V89" s="48"/>
      <c r="W89" s="65" t="s">
        <v>152</v>
      </c>
      <c r="X89" s="67">
        <f>I93</f>
        <v>3305</v>
      </c>
    </row>
    <row r="90" spans="8:24" ht="15.75">
      <c r="H90" s="37" t="s">
        <v>105</v>
      </c>
      <c r="I90" s="60">
        <f>ONSV_AUX_2015!AA58</f>
        <v>2205</v>
      </c>
      <c r="J90" s="10">
        <f>I90</f>
        <v>2205</v>
      </c>
      <c r="K90" s="11"/>
      <c r="L90" s="11"/>
      <c r="M90" s="11"/>
      <c r="O90" s="73"/>
      <c r="P90" s="76"/>
      <c r="Q90" s="65" t="s">
        <v>136</v>
      </c>
      <c r="R90" s="60">
        <f>J92-R87</f>
        <v>8373.6944426662085</v>
      </c>
      <c r="S90" s="48"/>
      <c r="T90" s="48"/>
      <c r="U90" s="62"/>
      <c r="V90" s="77"/>
      <c r="W90" s="48"/>
      <c r="X90" s="62"/>
    </row>
    <row r="91" spans="8:24" ht="15.75">
      <c r="H91" s="37" t="s">
        <v>106</v>
      </c>
      <c r="I91" s="60">
        <f>ONSV_AUX_2015!AA59</f>
        <v>36108</v>
      </c>
      <c r="J91" s="61">
        <f>I91-(L84*I82)</f>
        <v>36105.785665058582</v>
      </c>
      <c r="K91" s="11"/>
      <c r="L91" s="11"/>
      <c r="M91" s="11"/>
      <c r="N91" s="28" t="s">
        <v>143</v>
      </c>
      <c r="O91" s="60">
        <f>I79</f>
        <v>18411</v>
      </c>
      <c r="P91" s="76"/>
      <c r="Q91" s="48"/>
      <c r="R91" s="48"/>
      <c r="S91" s="77"/>
      <c r="T91" s="65" t="s">
        <v>142</v>
      </c>
      <c r="U91" s="68">
        <f>R86</f>
        <v>12430.477628429386</v>
      </c>
      <c r="V91" s="48"/>
      <c r="W91" s="65" t="s">
        <v>153</v>
      </c>
      <c r="X91" s="67">
        <f>I94</f>
        <v>212983</v>
      </c>
    </row>
    <row r="92" spans="8:24" ht="15.75">
      <c r="H92" s="37" t="s">
        <v>107</v>
      </c>
      <c r="I92" s="60">
        <f>ONSV_AUX_2015!AA60</f>
        <v>12771</v>
      </c>
      <c r="J92" s="61">
        <f>I92-(L85*I82)</f>
        <v>12770.216814236821</v>
      </c>
      <c r="K92" s="11"/>
      <c r="L92" s="11"/>
      <c r="M92" s="11"/>
      <c r="N92" s="28" t="s">
        <v>146</v>
      </c>
      <c r="O92" s="60">
        <f>I83</f>
        <v>20057</v>
      </c>
      <c r="P92" s="76"/>
      <c r="Q92" s="48"/>
      <c r="R92" s="48"/>
      <c r="S92" s="48"/>
      <c r="T92" s="65" t="s">
        <v>154</v>
      </c>
      <c r="U92" s="68">
        <f>I91-J91</f>
        <v>2.2143349414182012</v>
      </c>
      <c r="V92" s="48"/>
      <c r="W92" s="65" t="s">
        <v>155</v>
      </c>
      <c r="X92" s="67">
        <f>I95</f>
        <v>36966</v>
      </c>
    </row>
    <row r="93" spans="8:24" ht="15.75">
      <c r="H93" s="37" t="s">
        <v>108</v>
      </c>
      <c r="I93" s="60">
        <f>ONSV_AUX_2015!AA61</f>
        <v>3305</v>
      </c>
      <c r="J93" s="10">
        <f>I93</f>
        <v>3305</v>
      </c>
      <c r="K93" s="11"/>
      <c r="L93" s="11"/>
      <c r="M93" s="11"/>
      <c r="N93" s="28" t="s">
        <v>139</v>
      </c>
      <c r="O93" s="60">
        <f>IF(OR((O82*I80&gt;J88),((O91+O92+(O82*I80))&gt;J88)),(J88-O91-O92),(O82*I80))</f>
        <v>234623.41951988882</v>
      </c>
      <c r="P93" s="76"/>
      <c r="Q93" s="48"/>
      <c r="R93" s="78"/>
      <c r="S93" s="48"/>
      <c r="T93" s="65" t="s">
        <v>150</v>
      </c>
      <c r="U93" s="72">
        <f>R89</f>
        <v>23675.308036629198</v>
      </c>
      <c r="V93" s="48"/>
      <c r="W93" s="48"/>
      <c r="X93" s="48"/>
    </row>
    <row r="94" spans="8:24" ht="15.75">
      <c r="H94" s="37" t="s">
        <v>109</v>
      </c>
      <c r="I94" s="60">
        <f>ONSV_AUX_2015!AA62</f>
        <v>212983</v>
      </c>
      <c r="J94" s="10">
        <f>I94</f>
        <v>212983</v>
      </c>
      <c r="K94" s="11"/>
      <c r="L94" s="11"/>
      <c r="M94" s="11"/>
      <c r="N94" s="28" t="s">
        <v>151</v>
      </c>
      <c r="O94" s="60">
        <f>IF((J88-O91-O93-O92)&lt;0,0,(J88-O91-O93-O92))</f>
        <v>16911.794847175363</v>
      </c>
      <c r="P94" s="48"/>
      <c r="Q94" s="48"/>
      <c r="R94" s="48"/>
      <c r="S94" s="48"/>
      <c r="T94" s="48"/>
      <c r="U94" s="62"/>
      <c r="V94" s="48"/>
      <c r="W94" s="48"/>
      <c r="X94" s="48"/>
    </row>
    <row r="95" spans="8:24" ht="15.75">
      <c r="H95" s="37" t="s">
        <v>110</v>
      </c>
      <c r="I95" s="60">
        <f>ONSV_AUX_2015!AA63</f>
        <v>36966</v>
      </c>
      <c r="J95" s="10">
        <f>I95</f>
        <v>36966</v>
      </c>
      <c r="K95" s="11"/>
      <c r="L95" s="11"/>
      <c r="M95" s="11"/>
      <c r="O95" s="48"/>
      <c r="P95" s="76"/>
      <c r="Q95" s="48"/>
      <c r="R95" s="48"/>
      <c r="S95" s="48"/>
      <c r="T95" s="79" t="s">
        <v>156</v>
      </c>
      <c r="U95" s="80">
        <f>(SUM(U81:U93,X81:X92)/SUM(I88:I97))-1</f>
        <v>0</v>
      </c>
      <c r="V95" s="48"/>
      <c r="W95" s="79" t="s">
        <v>10</v>
      </c>
      <c r="X95" s="67">
        <f>SUM(U81:U93,X81:X92)</f>
        <v>624679</v>
      </c>
    </row>
    <row r="96" spans="8:24" ht="15.75">
      <c r="H96" s="37" t="s">
        <v>111</v>
      </c>
      <c r="I96" s="60">
        <f>ONSV_AUX_2015!AA64</f>
        <v>6302</v>
      </c>
      <c r="J96" s="10">
        <f>I96</f>
        <v>6302</v>
      </c>
      <c r="K96" s="11"/>
      <c r="L96" s="11"/>
      <c r="M96" s="11"/>
      <c r="O96" s="48"/>
      <c r="P96" s="76"/>
      <c r="Q96" s="48"/>
      <c r="R96" s="48"/>
      <c r="S96" s="48"/>
      <c r="T96" s="48"/>
      <c r="U96" s="48"/>
      <c r="V96" s="48"/>
      <c r="W96" s="48"/>
      <c r="X96" s="48"/>
    </row>
    <row r="97" spans="1:24" ht="15.75">
      <c r="H97" s="37" t="s">
        <v>112</v>
      </c>
      <c r="I97" s="60">
        <f>ONSV_AUX_2015!AA65</f>
        <v>3536</v>
      </c>
      <c r="J97" s="61">
        <f>I97-(L86*I82)</f>
        <v>3535.7831536403883</v>
      </c>
      <c r="K97" s="12"/>
      <c r="L97" s="12"/>
      <c r="M97" s="12"/>
      <c r="N97" s="12"/>
      <c r="O97" s="12"/>
      <c r="P97" s="12"/>
      <c r="Q97" s="4"/>
      <c r="R97" s="4"/>
    </row>
    <row r="98" spans="1:24" ht="15.75">
      <c r="I98" s="40"/>
      <c r="J98" s="21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4" ht="15.75">
      <c r="I99" s="40"/>
      <c r="J99" s="21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4" s="35" customFormat="1" ht="15.75">
      <c r="A100" s="101" t="str">
        <f>"SERGIPE/"&amp;ONSV_AUX_2014!A1&amp;""</f>
        <v>SERGIPE/2014</v>
      </c>
      <c r="B100" s="102"/>
      <c r="C100" s="102"/>
      <c r="D100" s="102"/>
      <c r="E100" s="102"/>
      <c r="F100" s="102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</row>
    <row r="101" spans="1:24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>
      <c r="H102" s="23" t="s">
        <v>118</v>
      </c>
      <c r="N102" s="26"/>
      <c r="O102" s="26"/>
      <c r="P102" s="9"/>
      <c r="Q102" s="26"/>
      <c r="R102" s="26"/>
      <c r="S102" s="26"/>
      <c r="T102" s="25"/>
      <c r="U102" s="25"/>
      <c r="V102" s="25"/>
      <c r="W102" s="25"/>
      <c r="X102" s="25"/>
    </row>
    <row r="103" spans="1:24" ht="15.75">
      <c r="J103" s="9"/>
      <c r="M103" s="25"/>
      <c r="N103" s="9"/>
      <c r="O103" s="9"/>
      <c r="P103" s="9"/>
      <c r="Q103" s="11"/>
      <c r="R103" s="11"/>
      <c r="S103" s="11"/>
    </row>
    <row r="104" spans="1:24" ht="15.75">
      <c r="H104" s="36" t="s">
        <v>81</v>
      </c>
      <c r="I104" s="60">
        <f>ONSV_AUX_2014!AA27</f>
        <v>18367</v>
      </c>
      <c r="J104" s="9"/>
      <c r="K104" s="104" t="s">
        <v>119</v>
      </c>
      <c r="L104" s="104"/>
      <c r="M104" s="9"/>
      <c r="N104" s="26" t="s">
        <v>120</v>
      </c>
      <c r="O104" s="26"/>
      <c r="Q104" s="26" t="s">
        <v>121</v>
      </c>
      <c r="R104" s="26"/>
      <c r="S104" s="26"/>
      <c r="T104" s="25" t="s">
        <v>122</v>
      </c>
      <c r="U104" s="25"/>
      <c r="V104" s="25"/>
      <c r="W104" s="25"/>
      <c r="X104" s="25"/>
    </row>
    <row r="105" spans="1:24" ht="15.75">
      <c r="H105" s="36" t="s">
        <v>84</v>
      </c>
      <c r="I105" s="60">
        <f>ONSV_AUX_2014!AA28</f>
        <v>204964</v>
      </c>
      <c r="J105" s="9"/>
      <c r="K105" s="9"/>
      <c r="L105" s="9"/>
      <c r="M105" s="9"/>
      <c r="N105" s="9"/>
      <c r="O105" s="9"/>
      <c r="P105" s="20"/>
      <c r="Q105" s="11"/>
      <c r="R105" s="11"/>
      <c r="S105" s="11"/>
    </row>
    <row r="106" spans="1:24" ht="15.75">
      <c r="H106" s="36" t="s">
        <v>85</v>
      </c>
      <c r="I106" s="60">
        <f>ONSV_AUX_2014!AA29</f>
        <v>46085</v>
      </c>
      <c r="J106" s="9"/>
      <c r="K106" s="2" t="s">
        <v>123</v>
      </c>
      <c r="L106" s="60">
        <f>I113+I116+I117+I122</f>
        <v>319002</v>
      </c>
      <c r="N106" s="28" t="s">
        <v>124</v>
      </c>
      <c r="O106" s="60">
        <f>J113+J122</f>
        <v>274624.94704108435</v>
      </c>
      <c r="P106" s="64"/>
      <c r="Q106" s="65" t="s">
        <v>125</v>
      </c>
      <c r="R106" s="60">
        <f>J116+J117</f>
        <v>44363.052958915614</v>
      </c>
      <c r="S106" s="66"/>
      <c r="T106" s="65" t="s">
        <v>126</v>
      </c>
      <c r="U106" s="67">
        <f>O110</f>
        <v>2350.1262976219518</v>
      </c>
      <c r="V106" s="48"/>
      <c r="W106" s="65" t="s">
        <v>127</v>
      </c>
      <c r="X106" s="68">
        <f>R112</f>
        <v>4085.1440324580185</v>
      </c>
    </row>
    <row r="107" spans="1:24" ht="15.75">
      <c r="H107" s="36" t="s">
        <v>101</v>
      </c>
      <c r="I107" s="60">
        <f>ONSV_AUX_2014!AA30</f>
        <v>14</v>
      </c>
      <c r="J107" s="9"/>
      <c r="K107" s="27"/>
      <c r="L107" s="62"/>
      <c r="M107" s="20"/>
      <c r="N107" s="28" t="s">
        <v>128</v>
      </c>
      <c r="O107" s="69">
        <f>J113/O106</f>
        <v>0.98853395573065539</v>
      </c>
      <c r="P107" s="64"/>
      <c r="Q107" s="70" t="s">
        <v>129</v>
      </c>
      <c r="R107" s="63">
        <f>J116/R106</f>
        <v>0.73639129944776294</v>
      </c>
      <c r="S107" s="71"/>
      <c r="T107" s="65" t="s">
        <v>130</v>
      </c>
      <c r="U107" s="67">
        <f>I122-J122</f>
        <v>0.13819976050308469</v>
      </c>
      <c r="V107" s="48"/>
      <c r="W107" s="65" t="s">
        <v>131</v>
      </c>
      <c r="X107" s="68">
        <f>I117-J117</f>
        <v>0.5132569701763714</v>
      </c>
    </row>
    <row r="108" spans="1:24" ht="15.75">
      <c r="H108" s="36" t="s">
        <v>16</v>
      </c>
      <c r="I108" s="60">
        <f>ONSV_AUX_2014!AA31</f>
        <v>19590</v>
      </c>
      <c r="J108" s="9"/>
      <c r="K108" s="2" t="s">
        <v>132</v>
      </c>
      <c r="L108" s="63">
        <f>I113/L106</f>
        <v>0.85105422536535824</v>
      </c>
      <c r="M108" s="20"/>
      <c r="N108" s="28" t="s">
        <v>133</v>
      </c>
      <c r="O108" s="69">
        <f>J122/O106</f>
        <v>1.1466044269344626E-2</v>
      </c>
      <c r="P108" s="64"/>
      <c r="Q108" s="70" t="s">
        <v>134</v>
      </c>
      <c r="R108" s="63">
        <f>J117/R106</f>
        <v>0.26360870055223712</v>
      </c>
      <c r="S108" s="71"/>
      <c r="T108" s="65" t="s">
        <v>135</v>
      </c>
      <c r="U108" s="72">
        <f>O112</f>
        <v>798.73550261754508</v>
      </c>
      <c r="V108" s="73"/>
      <c r="W108" s="65" t="s">
        <v>136</v>
      </c>
      <c r="X108" s="72">
        <f>R115</f>
        <v>7609.3427105718056</v>
      </c>
    </row>
    <row r="109" spans="1:24" ht="15.75">
      <c r="H109" s="36" t="s">
        <v>94</v>
      </c>
      <c r="I109" s="60">
        <f>ONSV_AUX_2014!AA32</f>
        <v>293040</v>
      </c>
      <c r="J109" s="10"/>
      <c r="K109" s="2" t="s">
        <v>2</v>
      </c>
      <c r="L109" s="63">
        <f>I116/L106</f>
        <v>0.10241315101472719</v>
      </c>
      <c r="M109" s="20"/>
      <c r="N109" s="20"/>
      <c r="O109" s="74"/>
      <c r="P109" s="48"/>
      <c r="Q109" s="48"/>
      <c r="R109" s="48"/>
      <c r="S109" s="48"/>
      <c r="T109" s="48"/>
      <c r="U109" s="62"/>
      <c r="V109" s="75"/>
      <c r="W109" s="48"/>
      <c r="X109" s="62"/>
    </row>
    <row r="110" spans="1:24" ht="15.75">
      <c r="K110" s="2" t="s">
        <v>3</v>
      </c>
      <c r="L110" s="63">
        <f>I117/L106</f>
        <v>3.6661212155409684E-2</v>
      </c>
      <c r="M110" s="20"/>
      <c r="N110" s="28" t="s">
        <v>137</v>
      </c>
      <c r="O110" s="60">
        <f>IF(O108*I105&gt;J122,J122,O108*I105)</f>
        <v>2350.1262976219518</v>
      </c>
      <c r="P110" s="76"/>
      <c r="Q110" s="65" t="s">
        <v>138</v>
      </c>
      <c r="R110" s="60">
        <f>I106-I114-I115-I118-I121</f>
        <v>15497</v>
      </c>
      <c r="S110" s="77"/>
      <c r="T110" s="65" t="s">
        <v>139</v>
      </c>
      <c r="U110" s="67">
        <f>O118</f>
        <v>202613.87370237804</v>
      </c>
      <c r="V110" s="76"/>
      <c r="W110" s="65" t="s">
        <v>140</v>
      </c>
      <c r="X110" s="67">
        <f>I114</f>
        <v>19521</v>
      </c>
    </row>
    <row r="111" spans="1:24" ht="15.75">
      <c r="H111" s="24" t="s">
        <v>141</v>
      </c>
      <c r="K111" s="2" t="s">
        <v>0</v>
      </c>
      <c r="L111" s="63">
        <f>I122/L106</f>
        <v>9.8714114645049242E-3</v>
      </c>
      <c r="O111" s="48"/>
      <c r="P111" s="76"/>
      <c r="Q111" s="65" t="s">
        <v>142</v>
      </c>
      <c r="R111" s="60">
        <f>R107*R110</f>
        <v>11411.855967541982</v>
      </c>
      <c r="S111" s="48"/>
      <c r="T111" s="65" t="s">
        <v>143</v>
      </c>
      <c r="U111" s="67">
        <f>O116</f>
        <v>18367</v>
      </c>
      <c r="V111" s="66"/>
      <c r="W111" s="65" t="s">
        <v>144</v>
      </c>
      <c r="X111" s="67">
        <f>I115</f>
        <v>1997</v>
      </c>
    </row>
    <row r="112" spans="1:24" ht="15.75">
      <c r="K112" s="11"/>
      <c r="L112" s="11"/>
      <c r="M112" s="11"/>
      <c r="N112" s="28" t="s">
        <v>145</v>
      </c>
      <c r="O112" s="60">
        <f>J122-O110</f>
        <v>798.73550261754508</v>
      </c>
      <c r="P112" s="76"/>
      <c r="Q112" s="65" t="s">
        <v>127</v>
      </c>
      <c r="R112" s="60">
        <f>R108*R110</f>
        <v>4085.1440324580185</v>
      </c>
      <c r="S112" s="48"/>
      <c r="T112" s="65" t="s">
        <v>146</v>
      </c>
      <c r="U112" s="67">
        <f>O117</f>
        <v>19590</v>
      </c>
      <c r="V112" s="71"/>
      <c r="W112" s="48"/>
      <c r="X112" s="62"/>
    </row>
    <row r="113" spans="8:24" ht="15.75">
      <c r="H113" s="37" t="s">
        <v>103</v>
      </c>
      <c r="I113" s="60">
        <f>ONSV_AUX_2014!AA56</f>
        <v>271488</v>
      </c>
      <c r="J113" s="61">
        <f>I113-(L108*I107)</f>
        <v>271476.08524084487</v>
      </c>
      <c r="K113" s="11"/>
      <c r="L113" s="11"/>
      <c r="M113" s="11"/>
      <c r="O113" s="76"/>
      <c r="P113" s="76"/>
      <c r="Q113" s="48"/>
      <c r="R113" s="78"/>
      <c r="S113" s="48"/>
      <c r="T113" s="65" t="s">
        <v>147</v>
      </c>
      <c r="U113" s="68">
        <f>I113-J113</f>
        <v>11.914759155130014</v>
      </c>
      <c r="V113" s="71"/>
      <c r="W113" s="65" t="s">
        <v>148</v>
      </c>
      <c r="X113" s="67">
        <f>I121</f>
        <v>5931</v>
      </c>
    </row>
    <row r="114" spans="8:24" ht="15.75">
      <c r="H114" s="37" t="s">
        <v>104</v>
      </c>
      <c r="I114" s="60">
        <f>ONSV_AUX_2014!AA57</f>
        <v>19521</v>
      </c>
      <c r="J114" s="10">
        <f>I114</f>
        <v>19521</v>
      </c>
      <c r="K114" s="11"/>
      <c r="L114" s="11"/>
      <c r="M114" s="11"/>
      <c r="N114" s="26" t="s">
        <v>149</v>
      </c>
      <c r="O114" s="76"/>
      <c r="P114" s="76"/>
      <c r="Q114" s="65" t="s">
        <v>150</v>
      </c>
      <c r="R114" s="60">
        <f>J116-R111</f>
        <v>21256.71024834381</v>
      </c>
      <c r="S114" s="48"/>
      <c r="T114" s="65" t="s">
        <v>151</v>
      </c>
      <c r="U114" s="72">
        <f>O119</f>
        <v>30905.211538466829</v>
      </c>
      <c r="V114" s="48"/>
      <c r="W114" s="65" t="s">
        <v>152</v>
      </c>
      <c r="X114" s="67">
        <f>I118</f>
        <v>3139</v>
      </c>
    </row>
    <row r="115" spans="8:24" ht="15.75">
      <c r="H115" s="37" t="s">
        <v>105</v>
      </c>
      <c r="I115" s="60">
        <f>ONSV_AUX_2014!AA58</f>
        <v>1997</v>
      </c>
      <c r="J115" s="10">
        <f>I115</f>
        <v>1997</v>
      </c>
      <c r="K115" s="11"/>
      <c r="L115" s="11"/>
      <c r="M115" s="11"/>
      <c r="O115" s="73"/>
      <c r="P115" s="76"/>
      <c r="Q115" s="65" t="s">
        <v>136</v>
      </c>
      <c r="R115" s="60">
        <f>J117-R112</f>
        <v>7609.3427105718056</v>
      </c>
      <c r="S115" s="48"/>
      <c r="T115" s="48"/>
      <c r="U115" s="62"/>
      <c r="V115" s="77"/>
      <c r="W115" s="48"/>
      <c r="X115" s="62"/>
    </row>
    <row r="116" spans="8:24" ht="15.75">
      <c r="H116" s="37" t="s">
        <v>106</v>
      </c>
      <c r="I116" s="60">
        <f>ONSV_AUX_2014!AA59</f>
        <v>32670</v>
      </c>
      <c r="J116" s="61">
        <f>I116-(L109*I107)</f>
        <v>32668.566215885792</v>
      </c>
      <c r="K116" s="11"/>
      <c r="L116" s="11"/>
      <c r="M116" s="11"/>
      <c r="N116" s="28" t="s">
        <v>143</v>
      </c>
      <c r="O116" s="60">
        <f>I104</f>
        <v>18367</v>
      </c>
      <c r="P116" s="76"/>
      <c r="Q116" s="48"/>
      <c r="R116" s="48"/>
      <c r="S116" s="77"/>
      <c r="T116" s="65" t="s">
        <v>142</v>
      </c>
      <c r="U116" s="68">
        <f>R111</f>
        <v>11411.855967541982</v>
      </c>
      <c r="V116" s="48"/>
      <c r="W116" s="65" t="s">
        <v>153</v>
      </c>
      <c r="X116" s="67">
        <f>I119</f>
        <v>198163</v>
      </c>
    </row>
    <row r="117" spans="8:24" ht="15.75">
      <c r="H117" s="37" t="s">
        <v>107</v>
      </c>
      <c r="I117" s="60">
        <f>ONSV_AUX_2014!AA60</f>
        <v>11695</v>
      </c>
      <c r="J117" s="61">
        <f>I117-(L110*I107)</f>
        <v>11694.486743029824</v>
      </c>
      <c r="K117" s="11"/>
      <c r="L117" s="11"/>
      <c r="M117" s="11"/>
      <c r="N117" s="28" t="s">
        <v>146</v>
      </c>
      <c r="O117" s="60">
        <f>I108</f>
        <v>19590</v>
      </c>
      <c r="P117" s="76"/>
      <c r="Q117" s="48"/>
      <c r="R117" s="48"/>
      <c r="S117" s="48"/>
      <c r="T117" s="65" t="s">
        <v>154</v>
      </c>
      <c r="U117" s="68">
        <f>I116-J116</f>
        <v>1.4337841142078105</v>
      </c>
      <c r="V117" s="48"/>
      <c r="W117" s="65" t="s">
        <v>155</v>
      </c>
      <c r="X117" s="67">
        <f>I120</f>
        <v>34302</v>
      </c>
    </row>
    <row r="118" spans="8:24" ht="15.75">
      <c r="H118" s="37" t="s">
        <v>108</v>
      </c>
      <c r="I118" s="60">
        <f>ONSV_AUX_2014!AA61</f>
        <v>3139</v>
      </c>
      <c r="J118" s="10">
        <f>I118</f>
        <v>3139</v>
      </c>
      <c r="K118" s="11"/>
      <c r="L118" s="11"/>
      <c r="M118" s="11"/>
      <c r="N118" s="28" t="s">
        <v>139</v>
      </c>
      <c r="O118" s="60">
        <f>IF(OR((O107*I105&gt;J113),((O116+O117+(O107*I105))&gt;J113)),(J113-O116-O117),(O107*I105))</f>
        <v>202613.87370237804</v>
      </c>
      <c r="P118" s="76"/>
      <c r="Q118" s="48"/>
      <c r="R118" s="78"/>
      <c r="S118" s="48"/>
      <c r="T118" s="65" t="s">
        <v>150</v>
      </c>
      <c r="U118" s="72">
        <f>R114</f>
        <v>21256.71024834381</v>
      </c>
      <c r="V118" s="48"/>
      <c r="W118" s="48"/>
      <c r="X118" s="48"/>
    </row>
    <row r="119" spans="8:24" ht="15.75">
      <c r="H119" s="37" t="s">
        <v>109</v>
      </c>
      <c r="I119" s="60">
        <f>ONSV_AUX_2014!AA62</f>
        <v>198163</v>
      </c>
      <c r="J119" s="10">
        <f>I119</f>
        <v>198163</v>
      </c>
      <c r="K119" s="11"/>
      <c r="L119" s="11"/>
      <c r="M119" s="11"/>
      <c r="N119" s="28" t="s">
        <v>151</v>
      </c>
      <c r="O119" s="60">
        <f>IF((J113-O116-O118-O117)&lt;0,0,(J113-O116-O118-O117))</f>
        <v>30905.211538466829</v>
      </c>
      <c r="P119" s="48"/>
      <c r="Q119" s="48"/>
      <c r="R119" s="48"/>
      <c r="S119" s="48"/>
      <c r="T119" s="48"/>
      <c r="U119" s="62"/>
      <c r="V119" s="48"/>
      <c r="W119" s="48"/>
      <c r="X119" s="48"/>
    </row>
    <row r="120" spans="8:24" ht="15.75">
      <c r="H120" s="37" t="s">
        <v>110</v>
      </c>
      <c r="I120" s="60">
        <f>ONSV_AUX_2014!AA63</f>
        <v>34302</v>
      </c>
      <c r="J120" s="10">
        <f>I120</f>
        <v>34302</v>
      </c>
      <c r="K120" s="11"/>
      <c r="L120" s="11"/>
      <c r="M120" s="11"/>
      <c r="O120" s="48"/>
      <c r="P120" s="76"/>
      <c r="Q120" s="48"/>
      <c r="R120" s="48"/>
      <c r="S120" s="48"/>
      <c r="T120" s="79" t="s">
        <v>156</v>
      </c>
      <c r="U120" s="80">
        <f>(SUM(U106:U118,X106:X117)/SUM(I113:I122))-1</f>
        <v>0</v>
      </c>
      <c r="V120" s="48"/>
      <c r="W120" s="79" t="s">
        <v>10</v>
      </c>
      <c r="X120" s="67">
        <f>SUM(U106:U118,X106:X117)</f>
        <v>582055</v>
      </c>
    </row>
    <row r="121" spans="8:24" ht="15.75">
      <c r="H121" s="37" t="s">
        <v>111</v>
      </c>
      <c r="I121" s="60">
        <f>ONSV_AUX_2014!AA64</f>
        <v>5931</v>
      </c>
      <c r="J121" s="10">
        <f>I121</f>
        <v>5931</v>
      </c>
      <c r="K121" s="11"/>
      <c r="L121" s="11"/>
      <c r="M121" s="11"/>
      <c r="O121" s="48"/>
      <c r="P121" s="76"/>
      <c r="Q121" s="48"/>
      <c r="R121" s="48"/>
      <c r="S121" s="48"/>
      <c r="T121" s="48"/>
      <c r="U121" s="48"/>
      <c r="V121" s="48"/>
      <c r="W121" s="48"/>
      <c r="X121" s="48"/>
    </row>
    <row r="122" spans="8:24" ht="15.75">
      <c r="H122" s="37" t="s">
        <v>112</v>
      </c>
      <c r="I122" s="60">
        <f>ONSV_AUX_2014!AA65</f>
        <v>3149</v>
      </c>
      <c r="J122" s="61">
        <f>I122-(L111*I107)</f>
        <v>3148.8618002394969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A1:F1"/>
    <mergeCell ref="Q4:R4"/>
    <mergeCell ref="T4:X4"/>
    <mergeCell ref="K5:L5"/>
    <mergeCell ref="A25:F25"/>
    <mergeCell ref="T27:X27"/>
    <mergeCell ref="T52:X52"/>
    <mergeCell ref="K79:L79"/>
    <mergeCell ref="A100:F100"/>
    <mergeCell ref="K104:L104"/>
    <mergeCell ref="K29:L29"/>
    <mergeCell ref="A50:F50"/>
    <mergeCell ref="A75:F75"/>
    <mergeCell ref="K54:L5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9" tint="0.39997558519241921"/>
  </sheetPr>
  <dimension ref="A1:X122"/>
  <sheetViews>
    <sheetView showGridLines="0" zoomScale="90" zoomScaleNormal="90" workbookViewId="0">
      <selection activeCell="K8" sqref="K8"/>
    </sheetView>
  </sheetViews>
  <sheetFormatPr defaultRowHeight="15"/>
  <cols>
    <col min="2" max="2" width="6.42578125" customWidth="1"/>
    <col min="3" max="3" width="20.140625" bestFit="1" customWidth="1"/>
    <col min="5" max="5" width="17.28515625" customWidth="1"/>
    <col min="7" max="7" width="13.7109375" customWidth="1"/>
    <col min="8" max="8" width="22.7109375" customWidth="1"/>
    <col min="10" max="10" width="10.85546875" customWidth="1"/>
    <col min="11" max="11" width="18" customWidth="1"/>
    <col min="14" max="14" width="26.28515625" customWidth="1"/>
    <col min="15" max="15" width="10.42578125" customWidth="1"/>
    <col min="17" max="17" width="29.140625" customWidth="1"/>
    <col min="18" max="18" width="11.28515625" customWidth="1"/>
    <col min="19" max="19" width="13.28515625" customWidth="1"/>
    <col min="20" max="20" width="24.5703125" customWidth="1"/>
    <col min="21" max="21" width="10.85546875" customWidth="1"/>
    <col min="22" max="22" width="2.7109375" customWidth="1"/>
    <col min="23" max="23" width="25.7109375" customWidth="1"/>
    <col min="24" max="24" width="9.5703125" customWidth="1"/>
    <col min="25" max="25" width="16" bestFit="1" customWidth="1"/>
    <col min="26" max="26" width="13" customWidth="1"/>
    <col min="27" max="28" width="10" bestFit="1" customWidth="1"/>
    <col min="30" max="30" width="10" bestFit="1" customWidth="1"/>
  </cols>
  <sheetData>
    <row r="1" spans="1:24" s="31" customFormat="1" ht="15.75">
      <c r="A1" s="101" t="str">
        <f>"TOCANTINS/"&amp;ONSV_AUX_2018!A1&amp;""</f>
        <v>TOCANTINS/2018</v>
      </c>
      <c r="B1" s="102"/>
      <c r="C1" s="102"/>
      <c r="D1" s="102"/>
      <c r="E1" s="102"/>
      <c r="F1" s="102"/>
    </row>
    <row r="2" spans="1:24" s="4" customFormat="1" ht="15.75">
      <c r="A2" s="32"/>
      <c r="B2" s="32"/>
      <c r="C2" s="32"/>
      <c r="D2" s="32"/>
      <c r="E2" s="32"/>
      <c r="F2" s="32"/>
    </row>
    <row r="3" spans="1:24" ht="15.75">
      <c r="A3" s="12"/>
      <c r="H3" s="23" t="s">
        <v>118</v>
      </c>
    </row>
    <row r="4" spans="1:24" ht="15.75">
      <c r="B4" s="5"/>
      <c r="J4" s="9"/>
      <c r="M4" s="25"/>
      <c r="N4" s="25"/>
      <c r="O4" s="25"/>
      <c r="P4" s="25"/>
      <c r="Q4" s="103"/>
      <c r="R4" s="103"/>
      <c r="S4" s="22"/>
      <c r="T4" s="104"/>
      <c r="U4" s="104"/>
      <c r="V4" s="104"/>
      <c r="W4" s="104"/>
      <c r="X4" s="104"/>
    </row>
    <row r="5" spans="1:24" ht="15.75">
      <c r="H5" s="36" t="s">
        <v>81</v>
      </c>
      <c r="I5" s="60">
        <f>ONSV_AUX_2018!AB27</f>
        <v>10915</v>
      </c>
      <c r="J5" s="9"/>
      <c r="K5" s="104" t="s">
        <v>119</v>
      </c>
      <c r="L5" s="104"/>
      <c r="M5" s="9"/>
      <c r="N5" s="26" t="s">
        <v>120</v>
      </c>
      <c r="O5" s="26"/>
      <c r="Q5" s="26" t="s">
        <v>121</v>
      </c>
      <c r="R5" s="26"/>
      <c r="S5" s="26"/>
      <c r="T5" s="25" t="s">
        <v>122</v>
      </c>
      <c r="U5" s="25"/>
      <c r="V5" s="25"/>
      <c r="W5" s="25"/>
      <c r="X5" s="25"/>
    </row>
    <row r="6" spans="1:24" ht="15.75">
      <c r="H6" s="36" t="s">
        <v>84</v>
      </c>
      <c r="I6" s="60">
        <f>ONSV_AUX_2018!AB28</f>
        <v>248046</v>
      </c>
      <c r="J6" s="9"/>
      <c r="K6" s="9"/>
      <c r="L6" s="9"/>
      <c r="M6" s="9"/>
      <c r="N6" s="9"/>
      <c r="O6" s="9"/>
      <c r="P6" s="20"/>
      <c r="Q6" s="11"/>
      <c r="R6" s="11"/>
      <c r="S6" s="11"/>
    </row>
    <row r="7" spans="1:24" ht="15.75">
      <c r="H7" s="36" t="s">
        <v>85</v>
      </c>
      <c r="I7" s="60">
        <f>ONSV_AUX_2018!AB29</f>
        <v>69636</v>
      </c>
      <c r="J7" s="9"/>
      <c r="K7" s="2" t="s">
        <v>123</v>
      </c>
      <c r="L7" s="60">
        <f>I14+I17+I18+I23</f>
        <v>285818</v>
      </c>
      <c r="N7" s="28" t="s">
        <v>124</v>
      </c>
      <c r="O7" s="60">
        <f>J14+J23</f>
        <v>211449.40368346291</v>
      </c>
      <c r="P7" s="64"/>
      <c r="Q7" s="65" t="s">
        <v>125</v>
      </c>
      <c r="R7" s="60">
        <f>J17+J18</f>
        <v>74328.596316537092</v>
      </c>
      <c r="S7" s="66"/>
      <c r="T7" s="65" t="s">
        <v>126</v>
      </c>
      <c r="U7" s="67">
        <f>O11</f>
        <v>3559.5017808535504</v>
      </c>
      <c r="V7" s="48"/>
      <c r="W7" s="65" t="s">
        <v>127</v>
      </c>
      <c r="X7" s="68">
        <f>R13</f>
        <v>5055.4277028208608</v>
      </c>
    </row>
    <row r="8" spans="1:24" ht="15.75">
      <c r="H8" s="36" t="s">
        <v>101</v>
      </c>
      <c r="I8" s="60">
        <f>ONSV_AUX_2018!AB30</f>
        <v>40</v>
      </c>
      <c r="J8" s="9"/>
      <c r="K8" s="27"/>
      <c r="L8" s="62"/>
      <c r="M8" s="20"/>
      <c r="N8" s="28" t="s">
        <v>128</v>
      </c>
      <c r="O8" s="69">
        <f>J14/O7</f>
        <v>0.98316617725637057</v>
      </c>
      <c r="P8" s="64"/>
      <c r="Q8" s="70" t="s">
        <v>129</v>
      </c>
      <c r="R8" s="63">
        <f>J17/R7</f>
        <v>0.85687189765802607</v>
      </c>
      <c r="S8" s="71"/>
      <c r="T8" s="65" t="s">
        <v>130</v>
      </c>
      <c r="U8" s="67">
        <f>I23-J23</f>
        <v>0.49821914644962817</v>
      </c>
      <c r="V8" s="48"/>
      <c r="W8" s="65" t="s">
        <v>131</v>
      </c>
      <c r="X8" s="68">
        <f>I18-J18</f>
        <v>1.4890594714124745</v>
      </c>
    </row>
    <row r="9" spans="1:24" ht="15.75">
      <c r="H9" s="36" t="s">
        <v>16</v>
      </c>
      <c r="I9" s="60">
        <f>ONSV_AUX_2018!AB31</f>
        <v>260</v>
      </c>
      <c r="J9" s="9"/>
      <c r="K9" s="2" t="s">
        <v>132</v>
      </c>
      <c r="L9" s="63">
        <f>I14/L7</f>
        <v>0.72745243476617982</v>
      </c>
      <c r="M9" s="20"/>
      <c r="N9" s="28" t="s">
        <v>133</v>
      </c>
      <c r="O9" s="69">
        <f>J23/O7</f>
        <v>1.6833822743629392E-2</v>
      </c>
      <c r="P9" s="64"/>
      <c r="Q9" s="70" t="s">
        <v>134</v>
      </c>
      <c r="R9" s="63">
        <f>J18/R7</f>
        <v>0.14312810234197393</v>
      </c>
      <c r="S9" s="71"/>
      <c r="T9" s="65" t="s">
        <v>135</v>
      </c>
      <c r="U9" s="72">
        <f>O13</f>
        <v>0</v>
      </c>
      <c r="V9" s="73"/>
      <c r="W9" s="65" t="s">
        <v>136</v>
      </c>
      <c r="X9" s="72">
        <f>R16</f>
        <v>5583.0832377077268</v>
      </c>
    </row>
    <row r="10" spans="1:24" ht="15.75">
      <c r="H10" s="36" t="s">
        <v>94</v>
      </c>
      <c r="I10" s="60">
        <f>ONSV_AUX_2018!AB32</f>
        <v>315136</v>
      </c>
      <c r="J10" s="10"/>
      <c r="K10" s="2" t="s">
        <v>2</v>
      </c>
      <c r="L10" s="63">
        <f>I17/L7</f>
        <v>0.22286559978727721</v>
      </c>
      <c r="M10" s="20"/>
      <c r="N10" s="20"/>
      <c r="O10" s="74"/>
      <c r="P10" s="48"/>
      <c r="Q10" s="48"/>
      <c r="R10" s="48"/>
      <c r="S10" s="48"/>
      <c r="T10" s="48"/>
      <c r="U10" s="62"/>
      <c r="V10" s="75"/>
      <c r="W10" s="48"/>
      <c r="X10" s="62"/>
    </row>
    <row r="11" spans="1:24" ht="15.75">
      <c r="K11" s="2" t="s">
        <v>3</v>
      </c>
      <c r="L11" s="63">
        <f>I18/L7</f>
        <v>3.7226486785296935E-2</v>
      </c>
      <c r="M11" s="20"/>
      <c r="N11" s="28" t="s">
        <v>137</v>
      </c>
      <c r="O11" s="60">
        <f>IF(O9*I6&gt;J23,J23,O9*I6)</f>
        <v>3559.5017808535504</v>
      </c>
      <c r="P11" s="76"/>
      <c r="Q11" s="65" t="s">
        <v>138</v>
      </c>
      <c r="R11" s="60">
        <f>I7-I15-I16-I19-I22</f>
        <v>35321</v>
      </c>
      <c r="S11" s="77"/>
      <c r="T11" s="65" t="s">
        <v>139</v>
      </c>
      <c r="U11" s="67">
        <f>O19</f>
        <v>196714.90190260936</v>
      </c>
      <c r="V11" s="76"/>
      <c r="W11" s="65" t="s">
        <v>140</v>
      </c>
      <c r="X11" s="67">
        <f>I15</f>
        <v>22320</v>
      </c>
    </row>
    <row r="12" spans="1:24" ht="15.75">
      <c r="H12" s="24" t="s">
        <v>141</v>
      </c>
      <c r="K12" s="2" t="s">
        <v>0</v>
      </c>
      <c r="L12" s="63">
        <f>I23/L7</f>
        <v>1.2455478661245968E-2</v>
      </c>
      <c r="O12" s="48"/>
      <c r="P12" s="76"/>
      <c r="Q12" s="65" t="s">
        <v>142</v>
      </c>
      <c r="R12" s="60">
        <f>R8*R11</f>
        <v>30265.57229717914</v>
      </c>
      <c r="S12" s="48"/>
      <c r="T12" s="65" t="s">
        <v>143</v>
      </c>
      <c r="U12" s="67">
        <f>O17</f>
        <v>10915</v>
      </c>
      <c r="V12" s="66"/>
      <c r="W12" s="65" t="s">
        <v>144</v>
      </c>
      <c r="X12" s="67">
        <f>I16</f>
        <v>4960</v>
      </c>
    </row>
    <row r="13" spans="1:24" ht="15.75">
      <c r="K13" s="11"/>
      <c r="L13" s="11"/>
      <c r="M13" s="11"/>
      <c r="N13" s="28" t="s">
        <v>145</v>
      </c>
      <c r="O13" s="60">
        <f>J23-O11</f>
        <v>0</v>
      </c>
      <c r="P13" s="76"/>
      <c r="Q13" s="65" t="s">
        <v>127</v>
      </c>
      <c r="R13" s="60">
        <f>R9*R11</f>
        <v>5055.4277028208608</v>
      </c>
      <c r="S13" s="48"/>
      <c r="T13" s="65" t="s">
        <v>146</v>
      </c>
      <c r="U13" s="67">
        <f>O18</f>
        <v>260</v>
      </c>
      <c r="V13" s="71"/>
      <c r="W13" s="48"/>
      <c r="X13" s="62"/>
    </row>
    <row r="14" spans="1:24" ht="15.75">
      <c r="H14" s="37" t="s">
        <v>103</v>
      </c>
      <c r="I14" s="60">
        <f>ONSV_AUX_2018!AB56</f>
        <v>207919</v>
      </c>
      <c r="J14" s="61">
        <f>I14-(L9*I8)</f>
        <v>207889.90190260936</v>
      </c>
      <c r="K14" s="11"/>
      <c r="L14" s="11"/>
      <c r="M14" s="11"/>
      <c r="O14" s="76"/>
      <c r="P14" s="76"/>
      <c r="Q14" s="48"/>
      <c r="R14" s="78"/>
      <c r="S14" s="48"/>
      <c r="T14" s="65" t="s">
        <v>147</v>
      </c>
      <c r="U14" s="68">
        <f>I14-J14</f>
        <v>29.09809739064076</v>
      </c>
      <c r="V14" s="71"/>
      <c r="W14" s="65" t="s">
        <v>148</v>
      </c>
      <c r="X14" s="67">
        <f>I22</f>
        <v>5432</v>
      </c>
    </row>
    <row r="15" spans="1:24" ht="15.75">
      <c r="H15" s="37" t="s">
        <v>104</v>
      </c>
      <c r="I15" s="60">
        <f>ONSV_AUX_2018!AB57</f>
        <v>22320</v>
      </c>
      <c r="J15" s="10">
        <f>I15</f>
        <v>22320</v>
      </c>
      <c r="K15" s="11"/>
      <c r="L15" s="11"/>
      <c r="M15" s="11"/>
      <c r="N15" s="26" t="s">
        <v>149</v>
      </c>
      <c r="O15" s="76"/>
      <c r="P15" s="76"/>
      <c r="Q15" s="65" t="s">
        <v>150</v>
      </c>
      <c r="R15" s="60">
        <f>J17-R12</f>
        <v>33424.513078829368</v>
      </c>
      <c r="S15" s="48"/>
      <c r="T15" s="65" t="s">
        <v>151</v>
      </c>
      <c r="U15" s="72">
        <f>O20</f>
        <v>0</v>
      </c>
      <c r="V15" s="48"/>
      <c r="W15" s="65" t="s">
        <v>152</v>
      </c>
      <c r="X15" s="67">
        <f>I19</f>
        <v>1603</v>
      </c>
    </row>
    <row r="16" spans="1:24" ht="15.75">
      <c r="H16" s="37" t="s">
        <v>105</v>
      </c>
      <c r="I16" s="60">
        <f>ONSV_AUX_2018!AB58</f>
        <v>4960</v>
      </c>
      <c r="J16" s="10">
        <f>I16</f>
        <v>4960</v>
      </c>
      <c r="K16" s="11"/>
      <c r="L16" s="11"/>
      <c r="M16" s="11"/>
      <c r="O16" s="73"/>
      <c r="P16" s="76"/>
      <c r="Q16" s="65" t="s">
        <v>136</v>
      </c>
      <c r="R16" s="60">
        <f>J18-R13</f>
        <v>5583.0832377077268</v>
      </c>
      <c r="S16" s="48"/>
      <c r="T16" s="48"/>
      <c r="U16" s="62"/>
      <c r="V16" s="77"/>
      <c r="W16" s="48"/>
      <c r="X16" s="62"/>
    </row>
    <row r="17" spans="1:24" ht="15.75">
      <c r="H17" s="37" t="s">
        <v>106</v>
      </c>
      <c r="I17" s="60">
        <f>ONSV_AUX_2018!AB59</f>
        <v>63699</v>
      </c>
      <c r="J17" s="61">
        <f>I17-(L10*I8)</f>
        <v>63690.085376008508</v>
      </c>
      <c r="K17" s="11"/>
      <c r="L17" s="11"/>
      <c r="M17" s="11"/>
      <c r="N17" s="28" t="s">
        <v>143</v>
      </c>
      <c r="O17" s="60">
        <f>I5</f>
        <v>10915</v>
      </c>
      <c r="P17" s="76"/>
      <c r="Q17" s="48"/>
      <c r="R17" s="48"/>
      <c r="S17" s="77"/>
      <c r="T17" s="65" t="s">
        <v>142</v>
      </c>
      <c r="U17" s="68">
        <f>R12</f>
        <v>30265.57229717914</v>
      </c>
      <c r="V17" s="48"/>
      <c r="W17" s="65" t="s">
        <v>153</v>
      </c>
      <c r="X17" s="67">
        <f>I20</f>
        <v>229537</v>
      </c>
    </row>
    <row r="18" spans="1:24" ht="15.75">
      <c r="H18" s="37" t="s">
        <v>107</v>
      </c>
      <c r="I18" s="60">
        <f>ONSV_AUX_2018!AB60</f>
        <v>10640</v>
      </c>
      <c r="J18" s="61">
        <f>I18-(L11*I8)</f>
        <v>10638.510940528588</v>
      </c>
      <c r="K18" s="11"/>
      <c r="L18" s="11"/>
      <c r="M18" s="11"/>
      <c r="N18" s="28" t="s">
        <v>146</v>
      </c>
      <c r="O18" s="60">
        <f>I9</f>
        <v>260</v>
      </c>
      <c r="P18" s="76"/>
      <c r="Q18" s="48"/>
      <c r="R18" s="48"/>
      <c r="S18" s="48"/>
      <c r="T18" s="65" t="s">
        <v>154</v>
      </c>
      <c r="U18" s="68">
        <f>I17-J17</f>
        <v>8.9146239914916805</v>
      </c>
      <c r="V18" s="48"/>
      <c r="W18" s="65" t="s">
        <v>155</v>
      </c>
      <c r="X18" s="67">
        <f>I21</f>
        <v>93699</v>
      </c>
    </row>
    <row r="19" spans="1:24" ht="15.75">
      <c r="H19" s="37" t="s">
        <v>108</v>
      </c>
      <c r="I19" s="60">
        <f>ONSV_AUX_2018!AB61</f>
        <v>1603</v>
      </c>
      <c r="J19" s="10">
        <f>I19</f>
        <v>1603</v>
      </c>
      <c r="K19" s="11"/>
      <c r="L19" s="11"/>
      <c r="M19" s="11"/>
      <c r="N19" s="28" t="s">
        <v>139</v>
      </c>
      <c r="O19" s="60">
        <f>IF(OR((O8*I6&gt;J14),((O17+O18+(O8*I6))&gt;J14)),(J14-O17-O18),(O8*I6))</f>
        <v>196714.90190260936</v>
      </c>
      <c r="P19" s="76"/>
      <c r="Q19" s="48"/>
      <c r="R19" s="78"/>
      <c r="S19" s="48"/>
      <c r="T19" s="65" t="s">
        <v>150</v>
      </c>
      <c r="U19" s="72">
        <f>R15</f>
        <v>33424.513078829368</v>
      </c>
      <c r="V19" s="48"/>
      <c r="W19" s="48"/>
      <c r="X19" s="48"/>
    </row>
    <row r="20" spans="1:24" ht="15.75">
      <c r="H20" s="37" t="s">
        <v>109</v>
      </c>
      <c r="I20" s="60">
        <f>ONSV_AUX_2018!AB62</f>
        <v>229537</v>
      </c>
      <c r="J20" s="10">
        <f t="shared" ref="J20:J22" si="0">I20</f>
        <v>229537</v>
      </c>
      <c r="K20" s="11"/>
      <c r="L20" s="11"/>
      <c r="M20" s="11"/>
      <c r="N20" s="28" t="s">
        <v>151</v>
      </c>
      <c r="O20" s="60">
        <f>IF((J14-O17-O19-O18)&lt;0,0,(J14-O17-O19-O18))</f>
        <v>0</v>
      </c>
      <c r="P20" s="48"/>
      <c r="Q20" s="48"/>
      <c r="R20" s="48"/>
      <c r="S20" s="48"/>
      <c r="T20" s="48"/>
      <c r="U20" s="62"/>
      <c r="V20" s="48"/>
      <c r="W20" s="48"/>
      <c r="X20" s="48"/>
    </row>
    <row r="21" spans="1:24" ht="15.75">
      <c r="H21" s="37" t="s">
        <v>110</v>
      </c>
      <c r="I21" s="60">
        <f>ONSV_AUX_2018!AB63</f>
        <v>93699</v>
      </c>
      <c r="J21" s="10">
        <f t="shared" si="0"/>
        <v>93699</v>
      </c>
      <c r="K21" s="11"/>
      <c r="L21" s="11"/>
      <c r="M21" s="11"/>
      <c r="O21" s="48"/>
      <c r="P21" s="76"/>
      <c r="Q21" s="48"/>
      <c r="R21" s="48"/>
      <c r="S21" s="48"/>
      <c r="T21" s="79" t="s">
        <v>156</v>
      </c>
      <c r="U21" s="80">
        <f>(SUM(U7:U19,X7:X18)/SUM(I14:I23))-1</f>
        <v>0</v>
      </c>
      <c r="V21" s="48"/>
      <c r="W21" s="79" t="s">
        <v>10</v>
      </c>
      <c r="X21" s="67">
        <f>SUM(U7:U19,X7:X18)</f>
        <v>643369</v>
      </c>
    </row>
    <row r="22" spans="1:24" ht="15.75">
      <c r="H22" s="37" t="s">
        <v>111</v>
      </c>
      <c r="I22" s="60">
        <f>ONSV_AUX_2018!AB64</f>
        <v>5432</v>
      </c>
      <c r="J22" s="10">
        <f t="shared" si="0"/>
        <v>5432</v>
      </c>
      <c r="K22" s="11"/>
      <c r="L22" s="11"/>
      <c r="M22" s="11"/>
      <c r="O22" s="48"/>
      <c r="P22" s="76"/>
      <c r="Q22" s="48"/>
      <c r="R22" s="48"/>
      <c r="S22" s="48"/>
      <c r="T22" s="48"/>
      <c r="U22" s="48"/>
      <c r="V22" s="48"/>
      <c r="W22" s="48"/>
      <c r="X22" s="48"/>
    </row>
    <row r="23" spans="1:24" ht="15.75">
      <c r="H23" s="37" t="s">
        <v>112</v>
      </c>
      <c r="I23" s="60">
        <f>ONSV_AUX_2018!AB65</f>
        <v>3560</v>
      </c>
      <c r="J23" s="61">
        <f>I23-(L12*I8)</f>
        <v>3559.5017808535504</v>
      </c>
      <c r="K23" s="12"/>
      <c r="L23" s="12"/>
      <c r="M23" s="12"/>
      <c r="N23" s="12"/>
      <c r="O23" s="12"/>
      <c r="P23" s="12"/>
      <c r="Q23" s="4"/>
      <c r="R23" s="4"/>
    </row>
    <row r="25" spans="1:24" s="34" customFormat="1" ht="15.75">
      <c r="A25" s="101" t="str">
        <f>"TOCANTINS/"&amp;ONSV_AUX_2017!A1&amp;""</f>
        <v>TOCANTINS/2017</v>
      </c>
      <c r="B25" s="102"/>
      <c r="C25" s="102"/>
      <c r="D25" s="102"/>
      <c r="E25" s="102"/>
      <c r="F25" s="102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 spans="1:24" ht="15.75">
      <c r="A26" s="3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>
      <c r="A27" s="12"/>
      <c r="H27" s="23" t="s">
        <v>118</v>
      </c>
      <c r="N27" s="26"/>
      <c r="O27" s="26"/>
      <c r="P27" s="9"/>
      <c r="Q27" s="26"/>
      <c r="R27" s="26"/>
      <c r="S27" s="26"/>
      <c r="T27" s="104"/>
      <c r="U27" s="104"/>
      <c r="V27" s="104"/>
      <c r="W27" s="104"/>
      <c r="X27" s="104"/>
    </row>
    <row r="28" spans="1:24" ht="15.75">
      <c r="B28" s="5"/>
      <c r="J28" s="9"/>
      <c r="M28" s="25"/>
    </row>
    <row r="29" spans="1:24" ht="15.75">
      <c r="H29" s="36" t="s">
        <v>81</v>
      </c>
      <c r="I29" s="60">
        <f>ONSV_AUX_2017!AB27</f>
        <v>10888</v>
      </c>
      <c r="J29" s="9"/>
      <c r="K29" s="104" t="s">
        <v>119</v>
      </c>
      <c r="L29" s="104"/>
      <c r="M29" s="9"/>
      <c r="N29" s="26" t="s">
        <v>120</v>
      </c>
      <c r="O29" s="26"/>
      <c r="Q29" s="26" t="s">
        <v>121</v>
      </c>
      <c r="R29" s="26"/>
      <c r="S29" s="26"/>
      <c r="T29" s="25" t="s">
        <v>122</v>
      </c>
      <c r="U29" s="25"/>
      <c r="V29" s="25"/>
      <c r="W29" s="25"/>
      <c r="X29" s="25"/>
    </row>
    <row r="30" spans="1:24" ht="15.75">
      <c r="H30" s="36" t="s">
        <v>84</v>
      </c>
      <c r="I30" s="60">
        <f>ONSV_AUX_2017!AB28</f>
        <v>231247</v>
      </c>
      <c r="J30" s="9"/>
      <c r="K30" s="9"/>
      <c r="L30" s="9"/>
      <c r="M30" s="9"/>
      <c r="N30" s="9"/>
      <c r="O30" s="9"/>
      <c r="P30" s="20"/>
      <c r="Q30" s="11"/>
      <c r="R30" s="11"/>
      <c r="S30" s="11"/>
    </row>
    <row r="31" spans="1:24" ht="15.75">
      <c r="H31" s="36" t="s">
        <v>85</v>
      </c>
      <c r="I31" s="60">
        <f>ONSV_AUX_2017!AB29</f>
        <v>66975</v>
      </c>
      <c r="J31" s="9"/>
      <c r="K31" s="2" t="s">
        <v>123</v>
      </c>
      <c r="L31" s="60">
        <f>I38+I41+I42+I47</f>
        <v>272399</v>
      </c>
      <c r="N31" s="28" t="s">
        <v>124</v>
      </c>
      <c r="O31" s="60">
        <f>J38+J47</f>
        <v>201606.53438522166</v>
      </c>
      <c r="P31" s="64"/>
      <c r="Q31" s="65" t="s">
        <v>125</v>
      </c>
      <c r="R31" s="60">
        <f>J41+J42</f>
        <v>70763.465614778324</v>
      </c>
      <c r="S31" s="66"/>
      <c r="T31" s="65" t="s">
        <v>126</v>
      </c>
      <c r="U31" s="67">
        <f>O35</f>
        <v>3198.6594297335891</v>
      </c>
      <c r="V31" s="48"/>
      <c r="W31" s="65" t="s">
        <v>127</v>
      </c>
      <c r="X31" s="68">
        <f>R37</f>
        <v>4760.4183351937936</v>
      </c>
    </row>
    <row r="32" spans="1:24" ht="15.75">
      <c r="H32" s="36" t="s">
        <v>101</v>
      </c>
      <c r="I32" s="60">
        <f>ONSV_AUX_2017!AB30</f>
        <v>29</v>
      </c>
      <c r="J32" s="9"/>
      <c r="K32" s="27"/>
      <c r="L32" s="62"/>
      <c r="M32" s="20"/>
      <c r="N32" s="28" t="s">
        <v>128</v>
      </c>
      <c r="O32" s="69">
        <f>J38/O31</f>
        <v>0.98413414803499522</v>
      </c>
      <c r="P32" s="64"/>
      <c r="Q32" s="70" t="s">
        <v>129</v>
      </c>
      <c r="R32" s="63">
        <f>J41/R31</f>
        <v>0.85652315213858787</v>
      </c>
      <c r="S32" s="71"/>
      <c r="T32" s="65" t="s">
        <v>130</v>
      </c>
      <c r="U32" s="67">
        <f>I47-J47</f>
        <v>0.34057026641085031</v>
      </c>
      <c r="V32" s="48"/>
      <c r="W32" s="65" t="s">
        <v>131</v>
      </c>
      <c r="X32" s="68">
        <f>I42-J42</f>
        <v>1.0810098421807197</v>
      </c>
    </row>
    <row r="33" spans="8:24" ht="15.75">
      <c r="H33" s="36" t="s">
        <v>16</v>
      </c>
      <c r="I33" s="60">
        <f>ONSV_AUX_2017!AB31</f>
        <v>250</v>
      </c>
      <c r="J33" s="9"/>
      <c r="K33" s="2" t="s">
        <v>132</v>
      </c>
      <c r="L33" s="63">
        <f>I38/L31</f>
        <v>0.72844981075554605</v>
      </c>
      <c r="M33" s="20"/>
      <c r="N33" s="28" t="s">
        <v>133</v>
      </c>
      <c r="O33" s="69">
        <f>J47/O31</f>
        <v>1.5865851965004861E-2</v>
      </c>
      <c r="P33" s="64"/>
      <c r="Q33" s="70" t="s">
        <v>134</v>
      </c>
      <c r="R33" s="63">
        <f>J42/R31</f>
        <v>0.14347684786141215</v>
      </c>
      <c r="S33" s="71"/>
      <c r="T33" s="65" t="s">
        <v>135</v>
      </c>
      <c r="U33" s="72">
        <f>O37</f>
        <v>0</v>
      </c>
      <c r="V33" s="73"/>
      <c r="W33" s="65" t="s">
        <v>136</v>
      </c>
      <c r="X33" s="72">
        <f>R40</f>
        <v>5392.5006549640257</v>
      </c>
    </row>
    <row r="34" spans="8:24" ht="15.75">
      <c r="H34" s="36" t="s">
        <v>94</v>
      </c>
      <c r="I34" s="60">
        <f>ONSV_AUX_2017!AB32</f>
        <v>310864</v>
      </c>
      <c r="J34" s="10"/>
      <c r="K34" s="2" t="s">
        <v>2</v>
      </c>
      <c r="L34" s="63">
        <f>I41/L31</f>
        <v>0.22253018549994677</v>
      </c>
      <c r="M34" s="20"/>
      <c r="N34" s="20"/>
      <c r="O34" s="74"/>
      <c r="P34" s="48"/>
      <c r="Q34" s="48"/>
      <c r="R34" s="48"/>
      <c r="S34" s="48"/>
      <c r="T34" s="48"/>
      <c r="U34" s="62"/>
      <c r="V34" s="75"/>
      <c r="W34" s="48"/>
      <c r="X34" s="62"/>
    </row>
    <row r="35" spans="8:24" ht="15.75">
      <c r="K35" s="2" t="s">
        <v>3</v>
      </c>
      <c r="L35" s="63">
        <f>I42/L31</f>
        <v>3.7276201454484049E-2</v>
      </c>
      <c r="M35" s="20"/>
      <c r="N35" s="28" t="s">
        <v>137</v>
      </c>
      <c r="O35" s="60">
        <f>IF(O33*I30&gt;J47,J47,O33*I30)</f>
        <v>3198.6594297335891</v>
      </c>
      <c r="P35" s="76"/>
      <c r="Q35" s="65" t="s">
        <v>138</v>
      </c>
      <c r="R35" s="60">
        <f>I31-I39-I40-I43-I46</f>
        <v>33179</v>
      </c>
      <c r="S35" s="77"/>
      <c r="T35" s="65" t="s">
        <v>139</v>
      </c>
      <c r="U35" s="67">
        <f>O43</f>
        <v>187269.87495548808</v>
      </c>
      <c r="V35" s="76"/>
      <c r="W35" s="65" t="s">
        <v>140</v>
      </c>
      <c r="X35" s="67">
        <f>I39</f>
        <v>22245</v>
      </c>
    </row>
    <row r="36" spans="8:24" ht="15.75">
      <c r="H36" s="24" t="s">
        <v>141</v>
      </c>
      <c r="K36" s="2" t="s">
        <v>0</v>
      </c>
      <c r="L36" s="63">
        <f>I47/L31</f>
        <v>1.1743802290023092E-2</v>
      </c>
      <c r="O36" s="48"/>
      <c r="P36" s="76"/>
      <c r="Q36" s="65" t="s">
        <v>142</v>
      </c>
      <c r="R36" s="60">
        <f>R32*R35</f>
        <v>28418.581664806206</v>
      </c>
      <c r="S36" s="48"/>
      <c r="T36" s="65" t="s">
        <v>143</v>
      </c>
      <c r="U36" s="67">
        <f>O41</f>
        <v>10888</v>
      </c>
      <c r="V36" s="66"/>
      <c r="W36" s="65" t="s">
        <v>144</v>
      </c>
      <c r="X36" s="67">
        <f>I40</f>
        <v>4643</v>
      </c>
    </row>
    <row r="37" spans="8:24" ht="15.75">
      <c r="K37" s="11"/>
      <c r="L37" s="11"/>
      <c r="M37" s="11"/>
      <c r="N37" s="28" t="s">
        <v>145</v>
      </c>
      <c r="O37" s="60">
        <f>J47-O35</f>
        <v>0</v>
      </c>
      <c r="P37" s="76"/>
      <c r="Q37" s="65" t="s">
        <v>127</v>
      </c>
      <c r="R37" s="60">
        <f>R33*R35</f>
        <v>4760.4183351937936</v>
      </c>
      <c r="S37" s="48"/>
      <c r="T37" s="65" t="s">
        <v>146</v>
      </c>
      <c r="U37" s="67">
        <f>O42</f>
        <v>250</v>
      </c>
      <c r="V37" s="71"/>
      <c r="W37" s="48"/>
      <c r="X37" s="62"/>
    </row>
    <row r="38" spans="8:24" ht="15.75">
      <c r="H38" s="37" t="s">
        <v>103</v>
      </c>
      <c r="I38" s="60">
        <f>ONSV_AUX_2017!AB56</f>
        <v>198429</v>
      </c>
      <c r="J38" s="61">
        <f>I38-(L33*I32)</f>
        <v>198407.87495548808</v>
      </c>
      <c r="K38" s="11"/>
      <c r="L38" s="11"/>
      <c r="M38" s="11"/>
      <c r="O38" s="76"/>
      <c r="P38" s="76"/>
      <c r="Q38" s="48"/>
      <c r="R38" s="78"/>
      <c r="S38" s="48"/>
      <c r="T38" s="65" t="s">
        <v>147</v>
      </c>
      <c r="U38" s="68">
        <f>I38-J38</f>
        <v>21.125044511922169</v>
      </c>
      <c r="V38" s="71"/>
      <c r="W38" s="65" t="s">
        <v>148</v>
      </c>
      <c r="X38" s="67">
        <f>I46</f>
        <v>5292</v>
      </c>
    </row>
    <row r="39" spans="8:24" ht="15.75">
      <c r="H39" s="37" t="s">
        <v>104</v>
      </c>
      <c r="I39" s="60">
        <f>ONSV_AUX_2017!AB57</f>
        <v>22245</v>
      </c>
      <c r="J39" s="10">
        <f>I39</f>
        <v>22245</v>
      </c>
      <c r="K39" s="11"/>
      <c r="L39" s="11"/>
      <c r="M39" s="11"/>
      <c r="N39" s="26" t="s">
        <v>149</v>
      </c>
      <c r="O39" s="76"/>
      <c r="P39" s="76"/>
      <c r="Q39" s="65" t="s">
        <v>150</v>
      </c>
      <c r="R39" s="60">
        <f>J41-R36</f>
        <v>32191.964959814297</v>
      </c>
      <c r="S39" s="48"/>
      <c r="T39" s="65" t="s">
        <v>151</v>
      </c>
      <c r="U39" s="72">
        <f>O44</f>
        <v>0</v>
      </c>
      <c r="V39" s="48"/>
      <c r="W39" s="65" t="s">
        <v>152</v>
      </c>
      <c r="X39" s="67">
        <f>I43</f>
        <v>1616</v>
      </c>
    </row>
    <row r="40" spans="8:24" ht="15.75">
      <c r="H40" s="37" t="s">
        <v>105</v>
      </c>
      <c r="I40" s="60">
        <f>ONSV_AUX_2017!AB58</f>
        <v>4643</v>
      </c>
      <c r="J40" s="10">
        <f>I40</f>
        <v>4643</v>
      </c>
      <c r="K40" s="11"/>
      <c r="L40" s="11"/>
      <c r="M40" s="11"/>
      <c r="O40" s="73"/>
      <c r="P40" s="76"/>
      <c r="Q40" s="65" t="s">
        <v>136</v>
      </c>
      <c r="R40" s="60">
        <f>J42-R37</f>
        <v>5392.5006549640257</v>
      </c>
      <c r="S40" s="48"/>
      <c r="T40" s="48"/>
      <c r="U40" s="62"/>
      <c r="V40" s="77"/>
      <c r="W40" s="48"/>
      <c r="X40" s="62"/>
    </row>
    <row r="41" spans="8:24" ht="15.75">
      <c r="H41" s="37" t="s">
        <v>106</v>
      </c>
      <c r="I41" s="60">
        <f>ONSV_AUX_2017!AB59</f>
        <v>60617</v>
      </c>
      <c r="J41" s="61">
        <f>I41-(L34*I32)</f>
        <v>60610.546624620503</v>
      </c>
      <c r="K41" s="11"/>
      <c r="L41" s="11"/>
      <c r="M41" s="11"/>
      <c r="N41" s="28" t="s">
        <v>143</v>
      </c>
      <c r="O41" s="60">
        <f>I29</f>
        <v>10888</v>
      </c>
      <c r="P41" s="76"/>
      <c r="Q41" s="48"/>
      <c r="R41" s="48"/>
      <c r="S41" s="77"/>
      <c r="T41" s="65" t="s">
        <v>142</v>
      </c>
      <c r="U41" s="68">
        <f>R36</f>
        <v>28418.581664806206</v>
      </c>
      <c r="V41" s="48"/>
      <c r="W41" s="65" t="s">
        <v>153</v>
      </c>
      <c r="X41" s="67">
        <f>I44</f>
        <v>222478</v>
      </c>
    </row>
    <row r="42" spans="8:24" ht="15.75">
      <c r="H42" s="37" t="s">
        <v>107</v>
      </c>
      <c r="I42" s="60">
        <f>ONSV_AUX_2017!AB60</f>
        <v>10154</v>
      </c>
      <c r="J42" s="61">
        <f>I42-(L35*I32)</f>
        <v>10152.918990157819</v>
      </c>
      <c r="K42" s="11"/>
      <c r="L42" s="11"/>
      <c r="M42" s="11"/>
      <c r="N42" s="28" t="s">
        <v>146</v>
      </c>
      <c r="O42" s="60">
        <f>I33</f>
        <v>250</v>
      </c>
      <c r="P42" s="76"/>
      <c r="Q42" s="48"/>
      <c r="R42" s="48"/>
      <c r="S42" s="48"/>
      <c r="T42" s="65" t="s">
        <v>154</v>
      </c>
      <c r="U42" s="68">
        <f>I41-J41</f>
        <v>6.4533753794967197</v>
      </c>
      <c r="V42" s="48"/>
      <c r="W42" s="65" t="s">
        <v>155</v>
      </c>
      <c r="X42" s="67">
        <f>I45</f>
        <v>90761</v>
      </c>
    </row>
    <row r="43" spans="8:24" ht="15.75">
      <c r="H43" s="37" t="s">
        <v>108</v>
      </c>
      <c r="I43" s="60">
        <f>ONSV_AUX_2017!AB61</f>
        <v>1616</v>
      </c>
      <c r="J43" s="10">
        <f>I43</f>
        <v>1616</v>
      </c>
      <c r="K43" s="11"/>
      <c r="L43" s="11"/>
      <c r="M43" s="11"/>
      <c r="N43" s="28" t="s">
        <v>139</v>
      </c>
      <c r="O43" s="60">
        <f>IF(OR((O32*I30&gt;J38),((O41+O42+(O32*I30))&gt;J38)),(J38-O41-O42),(O32*I30))</f>
        <v>187269.87495548808</v>
      </c>
      <c r="P43" s="76"/>
      <c r="Q43" s="48"/>
      <c r="R43" s="78"/>
      <c r="S43" s="48"/>
      <c r="T43" s="65" t="s">
        <v>150</v>
      </c>
      <c r="U43" s="72">
        <f>R39</f>
        <v>32191.964959814297</v>
      </c>
      <c r="V43" s="48"/>
      <c r="W43" s="48"/>
      <c r="X43" s="48"/>
    </row>
    <row r="44" spans="8:24" ht="15.75">
      <c r="H44" s="37" t="s">
        <v>109</v>
      </c>
      <c r="I44" s="60">
        <f>ONSV_AUX_2017!AB62</f>
        <v>222478</v>
      </c>
      <c r="J44" s="10">
        <f>I44</f>
        <v>222478</v>
      </c>
      <c r="K44" s="11"/>
      <c r="L44" s="11"/>
      <c r="M44" s="11"/>
      <c r="N44" s="28" t="s">
        <v>151</v>
      </c>
      <c r="O44" s="60">
        <f>IF((J38-O41-O43-O42)&lt;0,0,(J38-O41-O43-O42))</f>
        <v>0</v>
      </c>
      <c r="P44" s="48"/>
      <c r="Q44" s="48"/>
      <c r="R44" s="48"/>
      <c r="S44" s="48"/>
      <c r="T44" s="48"/>
      <c r="U44" s="62"/>
      <c r="V44" s="48"/>
      <c r="W44" s="48"/>
      <c r="X44" s="48"/>
    </row>
    <row r="45" spans="8:24" ht="15.75">
      <c r="H45" s="37" t="s">
        <v>110</v>
      </c>
      <c r="I45" s="60">
        <f>ONSV_AUX_2017!AB63</f>
        <v>90761</v>
      </c>
      <c r="J45" s="10">
        <f>I45</f>
        <v>90761</v>
      </c>
      <c r="K45" s="11"/>
      <c r="L45" s="11"/>
      <c r="M45" s="11"/>
      <c r="O45" s="48"/>
      <c r="P45" s="76"/>
      <c r="Q45" s="48"/>
      <c r="R45" s="48"/>
      <c r="S45" s="48"/>
      <c r="T45" s="79" t="s">
        <v>156</v>
      </c>
      <c r="U45" s="80">
        <f>(SUM(U31:U43,X31:X42)/SUM(I38:I47))-1</f>
        <v>0</v>
      </c>
      <c r="V45" s="48"/>
      <c r="W45" s="79" t="s">
        <v>10</v>
      </c>
      <c r="X45" s="67">
        <f>SUM(U31:U43,X31:X42)</f>
        <v>619434</v>
      </c>
    </row>
    <row r="46" spans="8:24" ht="15.75">
      <c r="H46" s="37" t="s">
        <v>111</v>
      </c>
      <c r="I46" s="60">
        <f>ONSV_AUX_2017!AB64</f>
        <v>5292</v>
      </c>
      <c r="J46" s="10">
        <f>I46</f>
        <v>5292</v>
      </c>
      <c r="K46" s="11"/>
      <c r="L46" s="11"/>
      <c r="M46" s="11"/>
      <c r="O46" s="48"/>
      <c r="P46" s="76"/>
      <c r="Q46" s="48"/>
      <c r="R46" s="48"/>
      <c r="S46" s="48"/>
      <c r="T46" s="48"/>
      <c r="U46" s="48"/>
      <c r="V46" s="48"/>
      <c r="W46" s="48"/>
      <c r="X46" s="48"/>
    </row>
    <row r="47" spans="8:24" ht="15.75">
      <c r="H47" s="37" t="s">
        <v>112</v>
      </c>
      <c r="I47" s="60">
        <f>ONSV_AUX_2017!AB65</f>
        <v>3199</v>
      </c>
      <c r="J47" s="61">
        <f>I47-(L36*I32)</f>
        <v>3198.6594297335891</v>
      </c>
      <c r="K47" s="12"/>
      <c r="L47" s="12"/>
      <c r="M47" s="12"/>
      <c r="N47" s="12"/>
      <c r="O47" s="12"/>
      <c r="P47" s="12"/>
      <c r="Q47" s="4"/>
      <c r="R47" s="4"/>
    </row>
    <row r="48" spans="8:24" ht="15.75">
      <c r="H48" s="39"/>
      <c r="I48" s="40"/>
      <c r="J48" s="40"/>
      <c r="K48" s="12"/>
      <c r="L48" s="12"/>
      <c r="M48" s="12"/>
      <c r="N48" s="12"/>
      <c r="O48" s="12"/>
      <c r="P48" s="12"/>
      <c r="Q48" s="4"/>
      <c r="R48" s="4"/>
      <c r="S48" s="4"/>
      <c r="V48" s="4"/>
      <c r="W48" s="4"/>
    </row>
    <row r="49" spans="1:24" ht="15.75">
      <c r="J49" s="11"/>
    </row>
    <row r="50" spans="1:24" s="34" customFormat="1" ht="15.75">
      <c r="A50" s="101" t="str">
        <f>"TOCANTINS/"&amp;ONSV_AUX_2016!A1&amp;""</f>
        <v>TOCANTINS/2016</v>
      </c>
      <c r="B50" s="102"/>
      <c r="C50" s="102"/>
      <c r="D50" s="102"/>
      <c r="E50" s="102"/>
      <c r="F50" s="102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</row>
    <row r="52" spans="1:24" ht="15.75">
      <c r="H52" s="23" t="s">
        <v>118</v>
      </c>
      <c r="N52" s="26"/>
      <c r="O52" s="26"/>
      <c r="P52" s="9"/>
      <c r="Q52" s="26"/>
      <c r="R52" s="26"/>
      <c r="S52" s="26"/>
      <c r="T52" s="104"/>
      <c r="U52" s="104"/>
      <c r="V52" s="104"/>
      <c r="W52" s="104"/>
      <c r="X52" s="104"/>
    </row>
    <row r="53" spans="1:24" ht="15.75">
      <c r="J53" s="9"/>
      <c r="M53" s="25"/>
      <c r="N53" s="9"/>
      <c r="O53" s="9"/>
      <c r="P53" s="9"/>
      <c r="Q53" s="11"/>
      <c r="R53" s="11"/>
      <c r="S53" s="11"/>
    </row>
    <row r="54" spans="1:24" ht="15.75">
      <c r="H54" s="36" t="s">
        <v>81</v>
      </c>
      <c r="I54" s="60">
        <f>ONSV_AUX_2016!AB27</f>
        <v>10863</v>
      </c>
      <c r="J54" s="9"/>
      <c r="K54" s="104" t="s">
        <v>119</v>
      </c>
      <c r="L54" s="104"/>
      <c r="M54" s="9"/>
      <c r="N54" s="26" t="s">
        <v>120</v>
      </c>
      <c r="O54" s="26"/>
      <c r="Q54" s="26" t="s">
        <v>121</v>
      </c>
      <c r="R54" s="26"/>
      <c r="S54" s="26"/>
      <c r="T54" s="25" t="s">
        <v>122</v>
      </c>
      <c r="U54" s="25"/>
      <c r="V54" s="25"/>
      <c r="W54" s="25"/>
      <c r="X54" s="25"/>
    </row>
    <row r="55" spans="1:24" ht="15.75">
      <c r="H55" s="36" t="s">
        <v>84</v>
      </c>
      <c r="I55" s="60">
        <f>ONSV_AUX_2016!AB28</f>
        <v>214747</v>
      </c>
      <c r="J55" s="9"/>
      <c r="K55" s="9"/>
      <c r="L55" s="9"/>
      <c r="M55" s="9"/>
      <c r="N55" s="9"/>
      <c r="O55" s="9"/>
      <c r="P55" s="20"/>
      <c r="Q55" s="11"/>
      <c r="R55" s="11"/>
      <c r="S55" s="11"/>
    </row>
    <row r="56" spans="1:24" ht="15.75">
      <c r="H56" s="36" t="s">
        <v>85</v>
      </c>
      <c r="I56" s="60">
        <f>ONSV_AUX_2016!AB29</f>
        <v>65573</v>
      </c>
      <c r="J56" s="9"/>
      <c r="K56" s="2" t="s">
        <v>123</v>
      </c>
      <c r="L56" s="60">
        <f>I63+I66+I67+I72</f>
        <v>261161</v>
      </c>
      <c r="N56" s="28" t="s">
        <v>124</v>
      </c>
      <c r="O56" s="60">
        <f>J63+J72</f>
        <v>193210.50288519342</v>
      </c>
      <c r="P56" s="64"/>
      <c r="Q56" s="65" t="s">
        <v>125</v>
      </c>
      <c r="R56" s="60">
        <f>J66+J67</f>
        <v>67925.497114806582</v>
      </c>
      <c r="S56" s="66"/>
      <c r="T56" s="65" t="s">
        <v>126</v>
      </c>
      <c r="U56" s="67">
        <f>O60</f>
        <v>2872.7249780786565</v>
      </c>
      <c r="V56" s="48"/>
      <c r="W56" s="65" t="s">
        <v>127</v>
      </c>
      <c r="X56" s="68">
        <f>R62</f>
        <v>4561.4872372372365</v>
      </c>
    </row>
    <row r="57" spans="1:24" ht="15.75">
      <c r="H57" s="36" t="s">
        <v>101</v>
      </c>
      <c r="I57" s="60">
        <f>ONSV_AUX_2016!AB30</f>
        <v>25</v>
      </c>
      <c r="J57" s="9"/>
      <c r="K57" s="27"/>
      <c r="L57" s="62"/>
      <c r="M57" s="20"/>
      <c r="N57" s="28" t="s">
        <v>128</v>
      </c>
      <c r="O57" s="69">
        <f>J63/O56</f>
        <v>0.98513163138038284</v>
      </c>
      <c r="P57" s="64"/>
      <c r="Q57" s="70" t="s">
        <v>129</v>
      </c>
      <c r="R57" s="63">
        <f>J66/R56</f>
        <v>0.85660660660660659</v>
      </c>
      <c r="S57" s="71"/>
      <c r="T57" s="65" t="s">
        <v>130</v>
      </c>
      <c r="U57" s="67">
        <f>I72-J72</f>
        <v>0.27502192134352299</v>
      </c>
      <c r="V57" s="48"/>
      <c r="W57" s="65" t="s">
        <v>131</v>
      </c>
      <c r="X57" s="68">
        <f>I67-J67</f>
        <v>0.93247077473279205</v>
      </c>
    </row>
    <row r="58" spans="1:24" ht="15.75">
      <c r="H58" s="36" t="s">
        <v>16</v>
      </c>
      <c r="I58" s="60">
        <f>ONSV_AUX_2016!AB31</f>
        <v>240</v>
      </c>
      <c r="J58" s="9"/>
      <c r="K58" s="2" t="s">
        <v>132</v>
      </c>
      <c r="L58" s="63">
        <f>I63/L56</f>
        <v>0.72888371540926866</v>
      </c>
      <c r="M58" s="20"/>
      <c r="N58" s="28" t="s">
        <v>133</v>
      </c>
      <c r="O58" s="69">
        <f>J72/O56</f>
        <v>1.4868368619617139E-2</v>
      </c>
      <c r="P58" s="64"/>
      <c r="Q58" s="70" t="s">
        <v>134</v>
      </c>
      <c r="R58" s="63">
        <f>J67/R56</f>
        <v>0.14339339339339338</v>
      </c>
      <c r="S58" s="71"/>
      <c r="T58" s="65" t="s">
        <v>135</v>
      </c>
      <c r="U58" s="72">
        <f>O62</f>
        <v>0</v>
      </c>
      <c r="V58" s="73"/>
      <c r="W58" s="65" t="s">
        <v>136</v>
      </c>
      <c r="X58" s="72">
        <f>R65</f>
        <v>5178.5802919880307</v>
      </c>
    </row>
    <row r="59" spans="1:24" ht="15.75">
      <c r="H59" s="36" t="s">
        <v>94</v>
      </c>
      <c r="I59" s="60">
        <f>ONSV_AUX_2016!AB32</f>
        <v>306393</v>
      </c>
      <c r="J59" s="10"/>
      <c r="K59" s="2" t="s">
        <v>2</v>
      </c>
      <c r="L59" s="63">
        <f>I66/L56</f>
        <v>0.22281657674767671</v>
      </c>
      <c r="M59" s="20"/>
      <c r="N59" s="20"/>
      <c r="O59" s="74"/>
      <c r="P59" s="48"/>
      <c r="Q59" s="48"/>
      <c r="R59" s="48"/>
      <c r="S59" s="48"/>
      <c r="T59" s="48"/>
      <c r="U59" s="62"/>
      <c r="V59" s="75"/>
      <c r="W59" s="48"/>
      <c r="X59" s="62"/>
    </row>
    <row r="60" spans="1:24" ht="15.75">
      <c r="K60" s="2" t="s">
        <v>3</v>
      </c>
      <c r="L60" s="63">
        <f>I67/L56</f>
        <v>3.7298830989313109E-2</v>
      </c>
      <c r="M60" s="20"/>
      <c r="N60" s="28" t="s">
        <v>137</v>
      </c>
      <c r="O60" s="60">
        <f>IF(O58*I55&gt;J72,J72,O58*I55)</f>
        <v>2872.7249780786565</v>
      </c>
      <c r="P60" s="76"/>
      <c r="Q60" s="65" t="s">
        <v>138</v>
      </c>
      <c r="R60" s="60">
        <f>I56-I64-I65-I68-I71</f>
        <v>31811</v>
      </c>
      <c r="S60" s="77"/>
      <c r="T60" s="65" t="s">
        <v>139</v>
      </c>
      <c r="U60" s="67">
        <f>O68</f>
        <v>179234.77790711477</v>
      </c>
      <c r="V60" s="76"/>
      <c r="W60" s="65" t="s">
        <v>140</v>
      </c>
      <c r="X60" s="67">
        <f>I64</f>
        <v>22362</v>
      </c>
    </row>
    <row r="61" spans="1:24" ht="15.75">
      <c r="H61" s="24" t="s">
        <v>141</v>
      </c>
      <c r="K61" s="2" t="s">
        <v>0</v>
      </c>
      <c r="L61" s="63">
        <f>I72/L56</f>
        <v>1.1000876853741562E-2</v>
      </c>
      <c r="O61" s="48"/>
      <c r="P61" s="76"/>
      <c r="Q61" s="65" t="s">
        <v>142</v>
      </c>
      <c r="R61" s="60">
        <f>R57*R60</f>
        <v>27249.512762762763</v>
      </c>
      <c r="S61" s="48"/>
      <c r="T61" s="65" t="s">
        <v>143</v>
      </c>
      <c r="U61" s="67">
        <f>O66</f>
        <v>10863</v>
      </c>
      <c r="V61" s="66"/>
      <c r="W61" s="65" t="s">
        <v>144</v>
      </c>
      <c r="X61" s="67">
        <f>I65</f>
        <v>4542</v>
      </c>
    </row>
    <row r="62" spans="1:24" ht="15.75">
      <c r="K62" s="11"/>
      <c r="L62" s="11"/>
      <c r="M62" s="11"/>
      <c r="N62" s="28" t="s">
        <v>145</v>
      </c>
      <c r="O62" s="60">
        <f>J72-O60</f>
        <v>0</v>
      </c>
      <c r="P62" s="76"/>
      <c r="Q62" s="65" t="s">
        <v>127</v>
      </c>
      <c r="R62" s="60">
        <f>R58*R60</f>
        <v>4561.4872372372365</v>
      </c>
      <c r="S62" s="48"/>
      <c r="T62" s="65" t="s">
        <v>146</v>
      </c>
      <c r="U62" s="67">
        <f>O67</f>
        <v>240</v>
      </c>
      <c r="V62" s="71"/>
      <c r="W62" s="48"/>
      <c r="X62" s="62"/>
    </row>
    <row r="63" spans="1:24" ht="15.75">
      <c r="H63" s="37" t="s">
        <v>103</v>
      </c>
      <c r="I63" s="60">
        <f>ONSV_AUX_2016!AB56</f>
        <v>190356</v>
      </c>
      <c r="J63" s="61">
        <f>I63-(L58*I57)</f>
        <v>190337.77790711477</v>
      </c>
      <c r="K63" s="11"/>
      <c r="L63" s="11"/>
      <c r="M63" s="11"/>
      <c r="O63" s="76"/>
      <c r="P63" s="76"/>
      <c r="Q63" s="48"/>
      <c r="R63" s="78"/>
      <c r="S63" s="48"/>
      <c r="T63" s="65" t="s">
        <v>147</v>
      </c>
      <c r="U63" s="68">
        <f>I63-J63</f>
        <v>18.222092885232996</v>
      </c>
      <c r="V63" s="71"/>
      <c r="W63" s="65" t="s">
        <v>148</v>
      </c>
      <c r="X63" s="67">
        <f>I71</f>
        <v>5236</v>
      </c>
    </row>
    <row r="64" spans="1:24" ht="15.75">
      <c r="H64" s="37" t="s">
        <v>104</v>
      </c>
      <c r="I64" s="60">
        <f>ONSV_AUX_2016!AB57</f>
        <v>22362</v>
      </c>
      <c r="J64" s="10">
        <f>I64</f>
        <v>22362</v>
      </c>
      <c r="K64" s="11"/>
      <c r="L64" s="11"/>
      <c r="M64" s="11"/>
      <c r="N64" s="26" t="s">
        <v>149</v>
      </c>
      <c r="O64" s="76"/>
      <c r="P64" s="76"/>
      <c r="Q64" s="65" t="s">
        <v>150</v>
      </c>
      <c r="R64" s="60">
        <f>J66-R61</f>
        <v>30935.916822818548</v>
      </c>
      <c r="S64" s="48"/>
      <c r="T64" s="65" t="s">
        <v>151</v>
      </c>
      <c r="U64" s="72">
        <f>O69</f>
        <v>0</v>
      </c>
      <c r="V64" s="48"/>
      <c r="W64" s="65" t="s">
        <v>152</v>
      </c>
      <c r="X64" s="67">
        <f>I68</f>
        <v>1622</v>
      </c>
    </row>
    <row r="65" spans="1:24" ht="15.75">
      <c r="H65" s="37" t="s">
        <v>105</v>
      </c>
      <c r="I65" s="60">
        <f>ONSV_AUX_2016!AB58</f>
        <v>4542</v>
      </c>
      <c r="J65" s="10">
        <f>I65</f>
        <v>4542</v>
      </c>
      <c r="K65" s="11"/>
      <c r="L65" s="11"/>
      <c r="M65" s="11"/>
      <c r="O65" s="73"/>
      <c r="P65" s="76"/>
      <c r="Q65" s="65" t="s">
        <v>136</v>
      </c>
      <c r="R65" s="60">
        <f>J67-R62</f>
        <v>5178.5802919880307</v>
      </c>
      <c r="S65" s="48"/>
      <c r="T65" s="48"/>
      <c r="U65" s="62"/>
      <c r="V65" s="77"/>
      <c r="W65" s="48"/>
      <c r="X65" s="62"/>
    </row>
    <row r="66" spans="1:24" ht="15.75">
      <c r="H66" s="37" t="s">
        <v>106</v>
      </c>
      <c r="I66" s="60">
        <f>ONSV_AUX_2016!AB59</f>
        <v>58191</v>
      </c>
      <c r="J66" s="61">
        <f>I66-(L59*I57)</f>
        <v>58185.429585581311</v>
      </c>
      <c r="K66" s="11"/>
      <c r="L66" s="11"/>
      <c r="M66" s="11"/>
      <c r="N66" s="28" t="s">
        <v>143</v>
      </c>
      <c r="O66" s="60">
        <f>I54</f>
        <v>10863</v>
      </c>
      <c r="P66" s="76"/>
      <c r="Q66" s="48"/>
      <c r="R66" s="48"/>
      <c r="S66" s="77"/>
      <c r="T66" s="65" t="s">
        <v>142</v>
      </c>
      <c r="U66" s="68">
        <f>R61</f>
        <v>27249.512762762763</v>
      </c>
      <c r="V66" s="48"/>
      <c r="W66" s="65" t="s">
        <v>153</v>
      </c>
      <c r="X66" s="67">
        <f>I69</f>
        <v>214268</v>
      </c>
    </row>
    <row r="67" spans="1:24" ht="15.75">
      <c r="H67" s="37" t="s">
        <v>107</v>
      </c>
      <c r="I67" s="60">
        <f>ONSV_AUX_2016!AB60</f>
        <v>9741</v>
      </c>
      <c r="J67" s="61">
        <f>I67-(L60*I57)</f>
        <v>9740.0675292252672</v>
      </c>
      <c r="K67" s="11"/>
      <c r="L67" s="11"/>
      <c r="M67" s="11"/>
      <c r="N67" s="28" t="s">
        <v>146</v>
      </c>
      <c r="O67" s="60">
        <f>I58</f>
        <v>240</v>
      </c>
      <c r="P67" s="76"/>
      <c r="Q67" s="48"/>
      <c r="R67" s="48"/>
      <c r="S67" s="48"/>
      <c r="T67" s="65" t="s">
        <v>154</v>
      </c>
      <c r="U67" s="68">
        <f>I66-J66</f>
        <v>5.5704144186893245</v>
      </c>
      <c r="V67" s="48"/>
      <c r="W67" s="65" t="s">
        <v>155</v>
      </c>
      <c r="X67" s="67">
        <f>I70</f>
        <v>87528</v>
      </c>
    </row>
    <row r="68" spans="1:24" ht="15.75">
      <c r="H68" s="37" t="s">
        <v>108</v>
      </c>
      <c r="I68" s="60">
        <f>ONSV_AUX_2016!AB61</f>
        <v>1622</v>
      </c>
      <c r="J68" s="10">
        <f>I68</f>
        <v>1622</v>
      </c>
      <c r="K68" s="11"/>
      <c r="L68" s="11"/>
      <c r="M68" s="11"/>
      <c r="N68" s="28" t="s">
        <v>139</v>
      </c>
      <c r="O68" s="60">
        <f>IF(OR((O57*I55&gt;J63),((O66+O67+(O57*I55))&gt;J63)),(J63-O66-O67),(O57*I55))</f>
        <v>179234.77790711477</v>
      </c>
      <c r="P68" s="76"/>
      <c r="Q68" s="48"/>
      <c r="R68" s="78"/>
      <c r="S68" s="48"/>
      <c r="T68" s="65" t="s">
        <v>150</v>
      </c>
      <c r="U68" s="72">
        <f>R64</f>
        <v>30935.916822818548</v>
      </c>
      <c r="V68" s="48"/>
      <c r="W68" s="48"/>
      <c r="X68" s="48"/>
    </row>
    <row r="69" spans="1:24" ht="15.75">
      <c r="H69" s="37" t="s">
        <v>109</v>
      </c>
      <c r="I69" s="60">
        <f>ONSV_AUX_2016!AB62</f>
        <v>214268</v>
      </c>
      <c r="J69" s="10">
        <f>I69</f>
        <v>214268</v>
      </c>
      <c r="K69" s="11"/>
      <c r="L69" s="11"/>
      <c r="M69" s="11"/>
      <c r="N69" s="28" t="s">
        <v>151</v>
      </c>
      <c r="O69" s="60">
        <f>IF((J63-O66-O68-O67)&lt;0,0,(J63-O66-O68-O67))</f>
        <v>0</v>
      </c>
      <c r="P69" s="48"/>
      <c r="Q69" s="48"/>
      <c r="R69" s="48"/>
      <c r="S69" s="48"/>
      <c r="T69" s="48"/>
      <c r="U69" s="62"/>
      <c r="V69" s="48"/>
      <c r="W69" s="48"/>
      <c r="X69" s="48"/>
    </row>
    <row r="70" spans="1:24" ht="15.75">
      <c r="H70" s="37" t="s">
        <v>110</v>
      </c>
      <c r="I70" s="60">
        <f>ONSV_AUX_2016!AB63</f>
        <v>87528</v>
      </c>
      <c r="J70" s="10">
        <f>I70</f>
        <v>87528</v>
      </c>
      <c r="K70" s="11"/>
      <c r="L70" s="11"/>
      <c r="M70" s="11"/>
      <c r="O70" s="48"/>
      <c r="P70" s="76"/>
      <c r="Q70" s="48"/>
      <c r="R70" s="48"/>
      <c r="S70" s="48"/>
      <c r="T70" s="79" t="s">
        <v>156</v>
      </c>
      <c r="U70" s="80">
        <f>(SUM(U56:U68,X56:X67)/SUM(I63:I72))-1</f>
        <v>0</v>
      </c>
      <c r="V70" s="48"/>
      <c r="W70" s="79" t="s">
        <v>10</v>
      </c>
      <c r="X70" s="67">
        <f>SUM(U56:U68,X56:X67)</f>
        <v>596719</v>
      </c>
    </row>
    <row r="71" spans="1:24" ht="15.75">
      <c r="H71" s="37" t="s">
        <v>111</v>
      </c>
      <c r="I71" s="60">
        <f>ONSV_AUX_2016!AB64</f>
        <v>5236</v>
      </c>
      <c r="J71" s="10">
        <f>I71</f>
        <v>5236</v>
      </c>
      <c r="K71" s="11"/>
      <c r="L71" s="11"/>
      <c r="M71" s="11"/>
      <c r="O71" s="48"/>
      <c r="P71" s="76"/>
      <c r="Q71" s="48"/>
      <c r="R71" s="48"/>
      <c r="S71" s="48"/>
      <c r="T71" s="48"/>
      <c r="U71" s="48"/>
      <c r="V71" s="48"/>
      <c r="W71" s="48"/>
      <c r="X71" s="48"/>
    </row>
    <row r="72" spans="1:24" ht="15.75">
      <c r="H72" s="37" t="s">
        <v>112</v>
      </c>
      <c r="I72" s="60">
        <f>ONSV_AUX_2016!AB65</f>
        <v>2873</v>
      </c>
      <c r="J72" s="61">
        <f>I72-(L61*I57)</f>
        <v>2872.7249780786565</v>
      </c>
      <c r="K72" s="12"/>
      <c r="L72" s="12"/>
      <c r="M72" s="12"/>
      <c r="N72" s="12"/>
      <c r="O72" s="12"/>
      <c r="P72" s="12"/>
      <c r="Q72" s="4"/>
      <c r="R72" s="4"/>
    </row>
    <row r="75" spans="1:24" s="34" customFormat="1" ht="15.75">
      <c r="A75" s="101" t="str">
        <f>"TOCANTINS/"&amp;ONSV_AUX_2015!A1&amp;""</f>
        <v>TOCANTINS/2015</v>
      </c>
      <c r="B75" s="102"/>
      <c r="C75" s="102"/>
      <c r="D75" s="102"/>
      <c r="E75" s="102"/>
      <c r="F75" s="102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 spans="1:24"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>
      <c r="H77" s="23" t="s">
        <v>118</v>
      </c>
      <c r="P77" s="9"/>
    </row>
    <row r="78" spans="1:24" ht="15.75">
      <c r="J78" s="9"/>
      <c r="M78" s="25"/>
      <c r="P78" s="9"/>
    </row>
    <row r="79" spans="1:24" ht="15.75">
      <c r="H79" s="36" t="s">
        <v>81</v>
      </c>
      <c r="I79" s="60">
        <f>ONSV_AUX_2015!AB27</f>
        <v>10819</v>
      </c>
      <c r="J79" s="9"/>
      <c r="K79" s="104" t="s">
        <v>119</v>
      </c>
      <c r="L79" s="104"/>
      <c r="M79" s="9"/>
      <c r="N79" s="26" t="s">
        <v>120</v>
      </c>
      <c r="O79" s="26"/>
      <c r="Q79" s="26" t="s">
        <v>121</v>
      </c>
      <c r="R79" s="26"/>
      <c r="S79" s="26"/>
      <c r="T79" s="25" t="s">
        <v>122</v>
      </c>
      <c r="U79" s="25"/>
      <c r="V79" s="25"/>
      <c r="W79" s="25"/>
      <c r="X79" s="25"/>
    </row>
    <row r="80" spans="1:24" ht="15.75">
      <c r="H80" s="36" t="s">
        <v>84</v>
      </c>
      <c r="I80" s="60">
        <f>ONSV_AUX_2015!AB28</f>
        <v>191656</v>
      </c>
      <c r="J80" s="9"/>
      <c r="K80" s="9"/>
      <c r="L80" s="9"/>
      <c r="M80" s="9"/>
      <c r="N80" s="9"/>
      <c r="O80" s="9"/>
      <c r="P80" s="20"/>
      <c r="Q80" s="11"/>
      <c r="R80" s="11"/>
      <c r="S80" s="11"/>
    </row>
    <row r="81" spans="8:24" ht="15.75">
      <c r="H81" s="36" t="s">
        <v>85</v>
      </c>
      <c r="I81" s="60">
        <f>ONSV_AUX_2015!AB29</f>
        <v>63302</v>
      </c>
      <c r="J81" s="9"/>
      <c r="K81" s="2" t="s">
        <v>123</v>
      </c>
      <c r="L81" s="60">
        <f>I88+I91+I92+I97</f>
        <v>246762</v>
      </c>
      <c r="N81" s="28" t="s">
        <v>124</v>
      </c>
      <c r="O81" s="60">
        <f>J88+J97</f>
        <v>182639.45564957327</v>
      </c>
      <c r="P81" s="64"/>
      <c r="Q81" s="65" t="s">
        <v>125</v>
      </c>
      <c r="R81" s="60">
        <f>J91+J92</f>
        <v>64101.544350426731</v>
      </c>
      <c r="S81" s="66"/>
      <c r="T81" s="65" t="s">
        <v>126</v>
      </c>
      <c r="U81" s="67">
        <f>O85</f>
        <v>2634.7757555863545</v>
      </c>
      <c r="V81" s="48"/>
      <c r="W81" s="65" t="s">
        <v>127</v>
      </c>
      <c r="X81" s="68">
        <f>R87</f>
        <v>4381.9212722479597</v>
      </c>
    </row>
    <row r="82" spans="8:24" ht="15.75">
      <c r="H82" s="36" t="s">
        <v>101</v>
      </c>
      <c r="I82" s="60">
        <f>ONSV_AUX_2015!AB30</f>
        <v>21</v>
      </c>
      <c r="J82" s="9"/>
      <c r="K82" s="27"/>
      <c r="L82" s="62"/>
      <c r="M82" s="20"/>
      <c r="N82" s="28" t="s">
        <v>128</v>
      </c>
      <c r="O82" s="69">
        <f>J88/O81</f>
        <v>0.98557389614300173</v>
      </c>
      <c r="P82" s="64"/>
      <c r="Q82" s="70" t="s">
        <v>129</v>
      </c>
      <c r="R82" s="63">
        <f>J91/R81</f>
        <v>0.85566318810738295</v>
      </c>
      <c r="S82" s="71"/>
      <c r="T82" s="65" t="s">
        <v>130</v>
      </c>
      <c r="U82" s="67">
        <f>I97-J97</f>
        <v>0.2242444136454651</v>
      </c>
      <c r="V82" s="48"/>
      <c r="W82" s="65" t="s">
        <v>131</v>
      </c>
      <c r="X82" s="68">
        <f>I92-J92</f>
        <v>0.78745106620954175</v>
      </c>
    </row>
    <row r="83" spans="8:24" ht="15.75">
      <c r="H83" s="36" t="s">
        <v>16</v>
      </c>
      <c r="I83" s="60">
        <f>ONSV_AUX_2015!AB31</f>
        <v>231</v>
      </c>
      <c r="J83" s="9"/>
      <c r="K83" s="2" t="s">
        <v>132</v>
      </c>
      <c r="L83" s="63">
        <f>I88/L81</f>
        <v>0.72952885776578247</v>
      </c>
      <c r="M83" s="20"/>
      <c r="N83" s="28" t="s">
        <v>133</v>
      </c>
      <c r="O83" s="69">
        <f>J97/O81</f>
        <v>1.4426103856998166E-2</v>
      </c>
      <c r="P83" s="64"/>
      <c r="Q83" s="70" t="s">
        <v>134</v>
      </c>
      <c r="R83" s="63">
        <f>J92/R81</f>
        <v>0.14433681189261702</v>
      </c>
      <c r="S83" s="71"/>
      <c r="T83" s="65" t="s">
        <v>135</v>
      </c>
      <c r="U83" s="72">
        <f>O87</f>
        <v>0</v>
      </c>
      <c r="V83" s="73"/>
      <c r="W83" s="65" t="s">
        <v>136</v>
      </c>
      <c r="X83" s="72">
        <f>R90</f>
        <v>4870.2912766858308</v>
      </c>
    </row>
    <row r="84" spans="8:24" ht="15.75">
      <c r="H84" s="36" t="s">
        <v>94</v>
      </c>
      <c r="I84" s="60">
        <f>ONSV_AUX_2015!AB32</f>
        <v>301207</v>
      </c>
      <c r="J84" s="10"/>
      <c r="K84" s="2" t="s">
        <v>2</v>
      </c>
      <c r="L84" s="63">
        <f>I91/L81</f>
        <v>0.22229516700302315</v>
      </c>
      <c r="M84" s="20"/>
      <c r="N84" s="20"/>
      <c r="O84" s="74"/>
      <c r="P84" s="48"/>
      <c r="Q84" s="48"/>
      <c r="R84" s="48"/>
      <c r="S84" s="48"/>
      <c r="T84" s="48"/>
      <c r="U84" s="62"/>
      <c r="V84" s="75"/>
      <c r="W84" s="48"/>
      <c r="X84" s="62"/>
    </row>
    <row r="85" spans="8:24" ht="15.75">
      <c r="K85" s="2" t="s">
        <v>3</v>
      </c>
      <c r="L85" s="63">
        <f>I92/L81</f>
        <v>3.7497669819502193E-2</v>
      </c>
      <c r="M85" s="20"/>
      <c r="N85" s="28" t="s">
        <v>137</v>
      </c>
      <c r="O85" s="60">
        <f>IF(O83*I80&gt;J97,J97,O83*I80)</f>
        <v>2634.7757555863545</v>
      </c>
      <c r="P85" s="76"/>
      <c r="Q85" s="65" t="s">
        <v>138</v>
      </c>
      <c r="R85" s="60">
        <f>I81-I89-I90-I93-I96</f>
        <v>30359</v>
      </c>
      <c r="S85" s="77"/>
      <c r="T85" s="65" t="s">
        <v>139</v>
      </c>
      <c r="U85" s="67">
        <f>O93</f>
        <v>168954.6798939869</v>
      </c>
      <c r="V85" s="76"/>
      <c r="W85" s="65" t="s">
        <v>140</v>
      </c>
      <c r="X85" s="67">
        <f>I89</f>
        <v>21953</v>
      </c>
    </row>
    <row r="86" spans="8:24" ht="15.75">
      <c r="H86" s="24" t="s">
        <v>141</v>
      </c>
      <c r="K86" s="2" t="s">
        <v>0</v>
      </c>
      <c r="L86" s="63">
        <f>I97/L81</f>
        <v>1.0678305411692238E-2</v>
      </c>
      <c r="O86" s="48"/>
      <c r="P86" s="76"/>
      <c r="Q86" s="65" t="s">
        <v>142</v>
      </c>
      <c r="R86" s="60">
        <f>R82*R85</f>
        <v>25977.078727752039</v>
      </c>
      <c r="S86" s="48"/>
      <c r="T86" s="65" t="s">
        <v>143</v>
      </c>
      <c r="U86" s="67">
        <f>O91</f>
        <v>10819</v>
      </c>
      <c r="V86" s="66"/>
      <c r="W86" s="65" t="s">
        <v>144</v>
      </c>
      <c r="X86" s="67">
        <f>I90</f>
        <v>4365</v>
      </c>
    </row>
    <row r="87" spans="8:24" ht="15.75">
      <c r="K87" s="11"/>
      <c r="L87" s="11"/>
      <c r="M87" s="11"/>
      <c r="N87" s="28" t="s">
        <v>145</v>
      </c>
      <c r="O87" s="60">
        <f>J97-O85</f>
        <v>0</v>
      </c>
      <c r="P87" s="76"/>
      <c r="Q87" s="65" t="s">
        <v>127</v>
      </c>
      <c r="R87" s="60">
        <f>R83*R85</f>
        <v>4381.9212722479597</v>
      </c>
      <c r="S87" s="48"/>
      <c r="T87" s="65" t="s">
        <v>146</v>
      </c>
      <c r="U87" s="67">
        <f>O92</f>
        <v>231</v>
      </c>
      <c r="V87" s="71"/>
      <c r="W87" s="48"/>
      <c r="X87" s="62"/>
    </row>
    <row r="88" spans="8:24" ht="15.75">
      <c r="H88" s="37" t="s">
        <v>103</v>
      </c>
      <c r="I88" s="60">
        <f>ONSV_AUX_2015!AB56</f>
        <v>180020</v>
      </c>
      <c r="J88" s="61">
        <f>I88-(L83*I82)</f>
        <v>180004.6798939869</v>
      </c>
      <c r="K88" s="11"/>
      <c r="L88" s="11"/>
      <c r="M88" s="11"/>
      <c r="O88" s="76"/>
      <c r="P88" s="76"/>
      <c r="Q88" s="48"/>
      <c r="R88" s="78"/>
      <c r="S88" s="48"/>
      <c r="T88" s="65" t="s">
        <v>147</v>
      </c>
      <c r="U88" s="68">
        <f>I88-J88</f>
        <v>15.320106013095938</v>
      </c>
      <c r="V88" s="71"/>
      <c r="W88" s="65" t="s">
        <v>148</v>
      </c>
      <c r="X88" s="67">
        <f>I96</f>
        <v>5028</v>
      </c>
    </row>
    <row r="89" spans="8:24" ht="15.75">
      <c r="H89" s="37" t="s">
        <v>104</v>
      </c>
      <c r="I89" s="60">
        <f>ONSV_AUX_2015!AB57</f>
        <v>21953</v>
      </c>
      <c r="J89" s="10">
        <f>I89</f>
        <v>21953</v>
      </c>
      <c r="K89" s="11"/>
      <c r="L89" s="11"/>
      <c r="M89" s="11"/>
      <c r="N89" s="26" t="s">
        <v>149</v>
      </c>
      <c r="O89" s="76"/>
      <c r="P89" s="76"/>
      <c r="Q89" s="65" t="s">
        <v>150</v>
      </c>
      <c r="R89" s="60">
        <f>J91-R86</f>
        <v>28872.2530737409</v>
      </c>
      <c r="S89" s="48"/>
      <c r="T89" s="65" t="s">
        <v>151</v>
      </c>
      <c r="U89" s="72">
        <f>O94</f>
        <v>0</v>
      </c>
      <c r="V89" s="48"/>
      <c r="W89" s="65" t="s">
        <v>152</v>
      </c>
      <c r="X89" s="67">
        <f>I93</f>
        <v>1597</v>
      </c>
    </row>
    <row r="90" spans="8:24" ht="15.75">
      <c r="H90" s="37" t="s">
        <v>105</v>
      </c>
      <c r="I90" s="60">
        <f>ONSV_AUX_2015!AB58</f>
        <v>4365</v>
      </c>
      <c r="J90" s="10">
        <f>I90</f>
        <v>4365</v>
      </c>
      <c r="K90" s="11"/>
      <c r="L90" s="11"/>
      <c r="M90" s="11"/>
      <c r="O90" s="73"/>
      <c r="P90" s="76"/>
      <c r="Q90" s="65" t="s">
        <v>136</v>
      </c>
      <c r="R90" s="60">
        <f>J92-R87</f>
        <v>4870.2912766858308</v>
      </c>
      <c r="S90" s="48"/>
      <c r="T90" s="48"/>
      <c r="U90" s="62"/>
      <c r="V90" s="77"/>
      <c r="W90" s="48"/>
      <c r="X90" s="62"/>
    </row>
    <row r="91" spans="8:24" ht="15.75">
      <c r="H91" s="37" t="s">
        <v>106</v>
      </c>
      <c r="I91" s="60">
        <f>ONSV_AUX_2015!AB59</f>
        <v>54854</v>
      </c>
      <c r="J91" s="61">
        <f>I91-(L84*I82)</f>
        <v>54849.331801492939</v>
      </c>
      <c r="K91" s="11"/>
      <c r="L91" s="11"/>
      <c r="M91" s="11"/>
      <c r="N91" s="28" t="s">
        <v>143</v>
      </c>
      <c r="O91" s="60">
        <f>I79</f>
        <v>10819</v>
      </c>
      <c r="P91" s="76"/>
      <c r="Q91" s="48"/>
      <c r="R91" s="48"/>
      <c r="S91" s="77"/>
      <c r="T91" s="65" t="s">
        <v>142</v>
      </c>
      <c r="U91" s="68">
        <f>R86</f>
        <v>25977.078727752039</v>
      </c>
      <c r="V91" s="48"/>
      <c r="W91" s="65" t="s">
        <v>153</v>
      </c>
      <c r="X91" s="67">
        <f>I94</f>
        <v>202855</v>
      </c>
    </row>
    <row r="92" spans="8:24" ht="15.75">
      <c r="H92" s="37" t="s">
        <v>107</v>
      </c>
      <c r="I92" s="60">
        <f>ONSV_AUX_2015!AB60</f>
        <v>9253</v>
      </c>
      <c r="J92" s="61">
        <f>I92-(L85*I82)</f>
        <v>9252.2125489337905</v>
      </c>
      <c r="K92" s="11"/>
      <c r="L92" s="11"/>
      <c r="M92" s="11"/>
      <c r="N92" s="28" t="s">
        <v>146</v>
      </c>
      <c r="O92" s="60">
        <f>I83</f>
        <v>231</v>
      </c>
      <c r="P92" s="76"/>
      <c r="Q92" s="48"/>
      <c r="R92" s="48"/>
      <c r="S92" s="48"/>
      <c r="T92" s="65" t="s">
        <v>154</v>
      </c>
      <c r="U92" s="68">
        <f>I91-J91</f>
        <v>4.6681985070608789</v>
      </c>
      <c r="V92" s="48"/>
      <c r="W92" s="65" t="s">
        <v>155</v>
      </c>
      <c r="X92" s="67">
        <f>I95</f>
        <v>82687</v>
      </c>
    </row>
    <row r="93" spans="8:24" ht="15.75">
      <c r="H93" s="37" t="s">
        <v>108</v>
      </c>
      <c r="I93" s="60">
        <f>ONSV_AUX_2015!AB61</f>
        <v>1597</v>
      </c>
      <c r="J93" s="10">
        <f>I93</f>
        <v>1597</v>
      </c>
      <c r="K93" s="11"/>
      <c r="L93" s="11"/>
      <c r="M93" s="11"/>
      <c r="N93" s="28" t="s">
        <v>139</v>
      </c>
      <c r="O93" s="60">
        <f>IF(OR((O82*I80&gt;J88),((O91+O92+(O82*I80))&gt;J88)),(J88-O91-O92),(O82*I80))</f>
        <v>168954.6798939869</v>
      </c>
      <c r="P93" s="76"/>
      <c r="Q93" s="48"/>
      <c r="R93" s="78"/>
      <c r="S93" s="48"/>
      <c r="T93" s="65" t="s">
        <v>150</v>
      </c>
      <c r="U93" s="72">
        <f>R89</f>
        <v>28872.2530737409</v>
      </c>
      <c r="V93" s="48"/>
      <c r="W93" s="48"/>
      <c r="X93" s="48"/>
    </row>
    <row r="94" spans="8:24" ht="15.75">
      <c r="H94" s="37" t="s">
        <v>109</v>
      </c>
      <c r="I94" s="60">
        <f>ONSV_AUX_2015!AB62</f>
        <v>202855</v>
      </c>
      <c r="J94" s="10">
        <f>I94</f>
        <v>202855</v>
      </c>
      <c r="K94" s="11"/>
      <c r="L94" s="11"/>
      <c r="M94" s="11"/>
      <c r="N94" s="28" t="s">
        <v>151</v>
      </c>
      <c r="O94" s="60">
        <f>IF((J88-O91-O93-O92)&lt;0,0,(J88-O91-O93-O92))</f>
        <v>0</v>
      </c>
      <c r="P94" s="48"/>
      <c r="Q94" s="48"/>
      <c r="R94" s="48"/>
      <c r="S94" s="48"/>
      <c r="T94" s="48"/>
      <c r="U94" s="62"/>
      <c r="V94" s="48"/>
      <c r="W94" s="48"/>
      <c r="X94" s="48"/>
    </row>
    <row r="95" spans="8:24" ht="15.75">
      <c r="H95" s="37" t="s">
        <v>110</v>
      </c>
      <c r="I95" s="60">
        <f>ONSV_AUX_2015!AB63</f>
        <v>82687</v>
      </c>
      <c r="J95" s="10">
        <f>I95</f>
        <v>82687</v>
      </c>
      <c r="K95" s="11"/>
      <c r="L95" s="11"/>
      <c r="M95" s="11"/>
      <c r="O95" s="48"/>
      <c r="P95" s="76"/>
      <c r="Q95" s="48"/>
      <c r="R95" s="48"/>
      <c r="S95" s="48"/>
      <c r="T95" s="79" t="s">
        <v>156</v>
      </c>
      <c r="U95" s="80">
        <f>(SUM(U81:U93,X81:X92)/SUM(I88:I97))-1</f>
        <v>0</v>
      </c>
      <c r="V95" s="48"/>
      <c r="W95" s="79" t="s">
        <v>10</v>
      </c>
      <c r="X95" s="67">
        <f>SUM(U81:U93,X81:X92)</f>
        <v>565247</v>
      </c>
    </row>
    <row r="96" spans="8:24" ht="15.75">
      <c r="H96" s="37" t="s">
        <v>111</v>
      </c>
      <c r="I96" s="60">
        <f>ONSV_AUX_2015!AB64</f>
        <v>5028</v>
      </c>
      <c r="J96" s="10">
        <f>I96</f>
        <v>5028</v>
      </c>
      <c r="K96" s="11"/>
      <c r="L96" s="11"/>
      <c r="M96" s="11"/>
      <c r="O96" s="48"/>
      <c r="P96" s="76"/>
      <c r="Q96" s="48"/>
      <c r="R96" s="48"/>
      <c r="S96" s="48"/>
      <c r="T96" s="48"/>
      <c r="U96" s="48"/>
      <c r="V96" s="48"/>
      <c r="W96" s="48"/>
      <c r="X96" s="48"/>
    </row>
    <row r="97" spans="1:24" ht="15.75">
      <c r="H97" s="37" t="s">
        <v>112</v>
      </c>
      <c r="I97" s="60">
        <f>ONSV_AUX_2015!AB65</f>
        <v>2635</v>
      </c>
      <c r="J97" s="61">
        <f>I97-(L86*I82)</f>
        <v>2634.7757555863545</v>
      </c>
      <c r="K97" s="12"/>
      <c r="L97" s="12"/>
      <c r="M97" s="12"/>
      <c r="N97" s="12"/>
      <c r="O97" s="12"/>
      <c r="P97" s="12"/>
      <c r="Q97" s="4"/>
      <c r="R97" s="4"/>
    </row>
    <row r="98" spans="1:24" ht="15.75">
      <c r="I98" s="40"/>
      <c r="J98" s="21"/>
      <c r="K98" s="12"/>
      <c r="L98" s="12"/>
      <c r="M98" s="12"/>
      <c r="N98" s="12"/>
      <c r="O98" s="12"/>
      <c r="P98" s="12"/>
      <c r="Q98" s="4"/>
      <c r="R98" s="4"/>
      <c r="S98" s="4"/>
      <c r="V98" s="4"/>
      <c r="W98" s="4"/>
    </row>
    <row r="99" spans="1:24" ht="15.75">
      <c r="I99" s="40"/>
      <c r="J99" s="21"/>
      <c r="K99" s="12"/>
      <c r="L99" s="12"/>
      <c r="M99" s="12"/>
      <c r="N99" s="12"/>
      <c r="O99" s="12"/>
      <c r="P99" s="12"/>
      <c r="Q99" s="4"/>
      <c r="R99" s="4"/>
      <c r="S99" s="4"/>
      <c r="V99" s="4"/>
      <c r="W99" s="4"/>
    </row>
    <row r="100" spans="1:24" s="34" customFormat="1" ht="15.75">
      <c r="A100" s="101" t="str">
        <f>"TOCANTINS/"&amp;ONSV_AUX_2014!A1&amp;""</f>
        <v>TOCANTINS/2014</v>
      </c>
      <c r="B100" s="102"/>
      <c r="C100" s="102"/>
      <c r="D100" s="102"/>
      <c r="E100" s="102"/>
      <c r="F100" s="102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</row>
    <row r="101" spans="1:24"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>
      <c r="H102" s="23" t="s">
        <v>118</v>
      </c>
      <c r="N102" s="26"/>
      <c r="O102" s="26"/>
      <c r="P102" s="9"/>
      <c r="Q102" s="26"/>
      <c r="R102" s="26"/>
      <c r="S102" s="26"/>
      <c r="T102" s="25"/>
      <c r="U102" s="25"/>
      <c r="V102" s="25"/>
      <c r="W102" s="25"/>
      <c r="X102" s="25"/>
    </row>
    <row r="103" spans="1:24" ht="15.75">
      <c r="J103" s="9"/>
      <c r="M103" s="25"/>
      <c r="N103" s="9"/>
      <c r="O103" s="9"/>
      <c r="P103" s="9"/>
      <c r="Q103" s="11"/>
      <c r="R103" s="11"/>
      <c r="S103" s="11"/>
    </row>
    <row r="104" spans="1:24" ht="15.75">
      <c r="H104" s="36" t="s">
        <v>81</v>
      </c>
      <c r="I104" s="60">
        <f>ONSV_AUX_2014!AB27</f>
        <v>10720</v>
      </c>
      <c r="J104" s="9"/>
      <c r="K104" s="104" t="s">
        <v>119</v>
      </c>
      <c r="L104" s="104"/>
      <c r="M104" s="9"/>
      <c r="N104" s="26" t="s">
        <v>120</v>
      </c>
      <c r="O104" s="26"/>
      <c r="Q104" s="26" t="s">
        <v>121</v>
      </c>
      <c r="R104" s="26"/>
      <c r="S104" s="26"/>
      <c r="T104" s="25" t="s">
        <v>122</v>
      </c>
      <c r="U104" s="25"/>
      <c r="V104" s="25"/>
      <c r="W104" s="25"/>
      <c r="X104" s="25"/>
    </row>
    <row r="105" spans="1:24" ht="15.75">
      <c r="H105" s="36" t="s">
        <v>84</v>
      </c>
      <c r="I105" s="60">
        <f>ONSV_AUX_2014!AB28</f>
        <v>161198</v>
      </c>
      <c r="J105" s="9"/>
      <c r="K105" s="9"/>
      <c r="L105" s="9"/>
      <c r="M105" s="9"/>
      <c r="N105" s="9"/>
      <c r="O105" s="9"/>
      <c r="P105" s="20"/>
      <c r="Q105" s="11"/>
      <c r="R105" s="11"/>
      <c r="S105" s="11"/>
    </row>
    <row r="106" spans="1:24" ht="15.75">
      <c r="H106" s="36" t="s">
        <v>85</v>
      </c>
      <c r="I106" s="60">
        <f>ONSV_AUX_2014!AB29</f>
        <v>59143</v>
      </c>
      <c r="J106" s="9"/>
      <c r="K106" s="2" t="s">
        <v>123</v>
      </c>
      <c r="L106" s="60">
        <f>I113+I116+I117+I122</f>
        <v>226110</v>
      </c>
      <c r="N106" s="28" t="s">
        <v>124</v>
      </c>
      <c r="O106" s="60">
        <f>J113+J122</f>
        <v>167679.9086904604</v>
      </c>
      <c r="P106" s="64"/>
      <c r="Q106" s="65" t="s">
        <v>125</v>
      </c>
      <c r="R106" s="60">
        <f>J116+J117</f>
        <v>58411.09130953961</v>
      </c>
      <c r="S106" s="66"/>
      <c r="T106" s="65" t="s">
        <v>126</v>
      </c>
      <c r="U106" s="67">
        <f>O110</f>
        <v>2222.439538683554</v>
      </c>
      <c r="V106" s="48"/>
      <c r="W106" s="65" t="s">
        <v>127</v>
      </c>
      <c r="X106" s="68">
        <f>R112</f>
        <v>4079.8854252259653</v>
      </c>
    </row>
    <row r="107" spans="1:24" ht="15.75">
      <c r="H107" s="36" t="s">
        <v>101</v>
      </c>
      <c r="I107" s="60">
        <f>ONSV_AUX_2014!AB30</f>
        <v>19</v>
      </c>
      <c r="J107" s="9"/>
      <c r="K107" s="27"/>
      <c r="L107" s="62"/>
      <c r="M107" s="20"/>
      <c r="N107" s="28" t="s">
        <v>128</v>
      </c>
      <c r="O107" s="69">
        <f>J113/O106</f>
        <v>0.98621298317172934</v>
      </c>
      <c r="P107" s="64"/>
      <c r="Q107" s="70" t="s">
        <v>129</v>
      </c>
      <c r="R107" s="63">
        <f>J116/R106</f>
        <v>0.85444056422897829</v>
      </c>
      <c r="S107" s="71"/>
      <c r="T107" s="65" t="s">
        <v>130</v>
      </c>
      <c r="U107" s="67">
        <f>I122-J122</f>
        <v>0.19427712175502165</v>
      </c>
      <c r="V107" s="48"/>
      <c r="W107" s="65" t="s">
        <v>131</v>
      </c>
      <c r="X107" s="68">
        <f>I117-J117</f>
        <v>0.71450621378971846</v>
      </c>
    </row>
    <row r="108" spans="1:24" ht="15.75">
      <c r="H108" s="36" t="s">
        <v>16</v>
      </c>
      <c r="I108" s="60">
        <f>ONSV_AUX_2014!AB31</f>
        <v>215</v>
      </c>
      <c r="J108" s="9"/>
      <c r="K108" s="2" t="s">
        <v>132</v>
      </c>
      <c r="L108" s="63">
        <f>I113/L106</f>
        <v>0.73142275883419572</v>
      </c>
      <c r="M108" s="20"/>
      <c r="N108" s="28" t="s">
        <v>133</v>
      </c>
      <c r="O108" s="69">
        <f>J122/O106</f>
        <v>1.3787016828270538E-2</v>
      </c>
      <c r="P108" s="64"/>
      <c r="Q108" s="70" t="s">
        <v>134</v>
      </c>
      <c r="R108" s="63">
        <f>J117/R106</f>
        <v>0.14555943577102162</v>
      </c>
      <c r="S108" s="71"/>
      <c r="T108" s="65" t="s">
        <v>135</v>
      </c>
      <c r="U108" s="72">
        <f>O112</f>
        <v>89.366184194690959</v>
      </c>
      <c r="V108" s="73"/>
      <c r="W108" s="65" t="s">
        <v>136</v>
      </c>
      <c r="X108" s="72">
        <f>R115</f>
        <v>4422.400068560245</v>
      </c>
    </row>
    <row r="109" spans="1:24" ht="15.75">
      <c r="H109" s="36" t="s">
        <v>94</v>
      </c>
      <c r="I109" s="60">
        <f>ONSV_AUX_2014!AB32</f>
        <v>294944</v>
      </c>
      <c r="J109" s="10"/>
      <c r="K109" s="2" t="s">
        <v>2</v>
      </c>
      <c r="L109" s="63">
        <f>I116/L106</f>
        <v>0.22074653929503338</v>
      </c>
      <c r="M109" s="20"/>
      <c r="N109" s="20"/>
      <c r="O109" s="74"/>
      <c r="P109" s="48"/>
      <c r="Q109" s="48"/>
      <c r="R109" s="48"/>
      <c r="S109" s="48"/>
      <c r="T109" s="48"/>
      <c r="U109" s="62"/>
      <c r="V109" s="75"/>
      <c r="W109" s="48"/>
      <c r="X109" s="62"/>
    </row>
    <row r="110" spans="1:24" ht="15.75">
      <c r="K110" s="2" t="s">
        <v>3</v>
      </c>
      <c r="L110" s="63">
        <f>I117/L106</f>
        <v>3.7605590199460442E-2</v>
      </c>
      <c r="M110" s="20"/>
      <c r="N110" s="28" t="s">
        <v>137</v>
      </c>
      <c r="O110" s="60">
        <f>IF(O108*I105&gt;J122,J122,O108*I105)</f>
        <v>2222.439538683554</v>
      </c>
      <c r="P110" s="76"/>
      <c r="Q110" s="65" t="s">
        <v>138</v>
      </c>
      <c r="R110" s="60">
        <f>I106-I114-I115-I118-I121</f>
        <v>28029</v>
      </c>
      <c r="S110" s="77"/>
      <c r="T110" s="65" t="s">
        <v>139</v>
      </c>
      <c r="U110" s="67">
        <f>O118</f>
        <v>154433.10296758215</v>
      </c>
      <c r="V110" s="76"/>
      <c r="W110" s="65" t="s">
        <v>140</v>
      </c>
      <c r="X110" s="67">
        <f>I114</f>
        <v>20998</v>
      </c>
    </row>
    <row r="111" spans="1:24" ht="15.75">
      <c r="H111" s="24" t="s">
        <v>141</v>
      </c>
      <c r="K111" s="2" t="s">
        <v>0</v>
      </c>
      <c r="L111" s="63">
        <f>I122/L106</f>
        <v>1.0225111671310424E-2</v>
      </c>
      <c r="O111" s="48"/>
      <c r="P111" s="76"/>
      <c r="Q111" s="65" t="s">
        <v>142</v>
      </c>
      <c r="R111" s="60">
        <f>R107*R110</f>
        <v>23949.114574774034</v>
      </c>
      <c r="S111" s="48"/>
      <c r="T111" s="65" t="s">
        <v>143</v>
      </c>
      <c r="U111" s="67">
        <f>O116</f>
        <v>10720</v>
      </c>
      <c r="V111" s="66"/>
      <c r="W111" s="65" t="s">
        <v>144</v>
      </c>
      <c r="X111" s="67">
        <f>I115</f>
        <v>3886</v>
      </c>
    </row>
    <row r="112" spans="1:24" ht="15.75">
      <c r="K112" s="11"/>
      <c r="L112" s="11"/>
      <c r="M112" s="11"/>
      <c r="N112" s="28" t="s">
        <v>145</v>
      </c>
      <c r="O112" s="60">
        <f>J122-O110</f>
        <v>89.366184194690959</v>
      </c>
      <c r="P112" s="76"/>
      <c r="Q112" s="65" t="s">
        <v>127</v>
      </c>
      <c r="R112" s="60">
        <f>R108*R110</f>
        <v>4079.8854252259653</v>
      </c>
      <c r="S112" s="48"/>
      <c r="T112" s="65" t="s">
        <v>146</v>
      </c>
      <c r="U112" s="67">
        <f>O117</f>
        <v>215</v>
      </c>
      <c r="V112" s="71"/>
      <c r="W112" s="48"/>
      <c r="X112" s="62"/>
    </row>
    <row r="113" spans="8:24" ht="15.75">
      <c r="H113" s="37" t="s">
        <v>103</v>
      </c>
      <c r="I113" s="60">
        <f>ONSV_AUX_2014!AB56</f>
        <v>165382</v>
      </c>
      <c r="J113" s="61">
        <f>I113-(L108*I107)</f>
        <v>165368.10296758215</v>
      </c>
      <c r="K113" s="11"/>
      <c r="L113" s="11"/>
      <c r="M113" s="11"/>
      <c r="O113" s="76"/>
      <c r="P113" s="76"/>
      <c r="Q113" s="48"/>
      <c r="R113" s="78"/>
      <c r="S113" s="48"/>
      <c r="T113" s="65" t="s">
        <v>147</v>
      </c>
      <c r="U113" s="68">
        <f>I113-J113</f>
        <v>13.897032417851733</v>
      </c>
      <c r="V113" s="71"/>
      <c r="W113" s="65" t="s">
        <v>148</v>
      </c>
      <c r="X113" s="67">
        <f>I121</f>
        <v>4742</v>
      </c>
    </row>
    <row r="114" spans="8:24" ht="15.75">
      <c r="H114" s="37" t="s">
        <v>104</v>
      </c>
      <c r="I114" s="60">
        <f>ONSV_AUX_2014!AB57</f>
        <v>20998</v>
      </c>
      <c r="J114" s="10">
        <f>I114</f>
        <v>20998</v>
      </c>
      <c r="K114" s="11"/>
      <c r="L114" s="11"/>
      <c r="M114" s="11"/>
      <c r="N114" s="26" t="s">
        <v>149</v>
      </c>
      <c r="O114" s="76"/>
      <c r="P114" s="76"/>
      <c r="Q114" s="65" t="s">
        <v>150</v>
      </c>
      <c r="R114" s="60">
        <f>J116-R111</f>
        <v>25959.691240979362</v>
      </c>
      <c r="S114" s="48"/>
      <c r="T114" s="65" t="s">
        <v>151</v>
      </c>
      <c r="U114" s="72">
        <f>O119</f>
        <v>0</v>
      </c>
      <c r="V114" s="48"/>
      <c r="W114" s="65" t="s">
        <v>152</v>
      </c>
      <c r="X114" s="67">
        <f>I118</f>
        <v>1488</v>
      </c>
    </row>
    <row r="115" spans="8:24" ht="15.75">
      <c r="H115" s="37" t="s">
        <v>105</v>
      </c>
      <c r="I115" s="60">
        <f>ONSV_AUX_2014!AB58</f>
        <v>3886</v>
      </c>
      <c r="J115" s="10">
        <f>I115</f>
        <v>3886</v>
      </c>
      <c r="K115" s="11"/>
      <c r="L115" s="11"/>
      <c r="M115" s="11"/>
      <c r="O115" s="73"/>
      <c r="P115" s="76"/>
      <c r="Q115" s="65" t="s">
        <v>136</v>
      </c>
      <c r="R115" s="60">
        <f>J117-R112</f>
        <v>4422.400068560245</v>
      </c>
      <c r="S115" s="48"/>
      <c r="T115" s="48"/>
      <c r="U115" s="62"/>
      <c r="V115" s="77"/>
      <c r="W115" s="48"/>
      <c r="X115" s="62"/>
    </row>
    <row r="116" spans="8:24" ht="15.75">
      <c r="H116" s="37" t="s">
        <v>106</v>
      </c>
      <c r="I116" s="60">
        <f>ONSV_AUX_2014!AB59</f>
        <v>49913</v>
      </c>
      <c r="J116" s="61">
        <f>I116-(L109*I107)</f>
        <v>49908.805815753396</v>
      </c>
      <c r="K116" s="11"/>
      <c r="L116" s="11"/>
      <c r="M116" s="11"/>
      <c r="N116" s="28" t="s">
        <v>143</v>
      </c>
      <c r="O116" s="60">
        <f>I104</f>
        <v>10720</v>
      </c>
      <c r="P116" s="76"/>
      <c r="Q116" s="48"/>
      <c r="R116" s="48"/>
      <c r="S116" s="77"/>
      <c r="T116" s="65" t="s">
        <v>142</v>
      </c>
      <c r="U116" s="68">
        <f>R111</f>
        <v>23949.114574774034</v>
      </c>
      <c r="V116" s="48"/>
      <c r="W116" s="65" t="s">
        <v>153</v>
      </c>
      <c r="X116" s="67">
        <f>I119</f>
        <v>190224</v>
      </c>
    </row>
    <row r="117" spans="8:24" ht="15.75">
      <c r="H117" s="37" t="s">
        <v>107</v>
      </c>
      <c r="I117" s="60">
        <f>ONSV_AUX_2014!AB60</f>
        <v>8503</v>
      </c>
      <c r="J117" s="61">
        <f>I117-(L110*I107)</f>
        <v>8502.2854937862103</v>
      </c>
      <c r="K117" s="11"/>
      <c r="L117" s="11"/>
      <c r="M117" s="11"/>
      <c r="N117" s="28" t="s">
        <v>146</v>
      </c>
      <c r="O117" s="60">
        <f>I108</f>
        <v>215</v>
      </c>
      <c r="P117" s="76"/>
      <c r="Q117" s="48"/>
      <c r="R117" s="48"/>
      <c r="S117" s="48"/>
      <c r="T117" s="65" t="s">
        <v>154</v>
      </c>
      <c r="U117" s="68">
        <f>I116-J116</f>
        <v>4.1941842466039816</v>
      </c>
      <c r="V117" s="48"/>
      <c r="W117" s="65" t="s">
        <v>155</v>
      </c>
      <c r="X117" s="67">
        <f>I120</f>
        <v>76764</v>
      </c>
    </row>
    <row r="118" spans="8:24" ht="15.75">
      <c r="H118" s="37" t="s">
        <v>108</v>
      </c>
      <c r="I118" s="60">
        <f>ONSV_AUX_2014!AB61</f>
        <v>1488</v>
      </c>
      <c r="J118" s="10">
        <f>I118</f>
        <v>1488</v>
      </c>
      <c r="K118" s="11"/>
      <c r="L118" s="11"/>
      <c r="M118" s="11"/>
      <c r="N118" s="28" t="s">
        <v>139</v>
      </c>
      <c r="O118" s="60">
        <f>IF(OR((O107*I105&gt;J113),((O116+O117+(O107*I105))&gt;J113)),(J113-O116-O117),(O107*I105))</f>
        <v>154433.10296758215</v>
      </c>
      <c r="P118" s="76"/>
      <c r="Q118" s="48"/>
      <c r="R118" s="78"/>
      <c r="S118" s="48"/>
      <c r="T118" s="65" t="s">
        <v>150</v>
      </c>
      <c r="U118" s="72">
        <f>R114</f>
        <v>25959.691240979362</v>
      </c>
      <c r="V118" s="48"/>
      <c r="W118" s="48"/>
      <c r="X118" s="48"/>
    </row>
    <row r="119" spans="8:24" ht="15.75">
      <c r="H119" s="37" t="s">
        <v>109</v>
      </c>
      <c r="I119" s="60">
        <f>ONSV_AUX_2014!AB62</f>
        <v>190224</v>
      </c>
      <c r="J119" s="10">
        <f>I119</f>
        <v>190224</v>
      </c>
      <c r="K119" s="11"/>
      <c r="L119" s="11"/>
      <c r="M119" s="11"/>
      <c r="N119" s="28" t="s">
        <v>151</v>
      </c>
      <c r="O119" s="60">
        <f>IF((J113-O116-O118-O117)&lt;0,0,(J113-O116-O118-O117))</f>
        <v>0</v>
      </c>
      <c r="P119" s="48"/>
      <c r="Q119" s="48"/>
      <c r="R119" s="48"/>
      <c r="S119" s="48"/>
      <c r="T119" s="48"/>
      <c r="U119" s="62"/>
      <c r="V119" s="48"/>
      <c r="W119" s="48"/>
      <c r="X119" s="48"/>
    </row>
    <row r="120" spans="8:24" ht="15.75">
      <c r="H120" s="37" t="s">
        <v>110</v>
      </c>
      <c r="I120" s="60">
        <f>ONSV_AUX_2014!AB63</f>
        <v>76764</v>
      </c>
      <c r="J120" s="10">
        <f>I120</f>
        <v>76764</v>
      </c>
      <c r="K120" s="11"/>
      <c r="L120" s="11"/>
      <c r="M120" s="11"/>
      <c r="O120" s="48"/>
      <c r="P120" s="76"/>
      <c r="Q120" s="48"/>
      <c r="R120" s="48"/>
      <c r="S120" s="48"/>
      <c r="T120" s="79" t="s">
        <v>156</v>
      </c>
      <c r="U120" s="80">
        <f>(SUM(U106:U118,X106:X117)/SUM(I113:I122))-1</f>
        <v>0</v>
      </c>
      <c r="V120" s="48"/>
      <c r="W120" s="79" t="s">
        <v>10</v>
      </c>
      <c r="X120" s="67">
        <f>SUM(U106:U118,X106:X117)</f>
        <v>524212</v>
      </c>
    </row>
    <row r="121" spans="8:24" ht="15.75">
      <c r="H121" s="37" t="s">
        <v>111</v>
      </c>
      <c r="I121" s="60">
        <f>ONSV_AUX_2014!AB64</f>
        <v>4742</v>
      </c>
      <c r="J121" s="10">
        <f>I121</f>
        <v>4742</v>
      </c>
      <c r="K121" s="11"/>
      <c r="L121" s="11"/>
      <c r="M121" s="11"/>
      <c r="O121" s="48"/>
      <c r="P121" s="76"/>
      <c r="Q121" s="48"/>
      <c r="R121" s="48"/>
      <c r="S121" s="48"/>
      <c r="T121" s="48"/>
      <c r="U121" s="48"/>
      <c r="V121" s="48"/>
      <c r="W121" s="48"/>
      <c r="X121" s="48"/>
    </row>
    <row r="122" spans="8:24" ht="15.75">
      <c r="H122" s="37" t="s">
        <v>112</v>
      </c>
      <c r="I122" s="60">
        <f>ONSV_AUX_2014!AB65</f>
        <v>2312</v>
      </c>
      <c r="J122" s="61">
        <f>I122-(L111*I107)</f>
        <v>2311.805722878245</v>
      </c>
      <c r="K122" s="12"/>
      <c r="L122" s="12"/>
      <c r="M122" s="12"/>
      <c r="N122" s="12"/>
      <c r="O122" s="12"/>
      <c r="P122" s="12"/>
      <c r="Q122" s="4"/>
      <c r="R122" s="4"/>
    </row>
  </sheetData>
  <mergeCells count="14">
    <mergeCell ref="A1:F1"/>
    <mergeCell ref="Q4:R4"/>
    <mergeCell ref="T4:X4"/>
    <mergeCell ref="K5:L5"/>
    <mergeCell ref="A25:F25"/>
    <mergeCell ref="T27:X27"/>
    <mergeCell ref="T52:X52"/>
    <mergeCell ref="K79:L79"/>
    <mergeCell ref="A100:F100"/>
    <mergeCell ref="K104:L104"/>
    <mergeCell ref="K29:L29"/>
    <mergeCell ref="A50:F50"/>
    <mergeCell ref="A75:F75"/>
    <mergeCell ref="K54:L5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59999389629810485"/>
  </sheetPr>
  <dimension ref="A1:AM36"/>
  <sheetViews>
    <sheetView showGridLines="0" workbookViewId="0">
      <pane xSplit="1" topLeftCell="O1" activePane="topRight" state="frozen"/>
      <selection pane="topRight" activeCell="A4" sqref="A4"/>
    </sheetView>
  </sheetViews>
  <sheetFormatPr defaultRowHeight="15"/>
  <cols>
    <col min="1" max="1" width="28.85546875" style="4" customWidth="1"/>
    <col min="2" max="2" width="2.5703125" customWidth="1"/>
    <col min="7" max="7" width="5.5703125" customWidth="1"/>
    <col min="8" max="9" width="10.140625" bestFit="1" customWidth="1"/>
    <col min="12" max="13" width="10.140625" bestFit="1" customWidth="1"/>
    <col min="14" max="14" width="5.140625" customWidth="1"/>
    <col min="15" max="15" width="10.140625" bestFit="1" customWidth="1"/>
    <col min="18" max="18" width="10.140625" bestFit="1" customWidth="1"/>
    <col min="19" max="19" width="5.140625" customWidth="1"/>
    <col min="24" max="24" width="5.140625" customWidth="1"/>
    <col min="25" max="25" width="10.28515625" bestFit="1" customWidth="1"/>
    <col min="26" max="26" width="5.140625" customWidth="1"/>
    <col min="27" max="27" width="17.28515625" bestFit="1" customWidth="1"/>
    <col min="28" max="28" width="5.140625" customWidth="1"/>
    <col min="29" max="29" width="7.5703125" bestFit="1" customWidth="1"/>
    <col min="30" max="30" width="5.140625" customWidth="1"/>
    <col min="31" max="31" width="13.140625" bestFit="1" customWidth="1"/>
    <col min="32" max="32" width="5.140625" customWidth="1"/>
    <col min="33" max="33" width="12" bestFit="1" customWidth="1"/>
    <col min="34" max="34" width="5.140625" customWidth="1"/>
    <col min="35" max="35" width="10" bestFit="1" customWidth="1"/>
    <col min="37" max="37" width="11.140625" bestFit="1" customWidth="1"/>
  </cols>
  <sheetData>
    <row r="1" spans="1:39" ht="15.75">
      <c r="A1" s="23"/>
    </row>
    <row r="2" spans="1:39" ht="15.75" customHeight="1">
      <c r="A2" s="89" t="str">
        <f>"Frota por tipo de veículo e combustível - Junho/"&amp;ONSV_AUX_2015!A1&amp;""</f>
        <v>Frota por tipo de veículo e combustível - Junho/2015</v>
      </c>
      <c r="C2" s="93" t="s">
        <v>0</v>
      </c>
      <c r="D2" s="93"/>
      <c r="E2" s="93"/>
      <c r="F2" s="93"/>
      <c r="H2" s="93" t="s">
        <v>1</v>
      </c>
      <c r="I2" s="93"/>
      <c r="J2" s="93"/>
      <c r="K2" s="93"/>
      <c r="L2" s="93"/>
      <c r="M2" s="93"/>
      <c r="O2" s="94" t="s">
        <v>2</v>
      </c>
      <c r="P2" s="95"/>
      <c r="Q2" s="95"/>
      <c r="R2" s="96"/>
      <c r="T2" s="94" t="s">
        <v>3</v>
      </c>
      <c r="U2" s="95"/>
      <c r="V2" s="95"/>
      <c r="W2" s="96"/>
      <c r="Y2" s="28" t="s">
        <v>4</v>
      </c>
      <c r="AA2" s="28" t="s">
        <v>5</v>
      </c>
      <c r="AC2" s="28" t="s">
        <v>6</v>
      </c>
      <c r="AE2" s="28" t="s">
        <v>7</v>
      </c>
      <c r="AG2" s="28" t="s">
        <v>8</v>
      </c>
      <c r="AI2" s="28" t="s">
        <v>9</v>
      </c>
      <c r="AK2" s="91" t="s">
        <v>10</v>
      </c>
    </row>
    <row r="3" spans="1:39" ht="15.75">
      <c r="A3" s="90"/>
      <c r="C3" s="28" t="s">
        <v>11</v>
      </c>
      <c r="D3" s="28" t="s">
        <v>12</v>
      </c>
      <c r="E3" s="28" t="s">
        <v>13</v>
      </c>
      <c r="F3" s="28" t="s">
        <v>14</v>
      </c>
      <c r="H3" s="28" t="s">
        <v>11</v>
      </c>
      <c r="I3" s="28" t="s">
        <v>15</v>
      </c>
      <c r="J3" s="28" t="s">
        <v>16</v>
      </c>
      <c r="K3" s="28" t="s">
        <v>12</v>
      </c>
      <c r="L3" s="28" t="s">
        <v>13</v>
      </c>
      <c r="M3" s="28" t="s">
        <v>14</v>
      </c>
      <c r="O3" s="28" t="s">
        <v>17</v>
      </c>
      <c r="P3" s="28" t="s">
        <v>12</v>
      </c>
      <c r="Q3" s="28" t="s">
        <v>12</v>
      </c>
      <c r="R3" s="28" t="s">
        <v>14</v>
      </c>
      <c r="T3" s="28" t="s">
        <v>17</v>
      </c>
      <c r="U3" s="28" t="s">
        <v>12</v>
      </c>
      <c r="V3" s="28" t="s">
        <v>13</v>
      </c>
      <c r="W3" s="28" t="s">
        <v>14</v>
      </c>
      <c r="Y3" s="28" t="s">
        <v>17</v>
      </c>
      <c r="AA3" s="28" t="s">
        <v>17</v>
      </c>
      <c r="AC3" s="28" t="s">
        <v>17</v>
      </c>
      <c r="AE3" s="28" t="s">
        <v>17</v>
      </c>
      <c r="AG3" s="28" t="s">
        <v>13</v>
      </c>
      <c r="AI3" s="28" t="s">
        <v>13</v>
      </c>
      <c r="AK3" s="92"/>
      <c r="AM3" t="s">
        <v>18</v>
      </c>
    </row>
    <row r="4" spans="1:39">
      <c r="A4" s="42" t="s">
        <v>19</v>
      </c>
      <c r="C4" s="46">
        <f>SUM(C5,C13,C32,C28,C23)</f>
        <v>363459.68172192585</v>
      </c>
      <c r="D4" s="46">
        <f>SUM(D5,D13,D32,D28,D23)</f>
        <v>47.860970521287868</v>
      </c>
      <c r="E4" s="46">
        <f t="shared" ref="E4" si="0">SUM(E5,E13,E32,E28,E23)</f>
        <v>232077.45730755286</v>
      </c>
      <c r="F4" s="46">
        <f>SUM(F5,F13,F32,F28,F23)</f>
        <v>595585</v>
      </c>
      <c r="H4" s="46">
        <f>SUM(H5,H13,H32,H28,H23)</f>
        <v>28566062.583792254</v>
      </c>
      <c r="I4" s="46">
        <f t="shared" ref="I4:L4" si="1">SUM(I5,I13,I32,I28,I23)</f>
        <v>4156489</v>
      </c>
      <c r="J4" s="46">
        <f t="shared" si="1"/>
        <v>1820706</v>
      </c>
      <c r="K4" s="46">
        <f t="shared" ref="K4" si="2">SUM(K5,K13,K32,K28,K23)</f>
        <v>3882.9156821526485</v>
      </c>
      <c r="L4" s="46">
        <f t="shared" si="1"/>
        <v>14283528.50052559</v>
      </c>
      <c r="M4" s="46">
        <f>SUM(M5,M13,M32,M28,M23)</f>
        <v>48830669</v>
      </c>
      <c r="O4" s="46">
        <f>SUM(O5,O13,O32,O28,O23)</f>
        <v>1807485.9031286601</v>
      </c>
      <c r="P4" s="46">
        <f t="shared" ref="P4" si="3">SUM(P5,P13,P32,P28,P23)</f>
        <v>527.96841198686525</v>
      </c>
      <c r="Q4" s="46">
        <f t="shared" ref="Q4:R4" si="4">SUM(Q5,Q13,Q32,Q28,Q23)</f>
        <v>4610690.128459353</v>
      </c>
      <c r="R4" s="46">
        <f t="shared" si="4"/>
        <v>6418704</v>
      </c>
      <c r="T4" s="46">
        <f>SUM(T5,T13,T32,T28,T23)</f>
        <v>716837.09687133995</v>
      </c>
      <c r="U4" s="46">
        <f t="shared" ref="U4" si="5">SUM(U5,U13,U32,U28,U23)</f>
        <v>227.25493533880854</v>
      </c>
      <c r="V4" s="46">
        <f t="shared" ref="V4:W4" si="6">SUM(V5,V13,V32,V28,V23)</f>
        <v>2090745.6481933212</v>
      </c>
      <c r="W4" s="46">
        <f t="shared" si="6"/>
        <v>2807810</v>
      </c>
      <c r="Y4" s="46">
        <f>SUM(Y5,Y13,Y32,Y28,Y23)</f>
        <v>2614581</v>
      </c>
      <c r="AA4" s="46">
        <f>SUM(AA5,AA13,AA32,AA28,AA23)</f>
        <v>585295</v>
      </c>
      <c r="AC4" s="46">
        <f>SUM(AC5,AC13,AC32,AC28,AC23)</f>
        <v>582789</v>
      </c>
      <c r="AE4" s="46">
        <f>SUM(AE5,AE13,AE32,AE28,AE23)</f>
        <v>368081</v>
      </c>
      <c r="AG4" s="46">
        <f>SUM(AG5,AG13,AG32,AG28,AG23)</f>
        <v>19683105</v>
      </c>
      <c r="AI4" s="46">
        <f>SUM(AI5,AI13,AI32,AI28,AI23)</f>
        <v>3718564</v>
      </c>
      <c r="AK4" s="46">
        <f t="shared" ref="AK4:AK36" si="7">SUM(F4,M4,R4,W4,Y4,AA4,AC4,AE4,AG4,AI4)</f>
        <v>86205183</v>
      </c>
    </row>
    <row r="5" spans="1:39">
      <c r="A5" s="42" t="s">
        <v>20</v>
      </c>
      <c r="C5" s="46">
        <f>SUM(C6:C12)</f>
        <v>23082.931135883082</v>
      </c>
      <c r="D5" s="46">
        <f>SUM(D6:D12)</f>
        <v>2.7343066741190114</v>
      </c>
      <c r="E5" s="46">
        <f t="shared" ref="E5:AE5" si="8">SUM(E6:E12)</f>
        <v>692.33455744279718</v>
      </c>
      <c r="F5" s="46">
        <f>SUM(C5:E5)</f>
        <v>23778</v>
      </c>
      <c r="H5" s="46">
        <f t="shared" si="8"/>
        <v>1386621.4597112774</v>
      </c>
      <c r="I5" s="46">
        <f t="shared" si="8"/>
        <v>67514</v>
      </c>
      <c r="J5" s="46">
        <f t="shared" si="8"/>
        <v>2404</v>
      </c>
      <c r="K5" s="46">
        <f t="shared" ref="K5" si="9">SUM(K6:K12)</f>
        <v>172.23287234808231</v>
      </c>
      <c r="L5" s="46">
        <f t="shared" si="8"/>
        <v>29926.307416374621</v>
      </c>
      <c r="M5" s="46">
        <f>SUM(H5:L5)</f>
        <v>1486638</v>
      </c>
      <c r="O5" s="46">
        <f t="shared" si="8"/>
        <v>159784.19512755188</v>
      </c>
      <c r="P5" s="46">
        <f t="shared" si="8"/>
        <v>45.096809131526243</v>
      </c>
      <c r="Q5" s="46">
        <f t="shared" si="8"/>
        <v>228845.70806331659</v>
      </c>
      <c r="R5" s="46">
        <f t="shared" ref="R5:R36" si="10">SUM(O5:Q5)</f>
        <v>388675</v>
      </c>
      <c r="T5" s="46">
        <f t="shared" si="8"/>
        <v>36744.804872448127</v>
      </c>
      <c r="U5" s="46">
        <f t="shared" ref="U5" si="11">SUM(U6:U12)</f>
        <v>10.936011846289148</v>
      </c>
      <c r="V5" s="46">
        <f t="shared" si="8"/>
        <v>55905.259115705587</v>
      </c>
      <c r="W5" s="46">
        <f>SUM(T5:V5)</f>
        <v>92661</v>
      </c>
      <c r="Y5" s="46">
        <f t="shared" ref="Y5" si="12">SUM(Y6:Y12)</f>
        <v>140710</v>
      </c>
      <c r="AA5" s="46">
        <f t="shared" si="8"/>
        <v>21345</v>
      </c>
      <c r="AC5" s="46">
        <f t="shared" si="8"/>
        <v>38619</v>
      </c>
      <c r="AE5" s="46">
        <f t="shared" si="8"/>
        <v>13906</v>
      </c>
      <c r="AG5" s="46">
        <f>SUM(AG6:AG12)</f>
        <v>1692398</v>
      </c>
      <c r="AI5" s="46">
        <f>SUM(AI6:AI12)</f>
        <v>439841</v>
      </c>
      <c r="AK5" s="46">
        <f t="shared" si="7"/>
        <v>4338571</v>
      </c>
    </row>
    <row r="6" spans="1:39">
      <c r="A6" s="43" t="s">
        <v>21</v>
      </c>
      <c r="C6" s="45">
        <f>AC!$U81</f>
        <v>981.86552022439503</v>
      </c>
      <c r="D6" s="45">
        <f>AC!$U82</f>
        <v>0.14717810896650008</v>
      </c>
      <c r="E6" s="45">
        <f>AC!$U$83</f>
        <v>21.987301666638473</v>
      </c>
      <c r="F6" s="46">
        <f>SUM(C6:E6)</f>
        <v>1004</v>
      </c>
      <c r="H6" s="45">
        <f>AC!$U$85</f>
        <v>71662.96310774493</v>
      </c>
      <c r="I6" s="45">
        <f>AC!$U$86</f>
        <v>3603</v>
      </c>
      <c r="J6" s="45">
        <f>AC!$U$87</f>
        <v>13</v>
      </c>
      <c r="K6" s="45">
        <f>AC!$U$88</f>
        <v>11.036892255069688</v>
      </c>
      <c r="L6" s="45">
        <f>AC!$U$89</f>
        <v>0</v>
      </c>
      <c r="M6" s="46">
        <f>SUM(H6:L6)</f>
        <v>75290</v>
      </c>
      <c r="O6" s="45">
        <f>AC!$U$91</f>
        <v>11532.876070838616</v>
      </c>
      <c r="P6" s="45">
        <f>AC!$U$92</f>
        <v>3.2524309797227033</v>
      </c>
      <c r="Q6" s="45">
        <f>AC!$U$93</f>
        <v>10650.871498181661</v>
      </c>
      <c r="R6" s="46">
        <f t="shared" si="10"/>
        <v>22187</v>
      </c>
      <c r="T6" s="45">
        <f>AC!$X$81</f>
        <v>1998.1239291613847</v>
      </c>
      <c r="U6" s="45">
        <f>AC!$X$82</f>
        <v>0.56349865624224549</v>
      </c>
      <c r="V6" s="45">
        <f>AC!$X$83</f>
        <v>1845.3125721823731</v>
      </c>
      <c r="W6" s="46">
        <f>SUM(T6:V6)</f>
        <v>3844</v>
      </c>
      <c r="Y6" s="45">
        <f>AC!$X$85</f>
        <v>6735</v>
      </c>
      <c r="AA6" s="45">
        <f>AC!$X$86</f>
        <v>702</v>
      </c>
      <c r="AC6" s="45">
        <f>AC!$X$88</f>
        <v>1026</v>
      </c>
      <c r="AE6" s="45">
        <f>AC!$X$89</f>
        <v>330</v>
      </c>
      <c r="AG6" s="45">
        <f>AC!$X$91</f>
        <v>96921</v>
      </c>
      <c r="AI6" s="45">
        <f>AC!$X$92</f>
        <v>20092</v>
      </c>
      <c r="AK6" s="45">
        <f t="shared" si="7"/>
        <v>228131</v>
      </c>
      <c r="AM6" t="str">
        <f>IF((AK6=AC!$X$95),"ok","erro")</f>
        <v>ok</v>
      </c>
    </row>
    <row r="7" spans="1:39">
      <c r="A7" s="43" t="s">
        <v>22</v>
      </c>
      <c r="C7" s="45">
        <f>AP!$U81</f>
        <v>782.90093414587864</v>
      </c>
      <c r="D7" s="45">
        <f>AP!$U82</f>
        <v>9.9065854121363373E-2</v>
      </c>
      <c r="E7" s="45">
        <f>AP!$U$83</f>
        <v>0</v>
      </c>
      <c r="F7" s="46">
        <f t="shared" ref="F7:F36" si="13">SUM(C7:E7)</f>
        <v>783</v>
      </c>
      <c r="H7" s="45">
        <f>AP!$U$85</f>
        <v>69956.966029141971</v>
      </c>
      <c r="I7" s="45">
        <f>AP!$U$86</f>
        <v>1431</v>
      </c>
      <c r="J7" s="45">
        <f>AP!$U$87</f>
        <v>6</v>
      </c>
      <c r="K7" s="45">
        <f>AP!$U$88</f>
        <v>9.0339708580286242</v>
      </c>
      <c r="L7" s="45">
        <f>AP!$U$89</f>
        <v>0</v>
      </c>
      <c r="M7" s="46">
        <f t="shared" ref="M7:M36" si="14">SUM(H7:L7)</f>
        <v>71403</v>
      </c>
      <c r="O7" s="45">
        <f>AP!$U91</f>
        <v>5565.9796999117389</v>
      </c>
      <c r="P7" s="45">
        <f>AP!$U92</f>
        <v>2.3570841153014044</v>
      </c>
      <c r="Q7" s="45">
        <f>AP!$U93</f>
        <v>13061.66321597296</v>
      </c>
      <c r="R7" s="46">
        <f t="shared" si="10"/>
        <v>18630</v>
      </c>
      <c r="T7" s="45">
        <f>AP!$X$81</f>
        <v>1204.0203000882611</v>
      </c>
      <c r="U7" s="45">
        <f>AP!$X$82</f>
        <v>0.50987917255361026</v>
      </c>
      <c r="V7" s="45">
        <f>AP!$X$83</f>
        <v>2825.4698207391853</v>
      </c>
      <c r="W7" s="46">
        <f t="shared" ref="W7:W36" si="15">SUM(T7:V7)</f>
        <v>4030</v>
      </c>
      <c r="Y7" s="45">
        <f>AP!$X$85</f>
        <v>3977</v>
      </c>
      <c r="AA7" s="45">
        <f>AP!$X$86</f>
        <v>290</v>
      </c>
      <c r="AC7" s="45">
        <f>AP!$X$88</f>
        <v>1100</v>
      </c>
      <c r="AE7" s="45">
        <f>AP!$X$89</f>
        <v>449</v>
      </c>
      <c r="AG7" s="45">
        <f>AP!$X$91</f>
        <v>55588</v>
      </c>
      <c r="AI7" s="45">
        <f>AP!$X$92</f>
        <v>10655</v>
      </c>
      <c r="AK7" s="45">
        <f t="shared" si="7"/>
        <v>166905</v>
      </c>
      <c r="AM7" t="str">
        <f>IF((AK7=AP!$X$95),"ok","erro")</f>
        <v>ok</v>
      </c>
    </row>
    <row r="8" spans="1:39">
      <c r="A8" s="43" t="s">
        <v>23</v>
      </c>
      <c r="C8" s="45">
        <f>AM!$U$81</f>
        <v>4142.8317924697049</v>
      </c>
      <c r="D8" s="45">
        <f>AM!$U$82</f>
        <v>0.63181023698780336</v>
      </c>
      <c r="E8" s="45">
        <f>AM!$U$83</f>
        <v>650.53639729330735</v>
      </c>
      <c r="F8" s="46">
        <f t="shared" si="13"/>
        <v>4794</v>
      </c>
      <c r="H8" s="45">
        <f>AM!$U$85</f>
        <v>305064.16820753028</v>
      </c>
      <c r="I8" s="45">
        <f>AM!$U$86</f>
        <v>16210</v>
      </c>
      <c r="J8" s="45">
        <f>AM!$U$87</f>
        <v>1767</v>
      </c>
      <c r="K8" s="45">
        <f>AM!$U$88</f>
        <v>46.524376095097978</v>
      </c>
      <c r="L8" s="45">
        <f>AM!$U$89</f>
        <v>29926.307416374621</v>
      </c>
      <c r="M8" s="46">
        <f>SUM(H8:L8)</f>
        <v>353014</v>
      </c>
      <c r="O8" s="45">
        <f>AM!$U$91</f>
        <v>20402.328722523154</v>
      </c>
      <c r="P8" s="45">
        <f>AM!$U$92</f>
        <v>10.37412903936638</v>
      </c>
      <c r="Q8" s="45">
        <f>AM!$U$93</f>
        <v>58303.297148437479</v>
      </c>
      <c r="R8" s="46">
        <f t="shared" si="10"/>
        <v>78716</v>
      </c>
      <c r="T8" s="45">
        <f>AM!$X$81</f>
        <v>6823.6712774768421</v>
      </c>
      <c r="U8" s="45">
        <f>AM!$X$82</f>
        <v>3.4696846285296488</v>
      </c>
      <c r="V8" s="45">
        <f>AM!$X$83</f>
        <v>19499.859037894628</v>
      </c>
      <c r="W8" s="46">
        <f>SUM(T8:V8)</f>
        <v>26327</v>
      </c>
      <c r="Y8" s="45">
        <f>AM!$X$85</f>
        <v>19833</v>
      </c>
      <c r="AA8" s="45">
        <f>AM!$X$86</f>
        <v>2947</v>
      </c>
      <c r="AC8" s="45">
        <f>AM!$X$88</f>
        <v>8833</v>
      </c>
      <c r="AE8" s="45">
        <f>AM!$X$89</f>
        <v>3450</v>
      </c>
      <c r="AG8" s="45">
        <f>AM!$X$91</f>
        <v>213904</v>
      </c>
      <c r="AI8" s="45">
        <f>AM!$X$92</f>
        <v>48308</v>
      </c>
      <c r="AK8" s="45">
        <f t="shared" si="7"/>
        <v>760126</v>
      </c>
      <c r="AM8" t="str">
        <f>IF((AK8=AM!$X$95),"ok","erro")</f>
        <v>ok</v>
      </c>
    </row>
    <row r="9" spans="1:39">
      <c r="A9" s="43" t="s">
        <v>24</v>
      </c>
      <c r="C9" s="45">
        <f>PA!$U$81</f>
        <v>10917.846273245708</v>
      </c>
      <c r="D9" s="45">
        <f>PA!$U$82</f>
        <v>1.1537267542917107</v>
      </c>
      <c r="E9" s="45">
        <f>PA!$U$83</f>
        <v>0</v>
      </c>
      <c r="F9" s="46">
        <f>SUM(C9:E9)</f>
        <v>10919</v>
      </c>
      <c r="H9" s="45">
        <f>PA!$U$85</f>
        <v>484686.24546247348</v>
      </c>
      <c r="I9" s="45">
        <f>PA!$U$86</f>
        <v>23733</v>
      </c>
      <c r="J9" s="45">
        <f>PA!$U$87</f>
        <v>266</v>
      </c>
      <c r="K9" s="45">
        <f>PA!$U$88</f>
        <v>53.754537526518106</v>
      </c>
      <c r="L9" s="45">
        <f>PA!$U$89</f>
        <v>0</v>
      </c>
      <c r="M9" s="46">
        <f t="shared" si="14"/>
        <v>508739</v>
      </c>
      <c r="O9" s="45">
        <f>PA!$U$91</f>
        <v>55275.960904566171</v>
      </c>
      <c r="P9" s="45">
        <f>PA!$U$92</f>
        <v>12.460756125437911</v>
      </c>
      <c r="Q9" s="45">
        <f>PA!$U$93</f>
        <v>62641.578339308391</v>
      </c>
      <c r="R9" s="46">
        <f t="shared" si="10"/>
        <v>117930</v>
      </c>
      <c r="T9" s="45">
        <f>PA!$X$81</f>
        <v>16107.039095433833</v>
      </c>
      <c r="U9" s="45">
        <f>PA!$X$82</f>
        <v>3.630979593777738</v>
      </c>
      <c r="V9" s="45">
        <f>PA!$X$83</f>
        <v>18253.32992497239</v>
      </c>
      <c r="W9" s="46">
        <f t="shared" si="15"/>
        <v>34364</v>
      </c>
      <c r="Y9" s="45">
        <f>PA!$X$85</f>
        <v>55204</v>
      </c>
      <c r="AA9" s="45">
        <f>PA!$X$86</f>
        <v>6854</v>
      </c>
      <c r="AC9" s="45">
        <f>PA!$X$88</f>
        <v>16449</v>
      </c>
      <c r="AE9" s="45">
        <f>PA!$X$89</f>
        <v>6335</v>
      </c>
      <c r="AG9" s="45">
        <f>PA!$X$91</f>
        <v>703448</v>
      </c>
      <c r="AI9" s="45">
        <f>PA!$X$92</f>
        <v>155783</v>
      </c>
      <c r="AK9" s="45">
        <f t="shared" si="7"/>
        <v>1616025</v>
      </c>
      <c r="AM9" t="str">
        <f>IF((AK9=PA!$X$95),"ok","erro")</f>
        <v>ok</v>
      </c>
    </row>
    <row r="10" spans="1:39">
      <c r="A10" s="43" t="s">
        <v>25</v>
      </c>
      <c r="C10" s="45">
        <f>RO!$U$81</f>
        <v>2639.7409208839604</v>
      </c>
      <c r="D10" s="45">
        <f>RO!$U$82</f>
        <v>0.2590791160396293</v>
      </c>
      <c r="E10" s="45">
        <f>RO!$U$83</f>
        <v>0</v>
      </c>
      <c r="F10" s="46">
        <f t="shared" si="13"/>
        <v>2640</v>
      </c>
      <c r="H10" s="45">
        <f>RO!$U$85</f>
        <v>227139.68945467036</v>
      </c>
      <c r="I10" s="45">
        <f>RO!$U$86</f>
        <v>10283</v>
      </c>
      <c r="J10" s="45">
        <f>RO!$U$87</f>
        <v>87</v>
      </c>
      <c r="K10" s="45">
        <f>RO!$U$88</f>
        <v>23.31054532964481</v>
      </c>
      <c r="L10" s="45">
        <f>RO!$U$89</f>
        <v>0</v>
      </c>
      <c r="M10" s="46">
        <f t="shared" si="14"/>
        <v>237533</v>
      </c>
      <c r="O10" s="45">
        <f>RO!$U$91</f>
        <v>33478.87557185263</v>
      </c>
      <c r="P10" s="45">
        <f>RO!$U$92</f>
        <v>7.3958255386678502</v>
      </c>
      <c r="Q10" s="45">
        <f>RO!$U$93</f>
        <v>41876.728602608702</v>
      </c>
      <c r="R10" s="46">
        <f t="shared" si="10"/>
        <v>75363</v>
      </c>
      <c r="T10" s="45">
        <f>RO!$X$81</f>
        <v>4683.1244281473719</v>
      </c>
      <c r="U10" s="45">
        <f>RO!$X$82</f>
        <v>1.0345500156399794</v>
      </c>
      <c r="V10" s="45">
        <f>RO!$X$83</f>
        <v>5857.8410218369881</v>
      </c>
      <c r="W10" s="46">
        <f t="shared" si="15"/>
        <v>10542</v>
      </c>
      <c r="Y10" s="45">
        <f>RO!$X$85</f>
        <v>28740</v>
      </c>
      <c r="AA10" s="45">
        <f>RO!$X$86</f>
        <v>5652</v>
      </c>
      <c r="AC10" s="45">
        <f>RO!$X$88</f>
        <v>5244</v>
      </c>
      <c r="AE10" s="45">
        <f>RO!$X$89</f>
        <v>1127</v>
      </c>
      <c r="AG10" s="45">
        <f>RO!$X$91</f>
        <v>348644</v>
      </c>
      <c r="AI10" s="45">
        <f>RO!$X$92</f>
        <v>104481</v>
      </c>
      <c r="AK10" s="45">
        <f t="shared" si="7"/>
        <v>819966</v>
      </c>
      <c r="AM10" t="str">
        <f>IF((AK10=RO!$X$95),"ok","erro")</f>
        <v>ok</v>
      </c>
    </row>
    <row r="11" spans="1:39">
      <c r="A11" s="43" t="s">
        <v>26</v>
      </c>
      <c r="C11" s="45">
        <f>RR!$U$81</f>
        <v>982.9699393270821</v>
      </c>
      <c r="D11" s="45">
        <f>RR!$U$82</f>
        <v>0.21920219006653952</v>
      </c>
      <c r="E11" s="45">
        <f>RR!$U$83</f>
        <v>19.810858482851359</v>
      </c>
      <c r="F11" s="46">
        <f t="shared" si="13"/>
        <v>1003</v>
      </c>
      <c r="H11" s="45">
        <f>RR!$U$85</f>
        <v>59156.747555729373</v>
      </c>
      <c r="I11" s="45">
        <f>RR!$U$86</f>
        <v>1435</v>
      </c>
      <c r="J11" s="45">
        <f>RR!$U$87</f>
        <v>34</v>
      </c>
      <c r="K11" s="45">
        <f>RR!$U$88</f>
        <v>13.252444270627166</v>
      </c>
      <c r="L11" s="45">
        <f>RR!$U$89</f>
        <v>0</v>
      </c>
      <c r="M11" s="46">
        <f t="shared" si="14"/>
        <v>60639</v>
      </c>
      <c r="O11" s="45">
        <f>RR!$U$91</f>
        <v>7551.0954301075271</v>
      </c>
      <c r="P11" s="45">
        <f>RR!$U$92</f>
        <v>4.5883848259691149</v>
      </c>
      <c r="Q11" s="45">
        <f>RR!$U$93</f>
        <v>13439.316185066504</v>
      </c>
      <c r="R11" s="46">
        <f t="shared" si="10"/>
        <v>20995</v>
      </c>
      <c r="T11" s="45">
        <f>RR!$X$81</f>
        <v>1546.9045698924731</v>
      </c>
      <c r="U11" s="45">
        <f>RR!$X$82</f>
        <v>0.9399687133363841</v>
      </c>
      <c r="V11" s="45">
        <f>RR!$X$83</f>
        <v>2753.1554613941908</v>
      </c>
      <c r="W11" s="46">
        <f t="shared" si="15"/>
        <v>4301</v>
      </c>
      <c r="Y11" s="45">
        <f>RR!$X$85</f>
        <v>4268</v>
      </c>
      <c r="AA11" s="45">
        <f>RR!$X$86</f>
        <v>535</v>
      </c>
      <c r="AC11" s="45">
        <f>RR!$X$88</f>
        <v>939</v>
      </c>
      <c r="AE11" s="45">
        <f>RR!$X$89</f>
        <v>618</v>
      </c>
      <c r="AG11" s="45">
        <f>RR!$X$91</f>
        <v>71038</v>
      </c>
      <c r="AI11" s="45">
        <f>RR!$X$92</f>
        <v>17835</v>
      </c>
      <c r="AK11" s="45">
        <f t="shared" si="7"/>
        <v>182171</v>
      </c>
      <c r="AM11" t="str">
        <f>IF((AK11=RR!$X$95),"ok","erro")</f>
        <v>ok</v>
      </c>
    </row>
    <row r="12" spans="1:39">
      <c r="A12" s="43" t="s">
        <v>27</v>
      </c>
      <c r="C12" s="45">
        <f>TO!$U$81</f>
        <v>2634.7757555863545</v>
      </c>
      <c r="D12" s="45">
        <f>TO!$U$82</f>
        <v>0.2242444136454651</v>
      </c>
      <c r="E12" s="45">
        <f>TO!$U$83</f>
        <v>0</v>
      </c>
      <c r="F12" s="46">
        <f t="shared" si="13"/>
        <v>2635</v>
      </c>
      <c r="H12" s="45">
        <f>TO!$U$85</f>
        <v>168954.6798939869</v>
      </c>
      <c r="I12" s="45">
        <f>TO!$U$86</f>
        <v>10819</v>
      </c>
      <c r="J12" s="45">
        <f>TO!$U$87</f>
        <v>231</v>
      </c>
      <c r="K12" s="45">
        <f>TO!$U$88</f>
        <v>15.320106013095938</v>
      </c>
      <c r="L12" s="45">
        <f>TO!$U$89</f>
        <v>0</v>
      </c>
      <c r="M12" s="46">
        <f t="shared" si="14"/>
        <v>180020</v>
      </c>
      <c r="O12" s="45">
        <f>TO!$U$91</f>
        <v>25977.078727752039</v>
      </c>
      <c r="P12" s="45">
        <f>TO!$U$92</f>
        <v>4.6681985070608789</v>
      </c>
      <c r="Q12" s="45">
        <f>TO!$U$93</f>
        <v>28872.2530737409</v>
      </c>
      <c r="R12" s="46">
        <f t="shared" si="10"/>
        <v>54854</v>
      </c>
      <c r="T12" s="45">
        <f>TO!$X$81</f>
        <v>4381.9212722479597</v>
      </c>
      <c r="U12" s="45">
        <f>TO!$X$82</f>
        <v>0.78745106620954175</v>
      </c>
      <c r="V12" s="45">
        <f>TO!$X$83</f>
        <v>4870.2912766858308</v>
      </c>
      <c r="W12" s="46">
        <f t="shared" si="15"/>
        <v>9253</v>
      </c>
      <c r="Y12" s="45">
        <f>TO!$X$85</f>
        <v>21953</v>
      </c>
      <c r="AA12" s="45">
        <f>TO!$X$86</f>
        <v>4365</v>
      </c>
      <c r="AC12" s="45">
        <f>TO!$X$88</f>
        <v>5028</v>
      </c>
      <c r="AE12" s="45">
        <f>TO!$X$89</f>
        <v>1597</v>
      </c>
      <c r="AG12" s="45">
        <f>TO!$X$91</f>
        <v>202855</v>
      </c>
      <c r="AI12" s="45">
        <f>TO!$X$92</f>
        <v>82687</v>
      </c>
      <c r="AK12" s="45">
        <f t="shared" si="7"/>
        <v>565247</v>
      </c>
      <c r="AM12" t="str">
        <f>IF((AK12=TO!$X$95),"ok","erro")</f>
        <v>ok</v>
      </c>
    </row>
    <row r="13" spans="1:39">
      <c r="A13" s="42" t="s">
        <v>28</v>
      </c>
      <c r="C13" s="46">
        <f>SUM(C14:C22)</f>
        <v>83945.782241108187</v>
      </c>
      <c r="D13" s="46">
        <f>SUM(D14:D22)</f>
        <v>5.6202904701667649</v>
      </c>
      <c r="E13" s="46">
        <f t="shared" ref="E13:AI13" si="16">SUM(E14:E22)</f>
        <v>13161.597468421656</v>
      </c>
      <c r="F13" s="46">
        <f t="shared" si="13"/>
        <v>97113</v>
      </c>
      <c r="H13" s="46">
        <f>SUM(H14:H22)</f>
        <v>5010699.5730182584</v>
      </c>
      <c r="I13" s="46">
        <f>SUM(I14:I22)</f>
        <v>387571</v>
      </c>
      <c r="J13" s="46">
        <f t="shared" si="16"/>
        <v>236886</v>
      </c>
      <c r="K13" s="46">
        <f t="shared" ref="K13" si="17">SUM(K14:K22)</f>
        <v>369.70646269619465</v>
      </c>
      <c r="L13" s="46">
        <f t="shared" si="16"/>
        <v>229489.72051904543</v>
      </c>
      <c r="M13" s="46">
        <f t="shared" si="14"/>
        <v>5865016</v>
      </c>
      <c r="O13" s="46">
        <f t="shared" si="16"/>
        <v>377674.49153073743</v>
      </c>
      <c r="P13" s="46">
        <f t="shared" si="16"/>
        <v>68.120265581041167</v>
      </c>
      <c r="Q13" s="46">
        <f t="shared" si="16"/>
        <v>620651.38820368156</v>
      </c>
      <c r="R13" s="46">
        <f t="shared" si="10"/>
        <v>998394</v>
      </c>
      <c r="T13" s="46">
        <f t="shared" si="16"/>
        <v>124645.50846926254</v>
      </c>
      <c r="U13" s="46">
        <f t="shared" ref="U13" si="18">SUM(U14:U22)</f>
        <v>21.552981252691097</v>
      </c>
      <c r="V13" s="46">
        <f t="shared" si="16"/>
        <v>210116.93854948477</v>
      </c>
      <c r="W13" s="46">
        <f t="shared" si="15"/>
        <v>334784</v>
      </c>
      <c r="Y13" s="46">
        <f t="shared" ref="Y13" si="19">SUM(Y14:Y22)</f>
        <v>424284</v>
      </c>
      <c r="AA13" s="46">
        <f t="shared" si="16"/>
        <v>52794</v>
      </c>
      <c r="AC13" s="46">
        <f t="shared" si="16"/>
        <v>110342</v>
      </c>
      <c r="AE13" s="46">
        <f t="shared" si="16"/>
        <v>78259</v>
      </c>
      <c r="AG13" s="46">
        <f t="shared" ref="AG13" si="20">SUM(AG14:AG22)</f>
        <v>5575744</v>
      </c>
      <c r="AI13" s="46">
        <f t="shared" si="16"/>
        <v>774927</v>
      </c>
      <c r="AK13" s="46">
        <f t="shared" si="7"/>
        <v>14311657</v>
      </c>
    </row>
    <row r="14" spans="1:39">
      <c r="A14" s="43" t="s">
        <v>29</v>
      </c>
      <c r="C14" s="45">
        <f>AL!$U$81</f>
        <v>3921.8671647825599</v>
      </c>
      <c r="D14" s="45">
        <f>AL!$U$82</f>
        <v>3.604392426495906E-2</v>
      </c>
      <c r="E14" s="45">
        <f>AL!$U$83</f>
        <v>565.0967912931751</v>
      </c>
      <c r="F14" s="46">
        <f t="shared" si="13"/>
        <v>4487</v>
      </c>
      <c r="H14" s="45">
        <f>AL!$U$85</f>
        <v>262325.55253158964</v>
      </c>
      <c r="I14" s="45">
        <f>AL!$U$86</f>
        <v>23931</v>
      </c>
      <c r="J14" s="45">
        <f>AL!$U$87</f>
        <v>18419</v>
      </c>
      <c r="K14" s="45">
        <f>AL!$U$88</f>
        <v>2.4474684103624895</v>
      </c>
      <c r="L14" s="45">
        <f>AL!$U$89</f>
        <v>0</v>
      </c>
      <c r="M14" s="46">
        <f t="shared" si="14"/>
        <v>304678</v>
      </c>
      <c r="O14" s="45">
        <f>AL!$U$91</f>
        <v>16275.487619758616</v>
      </c>
      <c r="P14" s="45">
        <f>AL!$U$92</f>
        <v>0.37388642990845256</v>
      </c>
      <c r="Q14" s="45">
        <f>AL!$U$93</f>
        <v>30268.138493811475</v>
      </c>
      <c r="R14" s="46">
        <f t="shared" si="10"/>
        <v>46544</v>
      </c>
      <c r="T14" s="45">
        <f>AL!$X$81</f>
        <v>6207.5123802413837</v>
      </c>
      <c r="U14" s="45">
        <f>AL!$X$82</f>
        <v>0.14260123547137482</v>
      </c>
      <c r="V14" s="45">
        <f>AL!$X$83</f>
        <v>11544.345018523145</v>
      </c>
      <c r="W14" s="46">
        <f t="shared" si="15"/>
        <v>17752</v>
      </c>
      <c r="Y14" s="45">
        <f>AL!$X$85</f>
        <v>20113</v>
      </c>
      <c r="AA14" s="45">
        <f>AL!$X$86</f>
        <v>2190</v>
      </c>
      <c r="AC14" s="45">
        <f>AL!$X$88</f>
        <v>6653</v>
      </c>
      <c r="AE14" s="45">
        <f>AL!$X$89</f>
        <v>5970</v>
      </c>
      <c r="AG14" s="45">
        <f>AL!$X$91</f>
        <v>233125</v>
      </c>
      <c r="AI14" s="45">
        <f>AL!$X$92</f>
        <v>33861</v>
      </c>
      <c r="AK14" s="45">
        <f t="shared" si="7"/>
        <v>675373</v>
      </c>
      <c r="AM14" t="str">
        <f>IF((AK14=AL!$X$95),"ok","erro")</f>
        <v>ok</v>
      </c>
    </row>
    <row r="15" spans="1:39">
      <c r="A15" s="43" t="s">
        <v>30</v>
      </c>
      <c r="C15" s="45">
        <f>BA!$U$81</f>
        <v>17401.433622877434</v>
      </c>
      <c r="D15" s="45">
        <f>BA!$U$82</f>
        <v>1.733185761673667</v>
      </c>
      <c r="E15" s="45">
        <f>BA!$U$83</f>
        <v>3931.8331913608927</v>
      </c>
      <c r="F15" s="46">
        <f t="shared" si="13"/>
        <v>21335</v>
      </c>
      <c r="H15" s="45">
        <f>BA!$U$85</f>
        <v>1282616.5663771224</v>
      </c>
      <c r="I15" s="45">
        <f>BA!$U$86</f>
        <v>97542</v>
      </c>
      <c r="J15" s="45">
        <f>BA!$U$87</f>
        <v>48098</v>
      </c>
      <c r="K15" s="45">
        <f>BA!$U$88</f>
        <v>127.74882913148031</v>
      </c>
      <c r="L15" s="45">
        <f>BA!$U$89</f>
        <v>144165.6847937461</v>
      </c>
      <c r="M15" s="46">
        <f t="shared" si="14"/>
        <v>1572550</v>
      </c>
      <c r="O15" s="45">
        <f>BA!$U$91</f>
        <v>86267.340478945916</v>
      </c>
      <c r="P15" s="45">
        <f>BA!$U$92</f>
        <v>23.867596734780818</v>
      </c>
      <c r="Q15" s="45">
        <f>BA!$U$93</f>
        <v>207511.79192431929</v>
      </c>
      <c r="R15" s="46">
        <f t="shared" si="10"/>
        <v>293803</v>
      </c>
      <c r="T15" s="45">
        <f>BA!$X$81</f>
        <v>27651.65952105408</v>
      </c>
      <c r="U15" s="45">
        <f>BA!$X$82</f>
        <v>7.6503883721452439</v>
      </c>
      <c r="V15" s="45">
        <f>BA!$X$83</f>
        <v>66514.690090573771</v>
      </c>
      <c r="W15" s="46">
        <f t="shared" si="15"/>
        <v>94174</v>
      </c>
      <c r="Y15" s="45">
        <f>BA!$X$85</f>
        <v>112107</v>
      </c>
      <c r="AA15" s="45">
        <f>BA!$X$86</f>
        <v>19377</v>
      </c>
      <c r="AC15" s="45">
        <f>BA!$X$88</f>
        <v>36889</v>
      </c>
      <c r="AE15" s="45">
        <f>BA!$X$89</f>
        <v>25798</v>
      </c>
      <c r="AG15" s="45">
        <f>BA!$X$91</f>
        <v>1123873</v>
      </c>
      <c r="AI15" s="45">
        <f>BA!$X$92</f>
        <v>160721</v>
      </c>
      <c r="AK15" s="45">
        <f t="shared" si="7"/>
        <v>3460627</v>
      </c>
      <c r="AM15" t="str">
        <f>IF((AK15=BA!$X$95),"ok","erro")</f>
        <v>ok</v>
      </c>
    </row>
    <row r="16" spans="1:39">
      <c r="A16" s="43" t="s">
        <v>31</v>
      </c>
      <c r="C16" s="45">
        <f>CE!$U$81</f>
        <v>21998.96284902747</v>
      </c>
      <c r="D16" s="45">
        <f>CE!$U$82</f>
        <v>0.68794105319466325</v>
      </c>
      <c r="E16" s="45">
        <f>CE!$U$83</f>
        <v>2104.3492099193354</v>
      </c>
      <c r="F16" s="46">
        <f t="shared" si="13"/>
        <v>24104</v>
      </c>
      <c r="H16" s="45">
        <f>CE!$U$85</f>
        <v>885000.89002761093</v>
      </c>
      <c r="I16" s="45">
        <f>CE!$U$86</f>
        <v>62673</v>
      </c>
      <c r="J16" s="45">
        <f>CE!$U$87</f>
        <v>37212</v>
      </c>
      <c r="K16" s="45">
        <f>CE!$U$88</f>
        <v>28.109972389065661</v>
      </c>
      <c r="L16" s="45">
        <f>CE!$U$89</f>
        <v>0</v>
      </c>
      <c r="M16" s="46">
        <f t="shared" si="14"/>
        <v>984914</v>
      </c>
      <c r="O16" s="45">
        <f>CE!$U$91</f>
        <v>77644.13413219947</v>
      </c>
      <c r="P16" s="45">
        <f>CE!$U$92</f>
        <v>4.7006260977941565</v>
      </c>
      <c r="Q16" s="45">
        <f>CE!$U$93</f>
        <v>87051.165241702736</v>
      </c>
      <c r="R16" s="46">
        <f t="shared" si="10"/>
        <v>164700</v>
      </c>
      <c r="T16" s="45">
        <f>CE!$X$81</f>
        <v>24800.865867800545</v>
      </c>
      <c r="U16" s="45">
        <f>CE!$X$82</f>
        <v>1.5014604599418817</v>
      </c>
      <c r="V16" s="45">
        <f>CE!$X$83</f>
        <v>27805.632671739513</v>
      </c>
      <c r="W16" s="46">
        <f t="shared" si="15"/>
        <v>52608</v>
      </c>
      <c r="Y16" s="45">
        <f>CE!$X$85</f>
        <v>66570</v>
      </c>
      <c r="AA16" s="45">
        <f>CE!$X$86</f>
        <v>7379</v>
      </c>
      <c r="AC16" s="45">
        <f>CE!$X$88</f>
        <v>15471</v>
      </c>
      <c r="AE16" s="45">
        <f>CE!$X$89</f>
        <v>10755</v>
      </c>
      <c r="AG16" s="45">
        <f>CE!$X$91</f>
        <v>1179546</v>
      </c>
      <c r="AI16" s="45">
        <f>CE!$X$92</f>
        <v>137020</v>
      </c>
      <c r="AK16" s="45">
        <f t="shared" si="7"/>
        <v>2643067</v>
      </c>
      <c r="AM16" t="str">
        <f>IF((AK16=CE!$X$95),"ok","erro")</f>
        <v>ok</v>
      </c>
    </row>
    <row r="17" spans="1:39">
      <c r="A17" s="43" t="s">
        <v>32</v>
      </c>
      <c r="C17" s="45">
        <f>MA!$U$81</f>
        <v>7135.7928502248151</v>
      </c>
      <c r="D17" s="45">
        <f>MA!$U$82</f>
        <v>1.2071497751849165</v>
      </c>
      <c r="E17" s="45">
        <f>MA!$U$83</f>
        <v>0</v>
      </c>
      <c r="F17" s="46">
        <f t="shared" si="13"/>
        <v>7137</v>
      </c>
      <c r="H17" s="45">
        <f>MA!$U$85</f>
        <v>358923.93509265431</v>
      </c>
      <c r="I17" s="45">
        <f>MA!$U$86</f>
        <v>13673</v>
      </c>
      <c r="J17" s="45">
        <f>MA!$U$87</f>
        <v>197</v>
      </c>
      <c r="K17" s="45">
        <f>MA!$U$88</f>
        <v>63.064907345687971</v>
      </c>
      <c r="L17" s="45">
        <f>MA!$U$89</f>
        <v>0</v>
      </c>
      <c r="M17" s="46">
        <f t="shared" si="14"/>
        <v>372857</v>
      </c>
      <c r="O17" s="45">
        <f>MA!$U$91</f>
        <v>43110.634044085498</v>
      </c>
      <c r="P17" s="45">
        <f>MA!$U$92</f>
        <v>16.357665953197284</v>
      </c>
      <c r="Q17" s="45">
        <f>MA!$U$93</f>
        <v>53584.008289961304</v>
      </c>
      <c r="R17" s="46">
        <f t="shared" si="10"/>
        <v>96711</v>
      </c>
      <c r="T17" s="45">
        <f>MA!$X$81</f>
        <v>8882.3659559145053</v>
      </c>
      <c r="U17" s="45">
        <f>MA!$X$82</f>
        <v>3.3702769259252818</v>
      </c>
      <c r="V17" s="45">
        <f>MA!$X$83</f>
        <v>11040.263767159569</v>
      </c>
      <c r="W17" s="46">
        <f t="shared" si="15"/>
        <v>19926</v>
      </c>
      <c r="Y17" s="45">
        <f>MA!$X$85</f>
        <v>36603</v>
      </c>
      <c r="AA17" s="45">
        <f>MA!$X$86</f>
        <v>3626</v>
      </c>
      <c r="AC17" s="45">
        <f>MA!$X$88</f>
        <v>7768</v>
      </c>
      <c r="AE17" s="45">
        <f>MA!$X$89</f>
        <v>4373</v>
      </c>
      <c r="AG17" s="45">
        <f>MA!$X$91</f>
        <v>705318</v>
      </c>
      <c r="AI17" s="45">
        <f>MA!$X$92</f>
        <v>127226</v>
      </c>
      <c r="AK17" s="45">
        <f t="shared" si="7"/>
        <v>1381545</v>
      </c>
      <c r="AM17" t="str">
        <f>IF((AK17=MA!$X$95),"ok","erro")</f>
        <v>ok</v>
      </c>
    </row>
    <row r="18" spans="1:39">
      <c r="A18" s="43" t="s">
        <v>33</v>
      </c>
      <c r="C18" s="45">
        <f>PB!$U$81</f>
        <v>6056.8289109583975</v>
      </c>
      <c r="D18" s="45">
        <f>PB!$U$82</f>
        <v>6.3760105324035976E-2</v>
      </c>
      <c r="E18" s="45">
        <f>PB!$U$83</f>
        <v>975.10732893627846</v>
      </c>
      <c r="F18" s="46">
        <f t="shared" si="13"/>
        <v>7032</v>
      </c>
      <c r="H18" s="45">
        <f>PB!$U$85</f>
        <v>389251.17108904163</v>
      </c>
      <c r="I18" s="45">
        <f>PB!$U$86</f>
        <v>29213</v>
      </c>
      <c r="J18" s="45">
        <f>PB!$U$87</f>
        <v>21759</v>
      </c>
      <c r="K18" s="45">
        <f>PB!$U$88</f>
        <v>4.09763855492929</v>
      </c>
      <c r="L18" s="45">
        <f>PB!$U$89</f>
        <v>11694.731272403442</v>
      </c>
      <c r="M18" s="46">
        <f t="shared" si="14"/>
        <v>451922</v>
      </c>
      <c r="O18" s="45">
        <f>PB!$U$91</f>
        <v>26595.981294870686</v>
      </c>
      <c r="P18" s="45">
        <f>PB!$U$92</f>
        <v>0.6292048846516991</v>
      </c>
      <c r="Q18" s="45">
        <f>PB!$U$93</f>
        <v>42797.389500244666</v>
      </c>
      <c r="R18" s="46">
        <f t="shared" si="10"/>
        <v>69394</v>
      </c>
      <c r="T18" s="45">
        <f>PB!$X$81</f>
        <v>8851.0187051293142</v>
      </c>
      <c r="U18" s="45">
        <f>PB!$X$82</f>
        <v>0.20939645511316485</v>
      </c>
      <c r="V18" s="45">
        <f>PB!$X$83</f>
        <v>14242.771898415573</v>
      </c>
      <c r="W18" s="46">
        <f t="shared" si="15"/>
        <v>23094</v>
      </c>
      <c r="Y18" s="45">
        <f>PB!$X$85</f>
        <v>27484</v>
      </c>
      <c r="AA18" s="45">
        <f>PB!$X$86</f>
        <v>2579</v>
      </c>
      <c r="AC18" s="45">
        <f>PB!$X$88</f>
        <v>6877</v>
      </c>
      <c r="AE18" s="45">
        <f>PB!$X$89</f>
        <v>4302</v>
      </c>
      <c r="AG18" s="45">
        <f>PB!$X$91</f>
        <v>411683</v>
      </c>
      <c r="AI18" s="45">
        <f>PB!$X$92</f>
        <v>57572</v>
      </c>
      <c r="AK18" s="45">
        <f t="shared" si="7"/>
        <v>1061939</v>
      </c>
      <c r="AM18" t="str">
        <f>IF((AK18=PB!$X$95),"ok","erro")</f>
        <v>ok</v>
      </c>
    </row>
    <row r="19" spans="1:39">
      <c r="A19" s="43" t="s">
        <v>34</v>
      </c>
      <c r="C19" s="45">
        <f>PE!$U$81</f>
        <v>11199.255168791271</v>
      </c>
      <c r="D19" s="45">
        <f>PE!$U$82</f>
        <v>1.0292801041050552</v>
      </c>
      <c r="E19" s="45">
        <f>PE!$U$83</f>
        <v>1614.715551104624</v>
      </c>
      <c r="F19" s="46">
        <f t="shared" si="13"/>
        <v>12815</v>
      </c>
      <c r="H19" s="45">
        <f>PE!$U$85</f>
        <v>978739.74483120884</v>
      </c>
      <c r="I19" s="45">
        <f>PE!$U$86</f>
        <v>93907</v>
      </c>
      <c r="J19" s="45">
        <f>PE!$U$87</f>
        <v>44996</v>
      </c>
      <c r="K19" s="45">
        <f>PE!$U$88</f>
        <v>89.952173717552796</v>
      </c>
      <c r="L19" s="45">
        <f>PE!$U$89</f>
        <v>2212.3029950736091</v>
      </c>
      <c r="M19" s="46">
        <f t="shared" si="14"/>
        <v>1119945</v>
      </c>
      <c r="O19" s="45">
        <f>PE!$U$91</f>
        <v>54560.627790977051</v>
      </c>
      <c r="P19" s="45">
        <f>PE!$U$92</f>
        <v>11.913947324414039</v>
      </c>
      <c r="Q19" s="45">
        <f>PE!$U$93</f>
        <v>93761.458261698543</v>
      </c>
      <c r="R19" s="46">
        <f t="shared" si="10"/>
        <v>148334</v>
      </c>
      <c r="T19" s="45">
        <f>PE!$X$81</f>
        <v>27956.372209022949</v>
      </c>
      <c r="U19" s="45">
        <f>PE!$X$82</f>
        <v>6.104598853882635</v>
      </c>
      <c r="V19" s="45">
        <f>PE!$X$83</f>
        <v>48042.523192123168</v>
      </c>
      <c r="W19" s="46">
        <f t="shared" si="15"/>
        <v>76005</v>
      </c>
      <c r="Y19" s="45">
        <f>PE!$X$85</f>
        <v>85587</v>
      </c>
      <c r="AA19" s="45">
        <f>PE!$X$86</f>
        <v>10370</v>
      </c>
      <c r="AC19" s="45">
        <f>PE!$X$88</f>
        <v>18160</v>
      </c>
      <c r="AE19" s="45">
        <f>PE!$X$89</f>
        <v>16068</v>
      </c>
      <c r="AG19" s="45">
        <f>PE!$X$91</f>
        <v>860288</v>
      </c>
      <c r="AI19" s="45">
        <f>PE!$X$92</f>
        <v>86982</v>
      </c>
      <c r="AK19" s="45">
        <f t="shared" si="7"/>
        <v>2434554</v>
      </c>
      <c r="AM19" t="str">
        <f>IF((AK19=PE!$X$95),"ok","erro")</f>
        <v>ok</v>
      </c>
    </row>
    <row r="20" spans="1:39">
      <c r="A20" s="43" t="s">
        <v>35</v>
      </c>
      <c r="C20" s="45">
        <f>PI!$U$81</f>
        <v>4623.5393069888414</v>
      </c>
      <c r="D20" s="45">
        <f>PI!$U$82</f>
        <v>0.46069301115858252</v>
      </c>
      <c r="E20" s="45">
        <f>PI!$U$83</f>
        <v>0</v>
      </c>
      <c r="F20" s="46">
        <f t="shared" si="13"/>
        <v>4624</v>
      </c>
      <c r="H20" s="45">
        <f>PI!$U$85</f>
        <v>274051.81543648796</v>
      </c>
      <c r="I20" s="45">
        <f>PI!$U$86</f>
        <v>18238</v>
      </c>
      <c r="J20" s="45">
        <f>PI!$U$87</f>
        <v>608</v>
      </c>
      <c r="K20" s="45">
        <f>PI!$U$88</f>
        <v>29.184563512040768</v>
      </c>
      <c r="L20" s="45">
        <f>PI!$U$89</f>
        <v>0</v>
      </c>
      <c r="M20" s="46">
        <f t="shared" si="14"/>
        <v>292927</v>
      </c>
      <c r="O20" s="45">
        <f>PI!$U$91</f>
        <v>33358.483346649657</v>
      </c>
      <c r="P20" s="45">
        <f>PI!$U$92</f>
        <v>6.9364984478597762</v>
      </c>
      <c r="Q20" s="45">
        <f>PI!$U$93</f>
        <v>36256.580154902484</v>
      </c>
      <c r="R20" s="46">
        <f t="shared" si="10"/>
        <v>69622</v>
      </c>
      <c r="T20" s="45">
        <f>PI!$X$81</f>
        <v>6820.516653350347</v>
      </c>
      <c r="U20" s="45">
        <f>PI!$X$82</f>
        <v>1.4182450289445114</v>
      </c>
      <c r="V20" s="45">
        <f>PI!$X$83</f>
        <v>7413.0651016207084</v>
      </c>
      <c r="W20" s="46">
        <f t="shared" si="15"/>
        <v>14235</v>
      </c>
      <c r="Y20" s="45">
        <f>PI!$X$85</f>
        <v>25447</v>
      </c>
      <c r="AA20" s="45">
        <f>PI!$X$86</f>
        <v>2238</v>
      </c>
      <c r="AC20" s="45">
        <f>PI!$X$88</f>
        <v>5976</v>
      </c>
      <c r="AE20" s="45">
        <f>PI!$X$89</f>
        <v>3027</v>
      </c>
      <c r="AG20" s="45">
        <f>PI!$X$91</f>
        <v>470330</v>
      </c>
      <c r="AI20" s="45">
        <f>PI!$X$92</f>
        <v>83117</v>
      </c>
      <c r="AK20" s="45">
        <f t="shared" si="7"/>
        <v>971543</v>
      </c>
      <c r="AM20" t="str">
        <f>IF((AK20=PI!$X$95),"ok","erro")</f>
        <v>ok</v>
      </c>
    </row>
    <row r="21" spans="1:39">
      <c r="A21" s="43" t="s">
        <v>36</v>
      </c>
      <c r="C21" s="45">
        <f>RN!$U$81</f>
        <v>8747.5218873462018</v>
      </c>
      <c r="D21" s="45">
        <f>RN!$U$82</f>
        <v>0.18539037564914906</v>
      </c>
      <c r="E21" s="45">
        <f>RN!$U$83</f>
        <v>3295.2927222781491</v>
      </c>
      <c r="F21" s="46">
        <f t="shared" si="13"/>
        <v>12043</v>
      </c>
      <c r="H21" s="45">
        <f>RN!$U$85</f>
        <v>345166.47811265383</v>
      </c>
      <c r="I21" s="45">
        <f>RN!$U$86</f>
        <v>29983</v>
      </c>
      <c r="J21" s="45">
        <f>RN!$U$87</f>
        <v>45540</v>
      </c>
      <c r="K21" s="45">
        <f>RN!$U$88</f>
        <v>7.3152766992570832</v>
      </c>
      <c r="L21" s="45">
        <f>RN!$U$89</f>
        <v>54505.206610646914</v>
      </c>
      <c r="M21" s="46">
        <f t="shared" si="14"/>
        <v>475202</v>
      </c>
      <c r="O21" s="45">
        <f>RN!$U$91</f>
        <v>27431.325194821195</v>
      </c>
      <c r="P21" s="45">
        <f>RN!$U$92</f>
        <v>1.1265047670167405</v>
      </c>
      <c r="Q21" s="45">
        <f>RN!$U$93</f>
        <v>45745.548300411785</v>
      </c>
      <c r="R21" s="46">
        <f t="shared" si="10"/>
        <v>73178</v>
      </c>
      <c r="T21" s="45">
        <f>RN!$X$81</f>
        <v>9078.6748051788036</v>
      </c>
      <c r="U21" s="45">
        <f>RN!$X$82</f>
        <v>0.37282815808794112</v>
      </c>
      <c r="V21" s="45">
        <f>RN!$X$83</f>
        <v>15139.952366663108</v>
      </c>
      <c r="W21" s="46">
        <f t="shared" si="15"/>
        <v>24219</v>
      </c>
      <c r="Y21" s="45">
        <f>RN!$X$85</f>
        <v>29891</v>
      </c>
      <c r="AA21" s="45">
        <f>RN!$X$86</f>
        <v>2830</v>
      </c>
      <c r="AC21" s="45">
        <f>RN!$X$88</f>
        <v>6246</v>
      </c>
      <c r="AE21" s="45">
        <f>RN!$X$89</f>
        <v>4661</v>
      </c>
      <c r="AG21" s="45">
        <f>RN!$X$91</f>
        <v>378598</v>
      </c>
      <c r="AI21" s="45">
        <f>RN!$X$92</f>
        <v>51462</v>
      </c>
      <c r="AK21" s="45">
        <f t="shared" si="7"/>
        <v>1058330</v>
      </c>
      <c r="AM21" t="str">
        <f>IF((AK21=RN!$X$95),"ok","erro")</f>
        <v>ok</v>
      </c>
    </row>
    <row r="22" spans="1:39">
      <c r="A22" s="43" t="s">
        <v>37</v>
      </c>
      <c r="C22" s="45">
        <f>SE!$U$81</f>
        <v>2860.5804801111881</v>
      </c>
      <c r="D22" s="45">
        <f>SE!$U$82</f>
        <v>0.21684635961173626</v>
      </c>
      <c r="E22" s="45">
        <f>SE!$U$83</f>
        <v>675.20267352920018</v>
      </c>
      <c r="F22" s="46">
        <f t="shared" si="13"/>
        <v>3536</v>
      </c>
      <c r="H22" s="45">
        <f>SE!$U$85</f>
        <v>234623.41951988882</v>
      </c>
      <c r="I22" s="45">
        <f>SE!$U$86</f>
        <v>18411</v>
      </c>
      <c r="J22" s="45">
        <f>SE!$U$87</f>
        <v>20057</v>
      </c>
      <c r="K22" s="45">
        <f>SE!$U$88</f>
        <v>17.785632935818285</v>
      </c>
      <c r="L22" s="45">
        <f>SE!$U$89</f>
        <v>16911.794847175363</v>
      </c>
      <c r="M22" s="46">
        <f t="shared" si="14"/>
        <v>290021</v>
      </c>
      <c r="O22" s="45">
        <f>SE!$U$91</f>
        <v>12430.477628429386</v>
      </c>
      <c r="P22" s="45">
        <f>SE!$U$92</f>
        <v>2.2143349414182012</v>
      </c>
      <c r="Q22" s="45">
        <f>SE!$U$93</f>
        <v>23675.308036629198</v>
      </c>
      <c r="R22" s="46">
        <f t="shared" si="10"/>
        <v>36108</v>
      </c>
      <c r="T22" s="45">
        <f>SE!$X$81</f>
        <v>4396.5223715706124</v>
      </c>
      <c r="U22" s="45">
        <f>SE!$X$82</f>
        <v>0.78318576317906263</v>
      </c>
      <c r="V22" s="45">
        <f>SE!$X$83</f>
        <v>8373.6944426662085</v>
      </c>
      <c r="W22" s="46">
        <f t="shared" si="15"/>
        <v>12771</v>
      </c>
      <c r="Y22" s="45">
        <f>SE!$X$85</f>
        <v>20482</v>
      </c>
      <c r="AA22" s="45">
        <f>SE!$X$86</f>
        <v>2205</v>
      </c>
      <c r="AC22" s="45">
        <f>SE!$X$88</f>
        <v>6302</v>
      </c>
      <c r="AE22" s="45">
        <f>SE!$X$89</f>
        <v>3305</v>
      </c>
      <c r="AG22" s="45">
        <f>SE!$X$91</f>
        <v>212983</v>
      </c>
      <c r="AI22" s="45">
        <f>SE!$X$92</f>
        <v>36966</v>
      </c>
      <c r="AK22" s="45">
        <f t="shared" si="7"/>
        <v>624679</v>
      </c>
      <c r="AM22" t="str">
        <f>IF((AK22=SE!$X$95),"ok","erro")</f>
        <v>ok</v>
      </c>
    </row>
    <row r="23" spans="1:39">
      <c r="A23" s="44" t="s">
        <v>38</v>
      </c>
      <c r="C23" s="46">
        <f>SUM(C24:C27)</f>
        <v>154755.90765767641</v>
      </c>
      <c r="D23" s="46">
        <f>SUM(D24:D27)</f>
        <v>24.677847259050395</v>
      </c>
      <c r="E23" s="46">
        <f t="shared" ref="E23:AI23" si="21">SUM(E24:E27)</f>
        <v>143602.41449506453</v>
      </c>
      <c r="F23" s="46">
        <f t="shared" si="13"/>
        <v>298383</v>
      </c>
      <c r="H23" s="46">
        <f t="shared" si="21"/>
        <v>13992931.092342325</v>
      </c>
      <c r="I23" s="46">
        <f t="shared" si="21"/>
        <v>2633595</v>
      </c>
      <c r="J23" s="46">
        <f t="shared" si="21"/>
        <v>1380145</v>
      </c>
      <c r="K23" s="46">
        <f t="shared" ref="K23" si="22">SUM(K24:K27)</f>
        <v>2177.1502067928668</v>
      </c>
      <c r="L23" s="46">
        <f t="shared" si="21"/>
        <v>8876812.7574508823</v>
      </c>
      <c r="M23" s="46">
        <f t="shared" si="14"/>
        <v>26885661</v>
      </c>
      <c r="O23" s="46">
        <f t="shared" si="21"/>
        <v>603618.86876381095</v>
      </c>
      <c r="P23" s="46">
        <f t="shared" si="21"/>
        <v>232.68279892732971</v>
      </c>
      <c r="Q23" s="46">
        <f t="shared" si="21"/>
        <v>2340595.4484372619</v>
      </c>
      <c r="R23" s="46">
        <f t="shared" si="10"/>
        <v>2944447</v>
      </c>
      <c r="T23" s="46">
        <f t="shared" si="21"/>
        <v>315590.1312361891</v>
      </c>
      <c r="U23" s="46">
        <f t="shared" ref="U23" si="23">SUM(U24:U27)</f>
        <v>132.48914702060574</v>
      </c>
      <c r="V23" s="46">
        <f t="shared" si="21"/>
        <v>1288320.3796167905</v>
      </c>
      <c r="W23" s="46">
        <f t="shared" si="15"/>
        <v>1604043.0000000002</v>
      </c>
      <c r="Y23" s="46">
        <f t="shared" ref="Y23" si="24">SUM(Y24:Y27)</f>
        <v>1186558</v>
      </c>
      <c r="AA23" s="46">
        <f t="shared" si="21"/>
        <v>252756</v>
      </c>
      <c r="AC23" s="46">
        <f t="shared" si="21"/>
        <v>284733</v>
      </c>
      <c r="AE23" s="46">
        <f t="shared" si="21"/>
        <v>203478</v>
      </c>
      <c r="AG23" s="46">
        <f t="shared" ref="AG23" si="25">SUM(AG24:AG27)</f>
        <v>7702259</v>
      </c>
      <c r="AI23" s="46">
        <f t="shared" si="21"/>
        <v>1268476</v>
      </c>
      <c r="AK23" s="46">
        <f t="shared" si="7"/>
        <v>42630794</v>
      </c>
    </row>
    <row r="24" spans="1:39">
      <c r="A24" s="43" t="s">
        <v>39</v>
      </c>
      <c r="C24" s="45">
        <f>ES!$U$81</f>
        <v>9118.5969905907295</v>
      </c>
      <c r="D24" s="45">
        <f>ES!$U$82</f>
        <v>0.80712572156880924</v>
      </c>
      <c r="E24" s="45">
        <f>ES!$U$83</f>
        <v>3930.5958836877016</v>
      </c>
      <c r="F24" s="46">
        <f t="shared" si="13"/>
        <v>13050</v>
      </c>
      <c r="H24" s="45">
        <f>ES!$U$85</f>
        <v>601159.4030094092</v>
      </c>
      <c r="I24" s="45">
        <f>ES!$U$86</f>
        <v>53652</v>
      </c>
      <c r="J24" s="45">
        <f>ES!$U$87</f>
        <v>28234</v>
      </c>
      <c r="K24" s="45">
        <f>ES!$U$88</f>
        <v>53.211170252645388</v>
      </c>
      <c r="L24" s="45">
        <f>ES!$U$89</f>
        <v>177245.38582033815</v>
      </c>
      <c r="M24" s="46">
        <f t="shared" si="14"/>
        <v>860344</v>
      </c>
      <c r="O24" s="45">
        <f>ES!$U$91</f>
        <v>44896.701439146011</v>
      </c>
      <c r="P24" s="45">
        <f>ES!$U$92</f>
        <v>8.8993496513867285</v>
      </c>
      <c r="Q24" s="45">
        <f>ES!$U$93</f>
        <v>98983.399211202603</v>
      </c>
      <c r="R24" s="46">
        <f t="shared" si="10"/>
        <v>143889</v>
      </c>
      <c r="T24" s="45">
        <f>ES!$X$81</f>
        <v>15550.298560853989</v>
      </c>
      <c r="U24" s="45">
        <f>ES!$X$82</f>
        <v>3.0823543743899791</v>
      </c>
      <c r="V24" s="45">
        <f>ES!$X$83</f>
        <v>34283.619084771621</v>
      </c>
      <c r="W24" s="46">
        <f t="shared" si="15"/>
        <v>49837</v>
      </c>
      <c r="Y24" s="45">
        <f>ES!$X$85</f>
        <v>68871</v>
      </c>
      <c r="AA24" s="45">
        <f>ES!$X$86</f>
        <v>17324</v>
      </c>
      <c r="AC24" s="45">
        <f>ES!$X$88</f>
        <v>14690</v>
      </c>
      <c r="AE24" s="45">
        <f>ES!$X$89</f>
        <v>7526</v>
      </c>
      <c r="AG24" s="45">
        <f>ES!$X$91</f>
        <v>401423</v>
      </c>
      <c r="AI24" s="45">
        <f>ES!$X$92</f>
        <v>93224</v>
      </c>
      <c r="AK24" s="45">
        <f t="shared" si="7"/>
        <v>1670178</v>
      </c>
      <c r="AM24" t="str">
        <f>IF((AK24=ES!$X$95),"ok","erro")</f>
        <v>ok</v>
      </c>
    </row>
    <row r="25" spans="1:39">
      <c r="A25" s="43" t="s">
        <v>40</v>
      </c>
      <c r="C25" s="45">
        <f>MG!$U$81</f>
        <v>28706.238169375501</v>
      </c>
      <c r="D25" s="45">
        <f>MG!$U$82</f>
        <v>1.7321246836800128</v>
      </c>
      <c r="E25" s="45">
        <f>MG!$U$83</f>
        <v>18984.029705940819</v>
      </c>
      <c r="F25" s="46">
        <f t="shared" si="13"/>
        <v>47692</v>
      </c>
      <c r="H25" s="45">
        <f>MG!$U$85</f>
        <v>3199107.7618306247</v>
      </c>
      <c r="I25" s="45">
        <f>MG!$U$86</f>
        <v>433168</v>
      </c>
      <c r="J25" s="45">
        <f>MG!$U$87</f>
        <v>32901</v>
      </c>
      <c r="K25" s="45">
        <f>MG!$U$88</f>
        <v>193.03307829145342</v>
      </c>
      <c r="L25" s="45">
        <f>MG!$U$89</f>
        <v>1649567.2050910839</v>
      </c>
      <c r="M25" s="46">
        <f t="shared" si="14"/>
        <v>5314937</v>
      </c>
      <c r="O25" s="45">
        <f>MG!$U$91</f>
        <v>180518.20840291219</v>
      </c>
      <c r="P25" s="45">
        <f>MG!$U$92</f>
        <v>27.637761404621415</v>
      </c>
      <c r="Q25" s="45">
        <f>MG!$U$93</f>
        <v>580427.15383568313</v>
      </c>
      <c r="R25" s="46">
        <f t="shared" si="10"/>
        <v>760973</v>
      </c>
      <c r="T25" s="45">
        <f>MG!$X$81</f>
        <v>62683.791597087824</v>
      </c>
      <c r="U25" s="45">
        <f>MG!$X$82</f>
        <v>9.5970356200123206</v>
      </c>
      <c r="V25" s="45">
        <f>MG!$X$83</f>
        <v>201549.61136729218</v>
      </c>
      <c r="W25" s="46">
        <f t="shared" si="15"/>
        <v>264243</v>
      </c>
      <c r="Y25" s="45">
        <f>MG!$X$85</f>
        <v>315105</v>
      </c>
      <c r="AA25" s="45">
        <f>MG!$X$86</f>
        <v>62065</v>
      </c>
      <c r="AC25" s="45">
        <f>MG!$X$88</f>
        <v>71505</v>
      </c>
      <c r="AE25" s="45">
        <f>MG!$X$89</f>
        <v>42586</v>
      </c>
      <c r="AG25" s="45">
        <f>MG!$X$91</f>
        <v>2262991</v>
      </c>
      <c r="AI25" s="45">
        <f>MG!$X$92</f>
        <v>251192</v>
      </c>
      <c r="AK25" s="45">
        <f t="shared" si="7"/>
        <v>9393289</v>
      </c>
      <c r="AM25" t="str">
        <f>IF((AK25=MG!$X$95),"ok","erro")</f>
        <v>ok</v>
      </c>
    </row>
    <row r="26" spans="1:39">
      <c r="A26" s="43" t="s">
        <v>41</v>
      </c>
      <c r="C26" s="45">
        <f>RJ!$U$81</f>
        <v>20201.746029087433</v>
      </c>
      <c r="D26" s="45">
        <f>RJ!$U$82</f>
        <v>2.1382953126521898</v>
      </c>
      <c r="E26" s="45">
        <f>RJ!$U$83</f>
        <v>27360.115675599915</v>
      </c>
      <c r="F26" s="46">
        <f t="shared" si="13"/>
        <v>47564</v>
      </c>
      <c r="H26" s="45">
        <f>RJ!$U$85</f>
        <v>1749794.2539709127</v>
      </c>
      <c r="I26" s="45">
        <f>RJ!$U$86</f>
        <v>309241</v>
      </c>
      <c r="J26" s="45">
        <f>RJ!$U$87</f>
        <v>1036109</v>
      </c>
      <c r="K26" s="45">
        <f>RJ!$U$88</f>
        <v>185.21056773932651</v>
      </c>
      <c r="L26" s="45">
        <f>RJ!$U$89</f>
        <v>1024473.535461348</v>
      </c>
      <c r="M26" s="46">
        <f t="shared" si="14"/>
        <v>4119803</v>
      </c>
      <c r="O26" s="45">
        <f>RJ!$U$91</f>
        <v>49995.011768705932</v>
      </c>
      <c r="P26" s="45">
        <f>RJ!$U$92</f>
        <v>13.773267034615856</v>
      </c>
      <c r="Q26" s="45">
        <f>RJ!$U$93</f>
        <v>256362.21496425944</v>
      </c>
      <c r="R26" s="46">
        <f t="shared" si="10"/>
        <v>306371</v>
      </c>
      <c r="T26" s="45">
        <f>RJ!$X$81</f>
        <v>43114.988231294068</v>
      </c>
      <c r="U26" s="45">
        <f>RJ!$X$82</f>
        <v>11.877869913296308</v>
      </c>
      <c r="V26" s="45">
        <f>RJ!$X$83</f>
        <v>221083.13389879264</v>
      </c>
      <c r="W26" s="46">
        <f t="shared" si="15"/>
        <v>264210</v>
      </c>
      <c r="Y26" s="45">
        <f>RJ!$X$85</f>
        <v>140576</v>
      </c>
      <c r="AA26" s="45">
        <f>RJ!$X$86</f>
        <v>15535</v>
      </c>
      <c r="AC26" s="45">
        <f>RJ!$X$88</f>
        <v>46330</v>
      </c>
      <c r="AE26" s="45">
        <f>RJ!$X$89</f>
        <v>37952</v>
      </c>
      <c r="AG26" s="45">
        <f>RJ!$X$91</f>
        <v>835428</v>
      </c>
      <c r="AI26" s="45">
        <f>RJ!$X$92</f>
        <v>148119</v>
      </c>
      <c r="AK26" s="45">
        <f t="shared" si="7"/>
        <v>5961888</v>
      </c>
      <c r="AM26" t="str">
        <f>IF((AK26=RJ!$X$95),"ok","erro")</f>
        <v>ok</v>
      </c>
    </row>
    <row r="27" spans="1:39">
      <c r="A27" s="43" t="s">
        <v>42</v>
      </c>
      <c r="C27" s="45">
        <f>SP!$U$81</f>
        <v>96729.326468622749</v>
      </c>
      <c r="D27" s="45">
        <f>SP!$U$82</f>
        <v>20.000301541149383</v>
      </c>
      <c r="E27" s="45">
        <f>SP!$U$83</f>
        <v>93327.673229836102</v>
      </c>
      <c r="F27" s="46">
        <f t="shared" si="13"/>
        <v>190077</v>
      </c>
      <c r="H27" s="45">
        <f>SP!$U$85</f>
        <v>8442869.6735313777</v>
      </c>
      <c r="I27" s="45">
        <f>SP!$U$86</f>
        <v>1837534</v>
      </c>
      <c r="J27" s="45">
        <f>SP!$U$87</f>
        <v>282901</v>
      </c>
      <c r="K27" s="45">
        <f>SP!$U$88</f>
        <v>1745.6953905094415</v>
      </c>
      <c r="L27" s="45">
        <f>SP!$U$89</f>
        <v>6025526.6310781129</v>
      </c>
      <c r="M27" s="46">
        <f t="shared" si="14"/>
        <v>16590577</v>
      </c>
      <c r="O27" s="45">
        <f>SP!$U$91</f>
        <v>328208.94715304679</v>
      </c>
      <c r="P27" s="45">
        <f>SP!$U$92</f>
        <v>182.37242083670571</v>
      </c>
      <c r="Q27" s="45">
        <f>SP!$U$93</f>
        <v>1404822.6804261166</v>
      </c>
      <c r="R27" s="46">
        <f t="shared" si="10"/>
        <v>1733214</v>
      </c>
      <c r="T27" s="45">
        <f>SP!$X$81</f>
        <v>194241.05284695321</v>
      </c>
      <c r="U27" s="45">
        <f>SP!$X$82</f>
        <v>107.93188711290713</v>
      </c>
      <c r="V27" s="45">
        <f>SP!$X$83</f>
        <v>831404.01526593394</v>
      </c>
      <c r="W27" s="46">
        <f t="shared" si="15"/>
        <v>1025753</v>
      </c>
      <c r="Y27" s="45">
        <f>SP!$X$85</f>
        <v>662006</v>
      </c>
      <c r="AA27" s="45">
        <f>SP!$X$86</f>
        <v>157832</v>
      </c>
      <c r="AC27" s="45">
        <f>SP!$X$88</f>
        <v>152208</v>
      </c>
      <c r="AE27" s="45">
        <f>SP!$X$89</f>
        <v>115414</v>
      </c>
      <c r="AG27" s="45">
        <f>SP!$X$91</f>
        <v>4202417</v>
      </c>
      <c r="AI27" s="45">
        <f>SP!$X$92</f>
        <v>775941</v>
      </c>
      <c r="AK27" s="45">
        <f t="shared" si="7"/>
        <v>25605439</v>
      </c>
      <c r="AM27" t="str">
        <f>IF((AK27=SP!$X$95),"ok","erro")</f>
        <v>ok</v>
      </c>
    </row>
    <row r="28" spans="1:39">
      <c r="A28" s="42" t="s">
        <v>43</v>
      </c>
      <c r="C28" s="46">
        <f>SUM(C29:C31)</f>
        <v>60720.79425003934</v>
      </c>
      <c r="D28" s="46">
        <f>SUM(D29:D31)</f>
        <v>8.7606239746892243</v>
      </c>
      <c r="E28" s="46">
        <f t="shared" ref="E28:AI28" si="26">SUM(E29:E31)</f>
        <v>58019.445125985963</v>
      </c>
      <c r="F28" s="46">
        <f t="shared" si="13"/>
        <v>118749</v>
      </c>
      <c r="H28" s="46">
        <f t="shared" si="26"/>
        <v>5327731.2057499606</v>
      </c>
      <c r="I28" s="46">
        <f t="shared" si="26"/>
        <v>749759</v>
      </c>
      <c r="J28" s="46">
        <f t="shared" si="26"/>
        <v>188397</v>
      </c>
      <c r="K28" s="46">
        <f t="shared" ref="K28" si="27">SUM(K29:K31)</f>
        <v>775.95575481187552</v>
      </c>
      <c r="L28" s="46">
        <f t="shared" si="26"/>
        <v>4270123.8384952275</v>
      </c>
      <c r="M28" s="46">
        <f t="shared" si="14"/>
        <v>10536787</v>
      </c>
      <c r="O28" s="46">
        <f t="shared" si="26"/>
        <v>397202.49028232141</v>
      </c>
      <c r="P28" s="46">
        <f t="shared" si="26"/>
        <v>100.41911287727999</v>
      </c>
      <c r="Q28" s="46">
        <f t="shared" si="26"/>
        <v>951024.09060480131</v>
      </c>
      <c r="R28" s="46">
        <f t="shared" si="10"/>
        <v>1348327</v>
      </c>
      <c r="T28" s="46">
        <f t="shared" si="26"/>
        <v>164423.50971767862</v>
      </c>
      <c r="U28" s="46">
        <f t="shared" ref="U28" si="28">SUM(U29:U31)</f>
        <v>40.864508335915161</v>
      </c>
      <c r="V28" s="46">
        <f t="shared" si="26"/>
        <v>392643.6257739854</v>
      </c>
      <c r="W28" s="46">
        <f t="shared" si="15"/>
        <v>557108</v>
      </c>
      <c r="Y28" s="46">
        <f t="shared" ref="Y28" si="29">SUM(Y29:Y31)</f>
        <v>620920</v>
      </c>
      <c r="AA28" s="46">
        <f t="shared" si="26"/>
        <v>185722</v>
      </c>
      <c r="AC28" s="46">
        <f t="shared" si="26"/>
        <v>96879</v>
      </c>
      <c r="AE28" s="46">
        <f t="shared" si="26"/>
        <v>51765</v>
      </c>
      <c r="AG28" s="46">
        <f t="shared" ref="AG28" si="30">SUM(AG29:AG31)</f>
        <v>2872065</v>
      </c>
      <c r="AI28" s="46">
        <f t="shared" si="26"/>
        <v>691879</v>
      </c>
      <c r="AK28" s="46">
        <f t="shared" si="7"/>
        <v>17080201</v>
      </c>
    </row>
    <row r="29" spans="1:39">
      <c r="A29" s="43" t="s">
        <v>44</v>
      </c>
      <c r="C29" s="45">
        <f>PR!$U$81</f>
        <v>21535.058844357725</v>
      </c>
      <c r="D29" s="45">
        <f>PR!$U$82</f>
        <v>3.4871298669677344</v>
      </c>
      <c r="E29" s="45">
        <f>PR!$U$83</f>
        <v>20123.454025775307</v>
      </c>
      <c r="F29" s="46">
        <f t="shared" si="13"/>
        <v>41662</v>
      </c>
      <c r="H29" s="45">
        <f>PR!$U$85</f>
        <v>2089381.9411556423</v>
      </c>
      <c r="I29" s="45">
        <f>PR!$U$86</f>
        <v>419228</v>
      </c>
      <c r="J29" s="45">
        <f>PR!$U$87</f>
        <v>35526</v>
      </c>
      <c r="K29" s="45">
        <f>PR!$U$88</f>
        <v>338.32952225301415</v>
      </c>
      <c r="L29" s="45">
        <f>PR!$U$89</f>
        <v>1497670.7293221047</v>
      </c>
      <c r="M29" s="46">
        <f t="shared" si="14"/>
        <v>4042145</v>
      </c>
      <c r="O29" s="45">
        <f>PR!$U$91</f>
        <v>166912.16053412503</v>
      </c>
      <c r="P29" s="45">
        <f>PR!$U$92</f>
        <v>47.918280146201141</v>
      </c>
      <c r="Q29" s="45">
        <f>PR!$U$93</f>
        <v>405536.92118572874</v>
      </c>
      <c r="R29" s="46">
        <f t="shared" si="10"/>
        <v>572497</v>
      </c>
      <c r="T29" s="45">
        <f>PR!$X$81</f>
        <v>60138.839465875004</v>
      </c>
      <c r="U29" s="45">
        <f>PR!$X$82</f>
        <v>17.26506773364963</v>
      </c>
      <c r="V29" s="45">
        <f>PR!$X$83</f>
        <v>146115.89546639135</v>
      </c>
      <c r="W29" s="46">
        <f t="shared" si="15"/>
        <v>206272</v>
      </c>
      <c r="Y29" s="45">
        <f>PR!$X$85</f>
        <v>257931</v>
      </c>
      <c r="AA29" s="45">
        <f>PR!$X$86</f>
        <v>83382</v>
      </c>
      <c r="AC29" s="45">
        <f>PR!$X$88</f>
        <v>39449</v>
      </c>
      <c r="AE29" s="45">
        <f>PR!$X$89</f>
        <v>20655</v>
      </c>
      <c r="AG29" s="45">
        <f>PR!$X$91</f>
        <v>1061768</v>
      </c>
      <c r="AI29" s="45">
        <f>PR!$X$92</f>
        <v>266550</v>
      </c>
      <c r="AK29" s="45">
        <f t="shared" si="7"/>
        <v>6592311</v>
      </c>
      <c r="AM29" t="str">
        <f>IF((AK29=PR!$X$95),"ok","erro")</f>
        <v>ok</v>
      </c>
    </row>
    <row r="30" spans="1:39">
      <c r="A30" s="43" t="s">
        <v>45</v>
      </c>
      <c r="C30" s="45">
        <f>RS!$U$81</f>
        <v>18044.10829988357</v>
      </c>
      <c r="D30" s="45">
        <f>RS!$U$82</f>
        <v>2.5006735864808434</v>
      </c>
      <c r="E30" s="45">
        <f>RS!$U$83</f>
        <v>22385.391026529949</v>
      </c>
      <c r="F30" s="46">
        <f t="shared" si="13"/>
        <v>40432</v>
      </c>
      <c r="H30" s="45">
        <f>RS!$U$85</f>
        <v>1735968.8917001165</v>
      </c>
      <c r="I30" s="45">
        <f>RS!$U$86</f>
        <v>197520</v>
      </c>
      <c r="J30" s="45">
        <f>RS!$U$87</f>
        <v>61040</v>
      </c>
      <c r="K30" s="45">
        <f>RS!$U$88</f>
        <v>240.58221566164866</v>
      </c>
      <c r="L30" s="45">
        <f>RS!$U$89</f>
        <v>1895070.5260842219</v>
      </c>
      <c r="M30" s="46">
        <f t="shared" si="14"/>
        <v>3889840</v>
      </c>
      <c r="O30" s="45">
        <f>RS!$U$91</f>
        <v>135805.34478797278</v>
      </c>
      <c r="P30" s="45">
        <f>RS!$U$92</f>
        <v>27.738043894409202</v>
      </c>
      <c r="Q30" s="45">
        <f>RS!$U$93</f>
        <v>312647.91716813284</v>
      </c>
      <c r="R30" s="46">
        <f t="shared" si="10"/>
        <v>448481</v>
      </c>
      <c r="T30" s="45">
        <f>RS!$X$81</f>
        <v>64524.655212027217</v>
      </c>
      <c r="U30" s="45">
        <f>RS!$X$82</f>
        <v>13.17906685732305</v>
      </c>
      <c r="V30" s="45">
        <f>RS!$X$83</f>
        <v>148547.16572111545</v>
      </c>
      <c r="W30" s="46">
        <f t="shared" si="15"/>
        <v>213085</v>
      </c>
      <c r="Y30" s="45">
        <f>RS!$X$85</f>
        <v>217251</v>
      </c>
      <c r="AA30" s="45">
        <f>RS!$X$86</f>
        <v>54045</v>
      </c>
      <c r="AC30" s="45">
        <f>RS!$X$88</f>
        <v>38852</v>
      </c>
      <c r="AE30" s="45">
        <f>RS!$X$89</f>
        <v>19826</v>
      </c>
      <c r="AG30" s="45">
        <f>RS!$X$91</f>
        <v>1005901</v>
      </c>
      <c r="AI30" s="45">
        <f>RS!$X$92</f>
        <v>174890</v>
      </c>
      <c r="AK30" s="45">
        <f t="shared" si="7"/>
        <v>6102603</v>
      </c>
      <c r="AM30" t="str">
        <f>IF((AK30=RS!$X$95),"ok","erro")</f>
        <v>ok</v>
      </c>
    </row>
    <row r="31" spans="1:39">
      <c r="A31" s="43" t="s">
        <v>46</v>
      </c>
      <c r="C31" s="45">
        <f>SC!$U$81</f>
        <v>21141.627105798052</v>
      </c>
      <c r="D31" s="45">
        <f>SC!$U$82</f>
        <v>2.7728205212406465</v>
      </c>
      <c r="E31" s="45">
        <f>SC!$U$83</f>
        <v>15510.600073680707</v>
      </c>
      <c r="F31" s="46">
        <f t="shared" si="13"/>
        <v>36655</v>
      </c>
      <c r="H31" s="45">
        <f>SC!$U$85</f>
        <v>1502380.3728942019</v>
      </c>
      <c r="I31" s="45">
        <f>SC!$U$86</f>
        <v>133011</v>
      </c>
      <c r="J31" s="45">
        <f>SC!$U$87</f>
        <v>91831</v>
      </c>
      <c r="K31" s="45">
        <f>SC!$U$88</f>
        <v>197.04401689721271</v>
      </c>
      <c r="L31" s="45">
        <f>SC!$U$89</f>
        <v>877382.58308890089</v>
      </c>
      <c r="M31" s="46">
        <f t="shared" si="14"/>
        <v>2604802</v>
      </c>
      <c r="O31" s="45">
        <f>SC!$U$91</f>
        <v>94484.984960223606</v>
      </c>
      <c r="P31" s="45">
        <f>SC!$U$92</f>
        <v>24.762788836669642</v>
      </c>
      <c r="Q31" s="45">
        <f>SC!$U$93</f>
        <v>232839.25225093972</v>
      </c>
      <c r="R31" s="46">
        <f t="shared" si="10"/>
        <v>327349</v>
      </c>
      <c r="T31" s="45">
        <f>SC!$X$81</f>
        <v>39760.015039776401</v>
      </c>
      <c r="U31" s="45">
        <f>SC!$X$82</f>
        <v>10.420373744942481</v>
      </c>
      <c r="V31" s="45">
        <f>SC!$X$83</f>
        <v>97980.564586478664</v>
      </c>
      <c r="W31" s="46">
        <f t="shared" si="15"/>
        <v>137751</v>
      </c>
      <c r="Y31" s="45">
        <f>SC!$X$85</f>
        <v>145738</v>
      </c>
      <c r="AA31" s="45">
        <f>SC!$X$86</f>
        <v>48295</v>
      </c>
      <c r="AC31" s="45">
        <f>SC!$X$88</f>
        <v>18578</v>
      </c>
      <c r="AE31" s="45">
        <f>SC!$X$89</f>
        <v>11284</v>
      </c>
      <c r="AG31" s="45">
        <f>SC!$X$91</f>
        <v>804396</v>
      </c>
      <c r="AI31" s="45">
        <f>SC!$X$92</f>
        <v>250439</v>
      </c>
      <c r="AK31" s="45">
        <f t="shared" si="7"/>
        <v>4385287</v>
      </c>
      <c r="AM31" t="str">
        <f>IF((AK31=SC!$X$95),"ok","erro")</f>
        <v>ok</v>
      </c>
    </row>
    <row r="32" spans="1:39">
      <c r="A32" s="42" t="s">
        <v>47</v>
      </c>
      <c r="C32" s="46">
        <f>SUM(C33:C36)</f>
        <v>40954.266437218816</v>
      </c>
      <c r="D32" s="46">
        <f>SUM(D33:D36)</f>
        <v>6.0679021432624722</v>
      </c>
      <c r="E32" s="46">
        <f t="shared" ref="E32:AI32" si="31">SUM(E33:E36)</f>
        <v>16601.665660637918</v>
      </c>
      <c r="F32" s="46">
        <f t="shared" si="13"/>
        <v>57561.999999999993</v>
      </c>
      <c r="H32" s="46">
        <f t="shared" si="31"/>
        <v>2848079.2529704352</v>
      </c>
      <c r="I32" s="46">
        <f t="shared" si="31"/>
        <v>318050</v>
      </c>
      <c r="J32" s="46">
        <f t="shared" si="31"/>
        <v>12874</v>
      </c>
      <c r="K32" s="46">
        <f t="shared" ref="K32" si="32">SUM(K33:K36)</f>
        <v>387.87038550362922</v>
      </c>
      <c r="L32" s="46">
        <f t="shared" si="31"/>
        <v>877175.87664406118</v>
      </c>
      <c r="M32" s="46">
        <f t="shared" si="14"/>
        <v>4056567</v>
      </c>
      <c r="O32" s="46">
        <f t="shared" si="31"/>
        <v>269205.85742423841</v>
      </c>
      <c r="P32" s="46">
        <f t="shared" si="31"/>
        <v>81.64942546968814</v>
      </c>
      <c r="Q32" s="46">
        <f t="shared" si="31"/>
        <v>469573.49315029196</v>
      </c>
      <c r="R32" s="46">
        <f t="shared" si="10"/>
        <v>738861</v>
      </c>
      <c r="T32" s="46">
        <f t="shared" si="31"/>
        <v>75433.142575761609</v>
      </c>
      <c r="U32" s="46">
        <f t="shared" ref="U32" si="33">SUM(U33:U36)</f>
        <v>21.412286883307388</v>
      </c>
      <c r="V32" s="46">
        <f t="shared" si="31"/>
        <v>143759.4451373551</v>
      </c>
      <c r="W32" s="46">
        <f t="shared" si="15"/>
        <v>219214</v>
      </c>
      <c r="Y32" s="46">
        <f t="shared" ref="Y32" si="34">SUM(Y33:Y36)</f>
        <v>242109</v>
      </c>
      <c r="AA32" s="46">
        <f t="shared" si="31"/>
        <v>72678</v>
      </c>
      <c r="AC32" s="46">
        <f t="shared" si="31"/>
        <v>52216</v>
      </c>
      <c r="AE32" s="46">
        <f t="shared" si="31"/>
        <v>20673</v>
      </c>
      <c r="AG32" s="46">
        <f t="shared" ref="AG32" si="35">SUM(AG33:AG36)</f>
        <v>1840639</v>
      </c>
      <c r="AI32" s="46">
        <f t="shared" si="31"/>
        <v>543441</v>
      </c>
      <c r="AK32" s="46">
        <f t="shared" si="7"/>
        <v>7843960</v>
      </c>
    </row>
    <row r="33" spans="1:39">
      <c r="A33" s="43" t="s">
        <v>48</v>
      </c>
      <c r="C33" s="45">
        <f>DF!$U$81</f>
        <v>13057.425488427558</v>
      </c>
      <c r="D33" s="45">
        <f>DF!$U$82</f>
        <v>1.8339039518177742</v>
      </c>
      <c r="E33" s="45">
        <f>DF!$U$83</f>
        <v>6844.7406076206244</v>
      </c>
      <c r="F33" s="46">
        <f t="shared" si="13"/>
        <v>19904</v>
      </c>
      <c r="H33" s="45">
        <f>DF!$U$85</f>
        <v>765922.57451157237</v>
      </c>
      <c r="I33" s="45">
        <f>DF!$U$86</f>
        <v>58254</v>
      </c>
      <c r="J33" s="45">
        <f>DF!$U$87</f>
        <v>1687</v>
      </c>
      <c r="K33" s="45">
        <f>DF!$U$88</f>
        <v>107.57315348484553</v>
      </c>
      <c r="L33" s="45">
        <f>DF!$U$89</f>
        <v>341557.85233494279</v>
      </c>
      <c r="M33" s="46">
        <f t="shared" si="14"/>
        <v>1167529</v>
      </c>
      <c r="O33" s="45">
        <f>DF!$U$91</f>
        <v>31195.250631632138</v>
      </c>
      <c r="P33" s="45">
        <f>DF!$U$92</f>
        <v>10.175568656297401</v>
      </c>
      <c r="Q33" s="45">
        <f>DF!$U$93</f>
        <v>79233.573799711565</v>
      </c>
      <c r="R33" s="46">
        <f t="shared" si="10"/>
        <v>110439</v>
      </c>
      <c r="T33" s="45">
        <f>DF!$X$81</f>
        <v>19673.749368367862</v>
      </c>
      <c r="U33" s="45">
        <f>DF!$X$82</f>
        <v>6.4173739069665316</v>
      </c>
      <c r="V33" s="45">
        <f>DF!$X$83</f>
        <v>49969.833257725171</v>
      </c>
      <c r="W33" s="46">
        <f t="shared" si="15"/>
        <v>69650</v>
      </c>
      <c r="Y33" s="45">
        <f>DF!$X$85</f>
        <v>22912</v>
      </c>
      <c r="AA33" s="45">
        <f>DF!$X$86</f>
        <v>3171</v>
      </c>
      <c r="AC33" s="45">
        <f>DF!$X$88</f>
        <v>11861</v>
      </c>
      <c r="AE33" s="45">
        <f>DF!$X$89</f>
        <v>5266</v>
      </c>
      <c r="AG33" s="45">
        <f>DF!$X$91</f>
        <v>167301</v>
      </c>
      <c r="AI33" s="45">
        <f>DF!$X$92</f>
        <v>16686</v>
      </c>
      <c r="AK33" s="45">
        <f t="shared" si="7"/>
        <v>1594719</v>
      </c>
      <c r="AM33" t="str">
        <f>IF((AK33=DF!$X$95),"ok","erro")</f>
        <v>ok</v>
      </c>
    </row>
    <row r="34" spans="1:39">
      <c r="A34" s="43" t="s">
        <v>49</v>
      </c>
      <c r="C34" s="45">
        <f>GO!$U$81</f>
        <v>12282.135628167254</v>
      </c>
      <c r="D34" s="45">
        <f>GO!$U$82</f>
        <v>0.93241720758669544</v>
      </c>
      <c r="E34" s="45">
        <f>GO!$U$83</f>
        <v>6018.9319546251591</v>
      </c>
      <c r="F34" s="46">
        <f t="shared" si="13"/>
        <v>18302</v>
      </c>
      <c r="H34" s="45">
        <f>GO!$U$85</f>
        <v>1105390.8643718327</v>
      </c>
      <c r="I34" s="45">
        <f>GO!$U$86</f>
        <v>158979</v>
      </c>
      <c r="J34" s="45">
        <f>GO!$U$87</f>
        <v>4038</v>
      </c>
      <c r="K34" s="45">
        <f>GO!$U$88</f>
        <v>83.917446790263057</v>
      </c>
      <c r="L34" s="45">
        <f>GO!$U$89</f>
        <v>378686.21818137704</v>
      </c>
      <c r="M34" s="46">
        <f t="shared" si="14"/>
        <v>1647178</v>
      </c>
      <c r="O34" s="45">
        <f>GO!$U$91</f>
        <v>103790.38166404564</v>
      </c>
      <c r="P34" s="45">
        <f>GO!$U$92</f>
        <v>15.936223615950439</v>
      </c>
      <c r="Q34" s="45">
        <f>GO!$U$93</f>
        <v>208998.68211233843</v>
      </c>
      <c r="R34" s="46">
        <f t="shared" si="10"/>
        <v>312805</v>
      </c>
      <c r="T34" s="45">
        <f>GO!$X$81</f>
        <v>27444.618335954368</v>
      </c>
      <c r="U34" s="45">
        <f>GO!$X$82</f>
        <v>4.213912386141601</v>
      </c>
      <c r="V34" s="45">
        <f>GO!$X$83</f>
        <v>55264.167751659494</v>
      </c>
      <c r="W34" s="46">
        <f t="shared" si="15"/>
        <v>82713</v>
      </c>
      <c r="Y34" s="45">
        <f>GO!$X$85</f>
        <v>106210</v>
      </c>
      <c r="AA34" s="45">
        <f>GO!$X$86</f>
        <v>27080</v>
      </c>
      <c r="AC34" s="45">
        <f>GO!$X$88</f>
        <v>20973</v>
      </c>
      <c r="AE34" s="45">
        <f>GO!$X$89</f>
        <v>8745</v>
      </c>
      <c r="AG34" s="45">
        <f>GO!$X$91</f>
        <v>795605</v>
      </c>
      <c r="AI34" s="45">
        <f>GO!$X$92</f>
        <v>243901</v>
      </c>
      <c r="AK34" s="45">
        <f t="shared" si="7"/>
        <v>3263512</v>
      </c>
      <c r="AM34" t="str">
        <f>IF((AK34=GO!$X$95),"ok","erro")</f>
        <v>ok</v>
      </c>
    </row>
    <row r="35" spans="1:39">
      <c r="A35" s="43" t="s">
        <v>50</v>
      </c>
      <c r="C35" s="45">
        <f>MT!$U$81</f>
        <v>9817.1034304497534</v>
      </c>
      <c r="D35" s="45">
        <f>MT!$U$82</f>
        <v>2.7954683522330015</v>
      </c>
      <c r="E35" s="45">
        <f>MT!$U$83</f>
        <v>770.10110119801357</v>
      </c>
      <c r="F35" s="46">
        <f t="shared" si="13"/>
        <v>10590</v>
      </c>
      <c r="H35" s="45">
        <f>MT!$U$85</f>
        <v>555264.41597720433</v>
      </c>
      <c r="I35" s="45">
        <f>MT!$U$86</f>
        <v>47631</v>
      </c>
      <c r="J35" s="45">
        <f>MT!$U$87</f>
        <v>1493</v>
      </c>
      <c r="K35" s="45">
        <f>MT!$U$88</f>
        <v>159.58402279566508</v>
      </c>
      <c r="L35" s="45">
        <f>MT!$U$89</f>
        <v>0</v>
      </c>
      <c r="M35" s="46">
        <f t="shared" si="14"/>
        <v>604548</v>
      </c>
      <c r="O35" s="45">
        <f>MT!$U$91</f>
        <v>78800.015590179682</v>
      </c>
      <c r="P35" s="45">
        <f>MT!$U$92</f>
        <v>47.761593091883697</v>
      </c>
      <c r="Q35" s="45">
        <f>MT!$U$93</f>
        <v>102086.22281672843</v>
      </c>
      <c r="R35" s="46">
        <f t="shared" si="10"/>
        <v>180934</v>
      </c>
      <c r="T35" s="45">
        <f>MT!$X$81</f>
        <v>14615.984409820323</v>
      </c>
      <c r="U35" s="45">
        <f>MT!$X$82</f>
        <v>8.8589157602400519</v>
      </c>
      <c r="V35" s="45">
        <f>MT!$X$83</f>
        <v>18935.156674419435</v>
      </c>
      <c r="W35" s="46">
        <f t="shared" si="15"/>
        <v>33560</v>
      </c>
      <c r="Y35" s="45">
        <f>MT!$X$85</f>
        <v>64888</v>
      </c>
      <c r="AA35" s="45">
        <f>MT!$X$86</f>
        <v>28091</v>
      </c>
      <c r="AC35" s="45">
        <f>MT!$X$88</f>
        <v>10617</v>
      </c>
      <c r="AE35" s="45">
        <f>MT!$X$89</f>
        <v>3235</v>
      </c>
      <c r="AG35" s="45">
        <f>MT!$X$91</f>
        <v>542740</v>
      </c>
      <c r="AI35" s="45">
        <f>MT!$X$92</f>
        <v>185004</v>
      </c>
      <c r="AK35" s="45">
        <f t="shared" si="7"/>
        <v>1664207</v>
      </c>
      <c r="AM35" t="str">
        <f>IF((AK35=MT!$X$95),"ok","erro")</f>
        <v>ok</v>
      </c>
    </row>
    <row r="36" spans="1:39">
      <c r="A36" s="43" t="s">
        <v>51</v>
      </c>
      <c r="C36" s="45">
        <f>MS!$U$81</f>
        <v>5797.6018901742518</v>
      </c>
      <c r="D36" s="45">
        <f>MS!$U$82</f>
        <v>0.50611263162500109</v>
      </c>
      <c r="E36" s="45">
        <f>MS!$U$83</f>
        <v>2967.8919971941232</v>
      </c>
      <c r="F36" s="46">
        <f t="shared" si="13"/>
        <v>8766</v>
      </c>
      <c r="H36" s="45">
        <f>MS!$U$85</f>
        <v>421501.39810982579</v>
      </c>
      <c r="I36" s="45">
        <f>MS!$U$86</f>
        <v>53186</v>
      </c>
      <c r="J36" s="45">
        <f>MS!$U$87</f>
        <v>5656</v>
      </c>
      <c r="K36" s="45">
        <f>MS!$U$88</f>
        <v>36.795762432855554</v>
      </c>
      <c r="L36" s="45">
        <f>MS!$U$89</f>
        <v>156931.80612774135</v>
      </c>
      <c r="M36" s="46">
        <f t="shared" si="14"/>
        <v>637312</v>
      </c>
      <c r="O36" s="45">
        <f>MS!$U$91</f>
        <v>55420.209538380928</v>
      </c>
      <c r="P36" s="45">
        <f>MS!$U$92</f>
        <v>7.7760401055566035</v>
      </c>
      <c r="Q36" s="45">
        <f>MS!$U$93</f>
        <v>79255.014421513508</v>
      </c>
      <c r="R36" s="46">
        <f t="shared" si="10"/>
        <v>134683</v>
      </c>
      <c r="T36" s="45">
        <f>MS!$X$81</f>
        <v>13698.790461619061</v>
      </c>
      <c r="U36" s="45">
        <f>MS!$X$82</f>
        <v>1.9220848299592035</v>
      </c>
      <c r="V36" s="45">
        <f>MS!$X$83</f>
        <v>19590.28745355098</v>
      </c>
      <c r="W36" s="46">
        <f t="shared" si="15"/>
        <v>33291</v>
      </c>
      <c r="Y36" s="45">
        <f>MS!$X$85</f>
        <v>48099</v>
      </c>
      <c r="AA36" s="45">
        <f>MS!$X$86</f>
        <v>14336</v>
      </c>
      <c r="AC36" s="45">
        <f>MS!$X$88</f>
        <v>8765</v>
      </c>
      <c r="AE36" s="45">
        <f>MS!$X$89</f>
        <v>3427</v>
      </c>
      <c r="AG36" s="45">
        <f>MS!$X$91</f>
        <v>334993</v>
      </c>
      <c r="AI36" s="45">
        <f>MS!$X$92</f>
        <v>97850</v>
      </c>
      <c r="AK36" s="45">
        <f t="shared" si="7"/>
        <v>1321522</v>
      </c>
      <c r="AM36" t="str">
        <f>IF((AK36=MS!$X$95),"ok","erro")</f>
        <v>ok</v>
      </c>
    </row>
  </sheetData>
  <mergeCells count="6">
    <mergeCell ref="AK2:AK3"/>
    <mergeCell ref="A2:A3"/>
    <mergeCell ref="C2:F2"/>
    <mergeCell ref="H2:M2"/>
    <mergeCell ref="O2:R2"/>
    <mergeCell ref="T2:W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59999389629810485"/>
  </sheetPr>
  <dimension ref="A1:AM37"/>
  <sheetViews>
    <sheetView showGridLines="0" zoomScaleNormal="100" workbookViewId="0">
      <pane xSplit="1" topLeftCell="B1" activePane="topRight" state="frozen"/>
      <selection pane="topRight" activeCell="A4" sqref="A4"/>
    </sheetView>
  </sheetViews>
  <sheetFormatPr defaultRowHeight="15"/>
  <cols>
    <col min="1" max="1" width="28.85546875" style="4" customWidth="1"/>
    <col min="2" max="2" width="2.5703125" customWidth="1"/>
    <col min="7" max="7" width="5.5703125" customWidth="1"/>
    <col min="8" max="9" width="10.140625" bestFit="1" customWidth="1"/>
    <col min="11" max="11" width="10.140625" bestFit="1" customWidth="1"/>
    <col min="12" max="12" width="10.140625" customWidth="1"/>
    <col min="13" max="13" width="10.140625" bestFit="1" customWidth="1"/>
    <col min="14" max="14" width="5.140625" customWidth="1"/>
    <col min="15" max="15" width="9.85546875" bestFit="1" customWidth="1"/>
    <col min="18" max="18" width="9.85546875" bestFit="1" customWidth="1"/>
    <col min="19" max="19" width="5.140625" customWidth="1"/>
    <col min="20" max="20" width="9.85546875" bestFit="1" customWidth="1"/>
    <col min="24" max="24" width="5.140625" customWidth="1"/>
    <col min="25" max="25" width="10.28515625" bestFit="1" customWidth="1"/>
    <col min="26" max="26" width="5.140625" customWidth="1"/>
    <col min="27" max="27" width="17.28515625" bestFit="1" customWidth="1"/>
    <col min="28" max="28" width="5.140625" customWidth="1"/>
    <col min="29" max="29" width="7.5703125" bestFit="1" customWidth="1"/>
    <col min="30" max="30" width="5.140625" customWidth="1"/>
    <col min="31" max="31" width="13.140625" bestFit="1" customWidth="1"/>
    <col min="32" max="32" width="5.140625" customWidth="1"/>
    <col min="33" max="33" width="12" bestFit="1" customWidth="1"/>
    <col min="34" max="34" width="5.140625" customWidth="1"/>
    <col min="35" max="35" width="10" bestFit="1" customWidth="1"/>
    <col min="37" max="37" width="11.140625" bestFit="1" customWidth="1"/>
  </cols>
  <sheetData>
    <row r="1" spans="1:39" ht="15.75">
      <c r="A1" s="23"/>
    </row>
    <row r="2" spans="1:39" ht="15.75" customHeight="1">
      <c r="A2" s="89" t="str">
        <f>"Frota por tipo de veículo e combustível - Junho/"&amp;ONSV_AUX_2014!A1&amp;""</f>
        <v>Frota por tipo de veículo e combustível - Junho/2014</v>
      </c>
      <c r="C2" s="93" t="s">
        <v>0</v>
      </c>
      <c r="D2" s="93"/>
      <c r="E2" s="93"/>
      <c r="F2" s="93"/>
      <c r="H2" s="93" t="s">
        <v>1</v>
      </c>
      <c r="I2" s="93"/>
      <c r="J2" s="93"/>
      <c r="K2" s="93"/>
      <c r="L2" s="93"/>
      <c r="M2" s="93"/>
      <c r="O2" s="94" t="s">
        <v>2</v>
      </c>
      <c r="P2" s="95"/>
      <c r="Q2" s="95"/>
      <c r="R2" s="96"/>
      <c r="T2" s="94" t="s">
        <v>3</v>
      </c>
      <c r="U2" s="95"/>
      <c r="V2" s="95"/>
      <c r="W2" s="96"/>
      <c r="Y2" s="28" t="s">
        <v>4</v>
      </c>
      <c r="AA2" s="28" t="s">
        <v>5</v>
      </c>
      <c r="AC2" s="28" t="s">
        <v>6</v>
      </c>
      <c r="AE2" s="28" t="s">
        <v>7</v>
      </c>
      <c r="AG2" s="28" t="s">
        <v>8</v>
      </c>
      <c r="AI2" s="28" t="s">
        <v>9</v>
      </c>
      <c r="AK2" s="91" t="s">
        <v>10</v>
      </c>
    </row>
    <row r="3" spans="1:39" ht="15.75">
      <c r="A3" s="90"/>
      <c r="C3" s="28" t="s">
        <v>11</v>
      </c>
      <c r="D3" s="28" t="s">
        <v>12</v>
      </c>
      <c r="E3" s="28" t="s">
        <v>13</v>
      </c>
      <c r="F3" s="28" t="s">
        <v>14</v>
      </c>
      <c r="H3" s="28" t="s">
        <v>11</v>
      </c>
      <c r="I3" s="28" t="s">
        <v>15</v>
      </c>
      <c r="J3" s="28" t="s">
        <v>16</v>
      </c>
      <c r="K3" s="28" t="s">
        <v>12</v>
      </c>
      <c r="L3" s="28" t="s">
        <v>13</v>
      </c>
      <c r="M3" s="28" t="s">
        <v>14</v>
      </c>
      <c r="O3" s="28" t="s">
        <v>17</v>
      </c>
      <c r="P3" s="28" t="s">
        <v>12</v>
      </c>
      <c r="Q3" s="28" t="s">
        <v>13</v>
      </c>
      <c r="R3" s="28" t="s">
        <v>14</v>
      </c>
      <c r="T3" s="28" t="s">
        <v>17</v>
      </c>
      <c r="U3" s="28" t="s">
        <v>12</v>
      </c>
      <c r="V3" s="28" t="s">
        <v>13</v>
      </c>
      <c r="W3" s="28" t="s">
        <v>14</v>
      </c>
      <c r="Y3" s="28" t="s">
        <v>17</v>
      </c>
      <c r="AA3" s="28" t="s">
        <v>17</v>
      </c>
      <c r="AC3" s="28" t="s">
        <v>17</v>
      </c>
      <c r="AE3" s="28" t="s">
        <v>17</v>
      </c>
      <c r="AG3" s="28" t="s">
        <v>13</v>
      </c>
      <c r="AI3" s="28" t="s">
        <v>13</v>
      </c>
      <c r="AK3" s="92"/>
      <c r="AM3" t="s">
        <v>18</v>
      </c>
    </row>
    <row r="4" spans="1:39">
      <c r="A4" s="42" t="s">
        <v>19</v>
      </c>
      <c r="C4" s="46">
        <f>SUM(C5,C13,C32,C28,C23)</f>
        <v>298122.5465924922</v>
      </c>
      <c r="D4" s="46">
        <f t="shared" ref="D4" si="0">SUM(D5,D13,D32,D28,D23)</f>
        <v>35.501397087297619</v>
      </c>
      <c r="E4" s="46">
        <f t="shared" ref="E4" si="1">SUM(E5,E13,E32,E28,E23)</f>
        <v>221819.9520104205</v>
      </c>
      <c r="F4" s="46">
        <f>SUM(C4:E4)</f>
        <v>519978</v>
      </c>
      <c r="H4" s="46">
        <f>SUM(H5,H13,H32,H28,H23)</f>
        <v>25509669.831857026</v>
      </c>
      <c r="I4" s="46">
        <f t="shared" ref="I4:L4" si="2">SUM(I5,I13,I32,I28,I23)</f>
        <v>4156322</v>
      </c>
      <c r="J4" s="46">
        <f t="shared" si="2"/>
        <v>1769818</v>
      </c>
      <c r="K4" s="46">
        <f t="shared" si="2"/>
        <v>3151.7761074069494</v>
      </c>
      <c r="L4" s="46">
        <f t="shared" si="2"/>
        <v>15164217.392035566</v>
      </c>
      <c r="M4" s="46">
        <f>SUM(H4:L4)</f>
        <v>46603179</v>
      </c>
      <c r="O4" s="46">
        <f>SUM(O5,O13,O32,O28,O23)</f>
        <v>1688560.9482033495</v>
      </c>
      <c r="P4" s="46">
        <f t="shared" ref="P4" si="3">SUM(P5,P13,P32,P28,P23)</f>
        <v>422.45302523112332</v>
      </c>
      <c r="Q4" s="46">
        <f t="shared" ref="Q4" si="4">SUM(Q5,Q13,Q32,Q28,Q23)</f>
        <v>4281678.5987714194</v>
      </c>
      <c r="R4" s="46">
        <f>SUM(O4:Q4)</f>
        <v>5970662</v>
      </c>
      <c r="T4" s="46">
        <f>SUM(T5,T13,T32,T28,T23)</f>
        <v>670768.05179665051</v>
      </c>
      <c r="U4" s="46">
        <f t="shared" ref="U4:W4" si="5">SUM(U5,U13,U32,U28,U23)</f>
        <v>181.26947027489632</v>
      </c>
      <c r="V4" s="46">
        <f>SUM(V5,V13,V32,V28,V23)</f>
        <v>1948877.6787330746</v>
      </c>
      <c r="W4" s="46">
        <f t="shared" si="5"/>
        <v>2567484.4846420549</v>
      </c>
      <c r="Y4" s="46">
        <f>SUM(Y5,Y13,Y32,Y28,Y23)</f>
        <v>2533567</v>
      </c>
      <c r="AA4" s="46">
        <f>SUM(AA5,AA13,AA32,AA28,AA23)</f>
        <v>559329</v>
      </c>
      <c r="AC4" s="46">
        <f>SUM(AC5,AC13,AC32,AC28,AC23)</f>
        <v>559756</v>
      </c>
      <c r="AE4" s="46">
        <f>SUM(AE5,AE13,AE32,AE28,AE23)</f>
        <v>351469</v>
      </c>
      <c r="AG4" s="46">
        <f>SUM(AG5,AG13,AG32,AG28,AG23)</f>
        <v>18670176</v>
      </c>
      <c r="AI4" s="46">
        <f>SUM(AI5,AI13,AI32,AI28,AI23)</f>
        <v>3456474</v>
      </c>
      <c r="AK4" s="46">
        <f>SUM(F4,M4,R4,W4,Y4,AA4,AC4,AE4,AG4,AI4)</f>
        <v>81792074.484642059</v>
      </c>
    </row>
    <row r="5" spans="1:39">
      <c r="A5" s="42" t="s">
        <v>20</v>
      </c>
      <c r="C5" s="46">
        <f>SUM(C6:C12)</f>
        <v>20230.580046088355</v>
      </c>
      <c r="D5" s="46">
        <f t="shared" ref="D5:AG5" si="6">SUM(D6:D12)</f>
        <v>2.3091526174819137</v>
      </c>
      <c r="E5" s="46">
        <f>SUM(E6:E12)</f>
        <v>1259.1108012941618</v>
      </c>
      <c r="F5" s="46">
        <f>SUM(C5:E5)</f>
        <v>21492</v>
      </c>
      <c r="H5" s="46">
        <f t="shared" si="6"/>
        <v>1251317.2427061189</v>
      </c>
      <c r="I5" s="46">
        <f t="shared" si="6"/>
        <v>67302</v>
      </c>
      <c r="J5" s="46">
        <f t="shared" si="6"/>
        <v>2096</v>
      </c>
      <c r="K5" s="46">
        <f t="shared" si="6"/>
        <v>152.50068347651541</v>
      </c>
      <c r="L5" s="46">
        <f t="shared" si="6"/>
        <v>63929.256610404533</v>
      </c>
      <c r="M5" s="46">
        <f>SUM(H5:L5)</f>
        <v>1384796.9999999998</v>
      </c>
      <c r="O5" s="46">
        <f t="shared" si="6"/>
        <v>146774.24971814291</v>
      </c>
      <c r="P5" s="46">
        <f t="shared" si="6"/>
        <v>39.455803707936866</v>
      </c>
      <c r="Q5" s="46">
        <f t="shared" ref="Q5" si="7">SUM(Q6:Q12)</f>
        <v>206331.29447814915</v>
      </c>
      <c r="R5" s="46">
        <f>SUM(O5:Q5)</f>
        <v>353145</v>
      </c>
      <c r="T5" s="46">
        <f t="shared" si="6"/>
        <v>34941.750281857094</v>
      </c>
      <c r="U5" s="46">
        <f t="shared" si="6"/>
        <v>9.7343601980960557</v>
      </c>
      <c r="V5" s="46">
        <f t="shared" si="6"/>
        <v>52342.515357944809</v>
      </c>
      <c r="W5" s="46">
        <f>SUM(T5:U5)</f>
        <v>34951.484642055191</v>
      </c>
      <c r="Y5" s="46">
        <f t="shared" si="6"/>
        <v>133534</v>
      </c>
      <c r="AA5" s="46">
        <f t="shared" si="6"/>
        <v>19475</v>
      </c>
      <c r="AC5" s="46">
        <f t="shared" si="6"/>
        <v>36250</v>
      </c>
      <c r="AE5" s="46">
        <f t="shared" si="6"/>
        <v>13254</v>
      </c>
      <c r="AG5" s="46">
        <f t="shared" si="6"/>
        <v>1552261</v>
      </c>
      <c r="AI5" s="46">
        <f>SUM(AI6:AI12)</f>
        <v>401144</v>
      </c>
      <c r="AK5" s="46">
        <f t="shared" ref="AK5:AK36" si="8">SUM(F5,M5,R5,W5,Y5,AA5,AC5,AE5,AG5,AI5)</f>
        <v>3950303.4846420549</v>
      </c>
    </row>
    <row r="6" spans="1:39">
      <c r="A6" s="43" t="s">
        <v>21</v>
      </c>
      <c r="C6" s="45">
        <f>AC!$U$106</f>
        <v>776.60786150134822</v>
      </c>
      <c r="D6" s="45">
        <f>AC!$U$107</f>
        <v>0.14087499734398534</v>
      </c>
      <c r="E6" s="45">
        <f>AC!$U$108</f>
        <v>107.25126350130779</v>
      </c>
      <c r="F6" s="46">
        <f>SUM(C6:E6)</f>
        <v>884</v>
      </c>
      <c r="H6" s="45">
        <f>AC!$U$110</f>
        <v>61132.392138498653</v>
      </c>
      <c r="I6" s="45">
        <f>AC!U111</f>
        <v>3604</v>
      </c>
      <c r="J6" s="45">
        <f>AC!U112</f>
        <v>11</v>
      </c>
      <c r="K6" s="45">
        <f>AC!U113</f>
        <v>11.089284575995407</v>
      </c>
      <c r="L6" s="45">
        <f>AC!U114</f>
        <v>4827.5185769253512</v>
      </c>
      <c r="M6" s="46">
        <f>SUM(H6:L6)</f>
        <v>69586</v>
      </c>
      <c r="O6" s="45">
        <f>AC!U116</f>
        <v>10461.094394656748</v>
      </c>
      <c r="P6" s="45">
        <f>AC!U117</f>
        <v>3.1924760427500587</v>
      </c>
      <c r="Q6" s="45">
        <f>AC!U118</f>
        <v>9568.7131293005023</v>
      </c>
      <c r="R6" s="46">
        <f>SUM(O6:Q6)</f>
        <v>20033</v>
      </c>
      <c r="T6" s="45">
        <f>AC!X106</f>
        <v>1891.9056053432535</v>
      </c>
      <c r="U6" s="45">
        <f>AC!X107</f>
        <v>0.57736438391111733</v>
      </c>
      <c r="V6" s="45">
        <f>AC!$X$108</f>
        <v>1730.5170302728354</v>
      </c>
      <c r="W6" s="46">
        <f>SUM(T6:V6)</f>
        <v>3623</v>
      </c>
      <c r="Y6" s="45">
        <f>AC!X110</f>
        <v>6404</v>
      </c>
      <c r="AA6" s="45">
        <f>AC!X111</f>
        <v>615</v>
      </c>
      <c r="AC6" s="45">
        <f>AC!X113</f>
        <v>940</v>
      </c>
      <c r="AE6" s="45">
        <f>AC!X114</f>
        <v>303</v>
      </c>
      <c r="AG6" s="45">
        <f>AC!X116</f>
        <v>89369</v>
      </c>
      <c r="AI6" s="45">
        <f>AC!X117</f>
        <v>18190</v>
      </c>
      <c r="AK6" s="45">
        <f>SUM(F6,M6,R6,W6,Y6,AA6,AC6,AE6,AG6,AI6)</f>
        <v>209947</v>
      </c>
      <c r="AM6" t="str">
        <f>IF((AK6=AC!$X$120),"ok","erro")</f>
        <v>ok</v>
      </c>
    </row>
    <row r="7" spans="1:39">
      <c r="A7" s="43" t="s">
        <v>22</v>
      </c>
      <c r="C7" s="45">
        <f>AP!$U$106</f>
        <v>699.95526085473136</v>
      </c>
      <c r="D7" s="45">
        <f>AP!$U$107</f>
        <v>8.4635490331379515E-2</v>
      </c>
      <c r="E7" s="45">
        <f>AP!$U$108</f>
        <v>47.960103654937257</v>
      </c>
      <c r="F7" s="46">
        <f>SUM(C7:E7)</f>
        <v>748</v>
      </c>
      <c r="H7" s="45">
        <f>AP!$U$110</f>
        <v>62383.044739145269</v>
      </c>
      <c r="I7" s="45">
        <f>AP!$U$111</f>
        <v>1420</v>
      </c>
      <c r="J7" s="45">
        <f>AP!$U$112</f>
        <v>6</v>
      </c>
      <c r="K7" s="45">
        <f>AP!$U$113</f>
        <v>7.5430815012659878</v>
      </c>
      <c r="L7" s="45">
        <f>AP!$U$114</f>
        <v>2848.412179353465</v>
      </c>
      <c r="M7" s="46">
        <f>SUM(H7:L7)</f>
        <v>66665</v>
      </c>
      <c r="O7" s="45">
        <f>AP!$U$116</f>
        <v>5436.3343985500333</v>
      </c>
      <c r="P7" s="45">
        <f>AP!U117</f>
        <v>1.9390352911905211</v>
      </c>
      <c r="Q7" s="45">
        <f>AP!U118</f>
        <v>11698.726566158777</v>
      </c>
      <c r="R7" s="46">
        <f>SUM(O7:Q7)</f>
        <v>17137</v>
      </c>
      <c r="T7" s="45">
        <f>AP!$X$106</f>
        <v>1214.6656014499667</v>
      </c>
      <c r="U7" s="45">
        <f>AP!$X$107</f>
        <v>0.43324771721790967</v>
      </c>
      <c r="V7" s="45">
        <f>AP!$X$108</f>
        <v>2613.9011508328153</v>
      </c>
      <c r="W7" s="46">
        <f t="shared" ref="W7:W36" si="9">SUM(T7:V7)</f>
        <v>3829</v>
      </c>
      <c r="Y7" s="45">
        <f>AP!$X$110</f>
        <v>3785</v>
      </c>
      <c r="AA7" s="45">
        <f>AP!$X$111</f>
        <v>268</v>
      </c>
      <c r="AC7" s="45">
        <f>AP!$X$113</f>
        <v>958</v>
      </c>
      <c r="AE7" s="45">
        <f>AP!$X$114</f>
        <v>429</v>
      </c>
      <c r="AG7" s="45">
        <f>AP!$X$116</f>
        <v>51920</v>
      </c>
      <c r="AI7" s="45">
        <f>AP!$X$117</f>
        <v>9773</v>
      </c>
      <c r="AK7" s="45">
        <f>SUM(F7,M7,R7,W7,Y7,AA7,AC7,AE7,AG7,AI7)</f>
        <v>155512</v>
      </c>
      <c r="AM7" t="str">
        <f>IF((AK7=AP!$X$120),"ok","erro")</f>
        <v>ok</v>
      </c>
    </row>
    <row r="8" spans="1:39">
      <c r="A8" s="43" t="s">
        <v>23</v>
      </c>
      <c r="C8" s="45">
        <f>AM!$U$106</f>
        <v>3503.0107550677176</v>
      </c>
      <c r="D8" s="45">
        <f>AM!$U$107</f>
        <v>0.55680752247826604</v>
      </c>
      <c r="E8" s="45">
        <f>AM!$U$108</f>
        <v>921.43243740980415</v>
      </c>
      <c r="F8" s="46">
        <f t="shared" ref="F8:F36" si="10">SUM(C8:E8)</f>
        <v>4425</v>
      </c>
      <c r="H8" s="45">
        <f>AM!$U$110</f>
        <v>264791.98924493231</v>
      </c>
      <c r="I8" s="45">
        <f>AM!$U$111</f>
        <v>16219</v>
      </c>
      <c r="J8" s="45">
        <f>AM!$U$112</f>
        <v>1492</v>
      </c>
      <c r="K8" s="45">
        <f>AM!$U$113</f>
        <v>42.08898624998983</v>
      </c>
      <c r="L8" s="45">
        <f>AM!$U$114</f>
        <v>51939.921768817701</v>
      </c>
      <c r="M8" s="46">
        <f t="shared" ref="M8:M36" si="11">SUM(H8:L8)</f>
        <v>334485</v>
      </c>
      <c r="O8" s="45">
        <f>AM!$U$116</f>
        <v>18833.460990018335</v>
      </c>
      <c r="P8" s="45">
        <f>AM!U117</f>
        <v>9.1603331121732481</v>
      </c>
      <c r="Q8" s="45">
        <f>AM!$U$118</f>
        <v>53955.378676869492</v>
      </c>
      <c r="R8" s="46">
        <f t="shared" ref="R8:R36" si="12">SUM(O8:Q8)</f>
        <v>72798</v>
      </c>
      <c r="T8" s="45">
        <f>AM!$X$106</f>
        <v>6566.5390099816677</v>
      </c>
      <c r="U8" s="45">
        <f>AM!$X$107</f>
        <v>3.1938731153750268</v>
      </c>
      <c r="V8" s="45">
        <f>AM!$X$108</f>
        <v>18812.267116902956</v>
      </c>
      <c r="W8" s="46">
        <f t="shared" si="9"/>
        <v>25382</v>
      </c>
      <c r="Y8" s="45">
        <f>AM!$X$110</f>
        <v>19273</v>
      </c>
      <c r="AA8" s="45">
        <f>AM!$X$111</f>
        <v>2817</v>
      </c>
      <c r="AC8" s="45">
        <f>AM!$X$113</f>
        <v>8697</v>
      </c>
      <c r="AE8" s="45">
        <f>AM!$X$114</f>
        <v>3330</v>
      </c>
      <c r="AG8" s="45">
        <f>AM!$X$116</f>
        <v>193455</v>
      </c>
      <c r="AI8" s="45">
        <f>AM!$X$117</f>
        <v>44012</v>
      </c>
      <c r="AK8" s="45">
        <f t="shared" si="8"/>
        <v>708674</v>
      </c>
      <c r="AM8" t="str">
        <f>IF((AK8=AM!$X$120),"ok","erro")</f>
        <v>ok</v>
      </c>
    </row>
    <row r="9" spans="1:39">
      <c r="A9" s="43" t="s">
        <v>24</v>
      </c>
      <c r="C9" s="45">
        <f>PA!$U$106</f>
        <v>9852.1258476736166</v>
      </c>
      <c r="D9" s="45">
        <f>PA!$U$107</f>
        <v>0.87415232638340967</v>
      </c>
      <c r="E9" s="45">
        <f>PA!$U$108</f>
        <v>0</v>
      </c>
      <c r="F9" s="46">
        <f t="shared" si="10"/>
        <v>9853</v>
      </c>
      <c r="H9" s="45">
        <f>PA!$U$110</f>
        <v>448179.11148642108</v>
      </c>
      <c r="I9" s="45">
        <f>PA!$U$111</f>
        <v>23685</v>
      </c>
      <c r="J9" s="45">
        <f>PA!$U$112</f>
        <v>240</v>
      </c>
      <c r="K9" s="45">
        <f>PA!$U$113</f>
        <v>41.8885135789169</v>
      </c>
      <c r="L9" s="45">
        <f>PA!$U$114</f>
        <v>0</v>
      </c>
      <c r="M9" s="46">
        <f t="shared" si="11"/>
        <v>472146</v>
      </c>
      <c r="O9" s="45">
        <f>PA!$U$116</f>
        <v>50445.767829308432</v>
      </c>
      <c r="P9" s="45">
        <f>PA!U117</f>
        <v>9.3827871443936601</v>
      </c>
      <c r="Q9" s="45">
        <f>PA!$U$118</f>
        <v>55302.849383547175</v>
      </c>
      <c r="R9" s="46">
        <f t="shared" si="12"/>
        <v>105758</v>
      </c>
      <c r="T9" s="45">
        <f>PA!$X$106</f>
        <v>15347.232170691568</v>
      </c>
      <c r="U9" s="45">
        <f>PA!$X$107</f>
        <v>2.8545469503114873</v>
      </c>
      <c r="V9" s="45">
        <f>PA!$X$108</f>
        <v>16824.91328235812</v>
      </c>
      <c r="W9" s="46">
        <f>SUM(T9:V9)</f>
        <v>32175</v>
      </c>
      <c r="Y9" s="45">
        <f>PA!$X$110</f>
        <v>51769</v>
      </c>
      <c r="AA9" s="45">
        <f>PA!$X$111</f>
        <v>6092</v>
      </c>
      <c r="AC9" s="45">
        <f>PA!$X$113</f>
        <v>15089</v>
      </c>
      <c r="AE9" s="45">
        <f>PA!$X$114</f>
        <v>6061</v>
      </c>
      <c r="AG9" s="45">
        <f>PA!$X$116</f>
        <v>631566</v>
      </c>
      <c r="AI9" s="45">
        <f>PA!$X$117</f>
        <v>139185</v>
      </c>
      <c r="AK9" s="45">
        <f t="shared" si="8"/>
        <v>1469694</v>
      </c>
      <c r="AM9" t="str">
        <f>IF((AK9=PA!$X$120),"ok","erro")</f>
        <v>ok</v>
      </c>
    </row>
    <row r="10" spans="1:39">
      <c r="A10" s="43" t="s">
        <v>25</v>
      </c>
      <c r="C10" s="45">
        <f>RO!$U$106</f>
        <v>2368.7563096873528</v>
      </c>
      <c r="D10" s="45">
        <f>RO!$U$107</f>
        <v>0.24369031264723162</v>
      </c>
      <c r="E10" s="45">
        <f>RO!$U$108</f>
        <v>0</v>
      </c>
      <c r="F10" s="46">
        <f t="shared" si="10"/>
        <v>2369</v>
      </c>
      <c r="H10" s="45">
        <f>RO!$U$110</f>
        <v>210441.28660215953</v>
      </c>
      <c r="I10" s="45">
        <f>RO!$U$111</f>
        <v>10236</v>
      </c>
      <c r="J10" s="45">
        <f>RO!$U$112</f>
        <v>105</v>
      </c>
      <c r="K10" s="45">
        <f>RO!$U$113</f>
        <v>22.713397840474499</v>
      </c>
      <c r="L10" s="45">
        <f>RO!$U$114</f>
        <v>0</v>
      </c>
      <c r="M10" s="46">
        <f t="shared" si="11"/>
        <v>220805</v>
      </c>
      <c r="O10" s="45">
        <f>RO!$U$116</f>
        <v>30744.674067631859</v>
      </c>
      <c r="P10" s="45">
        <f>RO!U117</f>
        <v>7.0377021655003773</v>
      </c>
      <c r="Q10" s="45">
        <f>RO!$U$118</f>
        <v>37664.288230202641</v>
      </c>
      <c r="R10" s="46">
        <f t="shared" si="12"/>
        <v>68416</v>
      </c>
      <c r="T10" s="45">
        <f>RO!$X$106</f>
        <v>4391.3259323681377</v>
      </c>
      <c r="U10" s="45">
        <f>RO!$X$107</f>
        <v>1.0052096813797107</v>
      </c>
      <c r="V10" s="45">
        <f>RO!$X$108</f>
        <v>5379.6688579504826</v>
      </c>
      <c r="W10" s="46">
        <f t="shared" si="9"/>
        <v>9772</v>
      </c>
      <c r="Y10" s="45">
        <f>RO!$X$110</f>
        <v>27324</v>
      </c>
      <c r="AA10" s="45">
        <f>RO!$X$111</f>
        <v>5308</v>
      </c>
      <c r="AC10" s="45">
        <f>RO!$X$113</f>
        <v>4965</v>
      </c>
      <c r="AE10" s="45">
        <f>RO!$X$114</f>
        <v>1056</v>
      </c>
      <c r="AG10" s="45">
        <f>RO!$X$116</f>
        <v>328930</v>
      </c>
      <c r="AI10" s="45">
        <f>RO!$X$117</f>
        <v>96720</v>
      </c>
      <c r="AK10" s="45">
        <f t="shared" si="8"/>
        <v>765665</v>
      </c>
      <c r="AM10" t="str">
        <f>IF((AK10=RO!$X$120),"ok","erro")</f>
        <v>ok</v>
      </c>
    </row>
    <row r="11" spans="1:39">
      <c r="A11" s="43" t="s">
        <v>26</v>
      </c>
      <c r="C11" s="45">
        <f>RR!$U$106</f>
        <v>807.68447262003576</v>
      </c>
      <c r="D11" s="45">
        <f>RR!$U$107</f>
        <v>0.21471484654261985</v>
      </c>
      <c r="E11" s="45">
        <f>RR!$U$108</f>
        <v>93.100812533421617</v>
      </c>
      <c r="F11" s="46">
        <f t="shared" si="10"/>
        <v>901</v>
      </c>
      <c r="H11" s="45">
        <f>RR!$U$110</f>
        <v>49956.315527379964</v>
      </c>
      <c r="I11" s="45">
        <f>RR!$U$111</f>
        <v>1418</v>
      </c>
      <c r="J11" s="45">
        <f>RR!$U$112</f>
        <v>27</v>
      </c>
      <c r="K11" s="45">
        <f>RR!$U$113</f>
        <v>13.280387312021048</v>
      </c>
      <c r="L11" s="45">
        <f>RR!$U$114</f>
        <v>4313.4040853080151</v>
      </c>
      <c r="M11" s="46">
        <f t="shared" si="11"/>
        <v>55728</v>
      </c>
      <c r="O11" s="45">
        <f>RR!$U$116</f>
        <v>6903.8034632034633</v>
      </c>
      <c r="P11" s="45">
        <f>RR!U117</f>
        <v>4.5492857053250191</v>
      </c>
      <c r="Q11" s="45">
        <f>RR!$U$118</f>
        <v>12181.647251091212</v>
      </c>
      <c r="R11" s="46">
        <f t="shared" si="12"/>
        <v>19090</v>
      </c>
      <c r="T11" s="45">
        <f>RR!$X$106</f>
        <v>1450.1965367965367</v>
      </c>
      <c r="U11" s="45">
        <f>RR!$X$107</f>
        <v>0.95561213611108542</v>
      </c>
      <c r="V11" s="45">
        <f>RR!$X$108</f>
        <v>2558.8478510673522</v>
      </c>
      <c r="W11" s="46">
        <f t="shared" si="9"/>
        <v>4010</v>
      </c>
      <c r="Y11" s="45">
        <f>RR!$X$110</f>
        <v>3981</v>
      </c>
      <c r="AA11" s="45">
        <f>RR!$X$111</f>
        <v>489</v>
      </c>
      <c r="AC11" s="45">
        <f>RR!$X$113</f>
        <v>859</v>
      </c>
      <c r="AE11" s="45">
        <f>RR!$X$114</f>
        <v>587</v>
      </c>
      <c r="AG11" s="45">
        <f>RR!$X$116</f>
        <v>66797</v>
      </c>
      <c r="AI11" s="45">
        <f>RR!$X$117</f>
        <v>16500</v>
      </c>
      <c r="AK11" s="45">
        <f t="shared" si="8"/>
        <v>168942</v>
      </c>
      <c r="AM11" t="str">
        <f>IF((AK11=RR!$X$120),"ok","erro")</f>
        <v>ok</v>
      </c>
    </row>
    <row r="12" spans="1:39">
      <c r="A12" s="43" t="s">
        <v>27</v>
      </c>
      <c r="C12" s="45">
        <f>TO!$U$106</f>
        <v>2222.439538683554</v>
      </c>
      <c r="D12" s="45">
        <f>TO!$U$107</f>
        <v>0.19427712175502165</v>
      </c>
      <c r="E12" s="45">
        <f>TO!$U$108</f>
        <v>89.366184194690959</v>
      </c>
      <c r="F12" s="46">
        <f t="shared" si="10"/>
        <v>2312</v>
      </c>
      <c r="H12" s="45">
        <f>TO!$U$110</f>
        <v>154433.10296758215</v>
      </c>
      <c r="I12" s="45">
        <f>TO!$U$111</f>
        <v>10720</v>
      </c>
      <c r="J12" s="45">
        <f>TO!$U$112</f>
        <v>215</v>
      </c>
      <c r="K12" s="45">
        <f>TO!$U$113</f>
        <v>13.897032417851733</v>
      </c>
      <c r="L12" s="45">
        <f>TO!$U$114</f>
        <v>0</v>
      </c>
      <c r="M12" s="46">
        <f t="shared" si="11"/>
        <v>165382</v>
      </c>
      <c r="O12" s="45">
        <f>TO!$U$116</f>
        <v>23949.114574774034</v>
      </c>
      <c r="P12" s="45">
        <f>TO!$U$117</f>
        <v>4.1941842466039816</v>
      </c>
      <c r="Q12" s="45">
        <f>TO!$U$118</f>
        <v>25959.691240979362</v>
      </c>
      <c r="R12" s="46">
        <f t="shared" si="12"/>
        <v>49913</v>
      </c>
      <c r="T12" s="45">
        <f>TO!$X$106</f>
        <v>4079.8854252259653</v>
      </c>
      <c r="U12" s="45">
        <f>TO!$X$107</f>
        <v>0.71450621378971846</v>
      </c>
      <c r="V12" s="45">
        <f>TO!$X$108</f>
        <v>4422.400068560245</v>
      </c>
      <c r="W12" s="46">
        <f t="shared" si="9"/>
        <v>8503</v>
      </c>
      <c r="Y12" s="45">
        <f>TO!$X$110</f>
        <v>20998</v>
      </c>
      <c r="AA12" s="45">
        <f>TO!$X$111</f>
        <v>3886</v>
      </c>
      <c r="AC12" s="45">
        <f>TO!$X$113</f>
        <v>4742</v>
      </c>
      <c r="AE12" s="45">
        <f>TO!$X$114</f>
        <v>1488</v>
      </c>
      <c r="AG12" s="45">
        <f>TO!$X$116</f>
        <v>190224</v>
      </c>
      <c r="AI12" s="45">
        <f>TO!$X$117</f>
        <v>76764</v>
      </c>
      <c r="AK12" s="45">
        <f t="shared" si="8"/>
        <v>524212</v>
      </c>
      <c r="AM12" t="str">
        <f>IF((AK12=TO!$X$120),"ok","erro")</f>
        <v>ok</v>
      </c>
    </row>
    <row r="13" spans="1:39">
      <c r="A13" s="42" t="s">
        <v>28</v>
      </c>
      <c r="C13" s="46">
        <f>SUM(C14:C22)</f>
        <v>70749.196066648539</v>
      </c>
      <c r="D13" s="46">
        <f t="shared" ref="D13:AE13" si="13">SUM(D14:D22)</f>
        <v>4.003156422289976</v>
      </c>
      <c r="E13" s="46">
        <f t="shared" si="13"/>
        <v>16381.800776929174</v>
      </c>
      <c r="F13" s="46">
        <f t="shared" si="10"/>
        <v>87135</v>
      </c>
      <c r="H13" s="46">
        <f t="shared" si="13"/>
        <v>4489492.3596306639</v>
      </c>
      <c r="I13" s="46">
        <f>SUM(I14:I22)</f>
        <v>386265</v>
      </c>
      <c r="J13" s="46">
        <f t="shared" si="13"/>
        <v>232902</v>
      </c>
      <c r="K13" s="46">
        <f t="shared" si="13"/>
        <v>274.18498298322083</v>
      </c>
      <c r="L13" s="46">
        <f t="shared" si="13"/>
        <v>429771.45538635354</v>
      </c>
      <c r="M13" s="46">
        <f t="shared" si="11"/>
        <v>5538705.0000000009</v>
      </c>
      <c r="O13" s="46">
        <f t="shared" si="13"/>
        <v>355026.88124294707</v>
      </c>
      <c r="P13" s="46">
        <f t="shared" si="13"/>
        <v>49.863151251822273</v>
      </c>
      <c r="Q13" s="46">
        <f t="shared" ref="Q13" si="14">SUM(Q14:Q22)</f>
        <v>570490.25560580113</v>
      </c>
      <c r="R13" s="46">
        <f t="shared" si="12"/>
        <v>925567</v>
      </c>
      <c r="T13" s="46">
        <f t="shared" si="13"/>
        <v>118747.11875705289</v>
      </c>
      <c r="U13" s="46">
        <f t="shared" si="13"/>
        <v>15.948709342583243</v>
      </c>
      <c r="V13" s="46">
        <f t="shared" si="13"/>
        <v>195904.93253360453</v>
      </c>
      <c r="W13" s="46">
        <f t="shared" si="9"/>
        <v>314668</v>
      </c>
      <c r="Y13" s="46">
        <f t="shared" si="13"/>
        <v>408329</v>
      </c>
      <c r="AA13" s="46">
        <f>SUM(AA14:AA22)</f>
        <v>49691</v>
      </c>
      <c r="AC13" s="46">
        <f t="shared" si="13"/>
        <v>104989</v>
      </c>
      <c r="AE13" s="46">
        <f t="shared" si="13"/>
        <v>74561</v>
      </c>
      <c r="AG13" s="46">
        <f>SUM(AG14:AG22)</f>
        <v>5204358</v>
      </c>
      <c r="AI13" s="46">
        <f>SUM(AI14:AI22)</f>
        <v>710604</v>
      </c>
      <c r="AK13" s="46">
        <f t="shared" si="8"/>
        <v>13418607</v>
      </c>
    </row>
    <row r="14" spans="1:39">
      <c r="A14" s="43" t="s">
        <v>29</v>
      </c>
      <c r="C14" s="45">
        <f>AL!$U$106</f>
        <v>3142.4909878706853</v>
      </c>
      <c r="D14" s="45">
        <f>AL!$U$107</f>
        <v>0</v>
      </c>
      <c r="E14" s="45">
        <f>AL!$U$108</f>
        <v>758.50901212931467</v>
      </c>
      <c r="F14" s="46">
        <f t="shared" si="10"/>
        <v>3901</v>
      </c>
      <c r="H14" s="45">
        <f>AL!$U$110</f>
        <v>229440.5090121293</v>
      </c>
      <c r="I14" s="45">
        <f>AL!$U$111</f>
        <v>23851</v>
      </c>
      <c r="J14" s="45">
        <f>AL!$U$112</f>
        <v>18408</v>
      </c>
      <c r="K14" s="45">
        <f>AL!$U$113</f>
        <v>0</v>
      </c>
      <c r="L14" s="45">
        <f>AL!$U$114</f>
        <v>13121.490987870697</v>
      </c>
      <c r="M14" s="46">
        <f t="shared" si="11"/>
        <v>284821</v>
      </c>
      <c r="O14" s="45">
        <f>AL!$U$116</f>
        <v>15371.11266161166</v>
      </c>
      <c r="P14" s="45">
        <f>AL!$U$117</f>
        <v>0</v>
      </c>
      <c r="Q14" s="45">
        <f>AL!$U$118</f>
        <v>27658.88733838834</v>
      </c>
      <c r="R14" s="46">
        <f t="shared" si="12"/>
        <v>43030</v>
      </c>
      <c r="T14" s="45">
        <f>AL!$X$106</f>
        <v>5875.8873383883383</v>
      </c>
      <c r="U14" s="45">
        <f>AL!$X$107</f>
        <v>0</v>
      </c>
      <c r="V14" s="45">
        <f>AL!$X$108</f>
        <v>10573.112661611662</v>
      </c>
      <c r="W14" s="46">
        <f t="shared" si="9"/>
        <v>16449</v>
      </c>
      <c r="Y14" s="45">
        <f>AL!$X$110</f>
        <v>19376</v>
      </c>
      <c r="AA14" s="45">
        <f>AL!$X$111</f>
        <v>2076</v>
      </c>
      <c r="AC14" s="45">
        <f>AL!$X$113</f>
        <v>6303</v>
      </c>
      <c r="AE14" s="45">
        <f>AL!$X$114</f>
        <v>5572</v>
      </c>
      <c r="AG14" s="45">
        <f>AL!$X$116</f>
        <v>210233</v>
      </c>
      <c r="AI14" s="45">
        <f>AL!$X$117</f>
        <v>30870</v>
      </c>
      <c r="AK14" s="45">
        <f t="shared" si="8"/>
        <v>622631</v>
      </c>
      <c r="AM14" t="str">
        <f>IF((AK14=AL!$X$120),"ok","erro")</f>
        <v>ok</v>
      </c>
    </row>
    <row r="15" spans="1:39">
      <c r="A15" s="43" t="s">
        <v>30</v>
      </c>
      <c r="C15" s="45">
        <f>BA!$U$106</f>
        <v>14245.402552380592</v>
      </c>
      <c r="D15" s="45">
        <f>BA!$U$107</f>
        <v>0.76429097114305478</v>
      </c>
      <c r="E15" s="45">
        <f>BA!$U$108</f>
        <v>4529.8331566482648</v>
      </c>
      <c r="F15" s="46">
        <f t="shared" si="10"/>
        <v>18776</v>
      </c>
      <c r="H15" s="45">
        <f>BA!$U$110</f>
        <v>1113294.5974476195</v>
      </c>
      <c r="I15" s="45">
        <f>BA!$U$111</f>
        <v>96571</v>
      </c>
      <c r="J15" s="45">
        <f>BA!$U$112</f>
        <v>47428</v>
      </c>
      <c r="K15" s="45">
        <f>BA!$U$113</f>
        <v>59.730218638665974</v>
      </c>
      <c r="L15" s="45">
        <f>BA!$U$114</f>
        <v>210012.67233374179</v>
      </c>
      <c r="M15" s="46">
        <f t="shared" si="11"/>
        <v>1467366</v>
      </c>
      <c r="O15" s="45">
        <f>BA!$U$116</f>
        <v>80750.530753472718</v>
      </c>
      <c r="P15" s="45">
        <f>BA!$U$117</f>
        <v>10.977442507224623</v>
      </c>
      <c r="Q15" s="45">
        <f>BA!$U$118</f>
        <v>188916.49180402007</v>
      </c>
      <c r="R15" s="46">
        <f t="shared" si="12"/>
        <v>269678</v>
      </c>
      <c r="T15" s="45">
        <f>BA!$X$106</f>
        <v>25952.469246527293</v>
      </c>
      <c r="U15" s="45">
        <f>BA!$X$107</f>
        <v>3.5280478829808999</v>
      </c>
      <c r="V15" s="45">
        <f>BA!$X$108</f>
        <v>60716.002705589723</v>
      </c>
      <c r="W15" s="46">
        <f t="shared" si="9"/>
        <v>86672</v>
      </c>
      <c r="Y15" s="45">
        <f>BA!$X$110</f>
        <v>108266</v>
      </c>
      <c r="AA15" s="45">
        <f>BA!$X$111</f>
        <v>18228</v>
      </c>
      <c r="AC15" s="45">
        <f>BA!$X$113</f>
        <v>35061</v>
      </c>
      <c r="AE15" s="45">
        <f>BA!$X$114</f>
        <v>24410</v>
      </c>
      <c r="AG15" s="45">
        <f>BA!$X$116</f>
        <v>1045074</v>
      </c>
      <c r="AI15" s="45">
        <f>BA!$X$117</f>
        <v>145483</v>
      </c>
      <c r="AK15" s="45">
        <f t="shared" si="8"/>
        <v>3219014</v>
      </c>
      <c r="AM15" t="str">
        <f>IF((AK15=BA!$X$120),"ok","erro")</f>
        <v>ok</v>
      </c>
    </row>
    <row r="16" spans="1:39">
      <c r="A16" s="43" t="s">
        <v>31</v>
      </c>
      <c r="C16" s="45">
        <f>CE!$U$106</f>
        <v>17709.853700001069</v>
      </c>
      <c r="D16" s="45">
        <f>CE!$U$107</f>
        <v>0.41692871701889089</v>
      </c>
      <c r="E16" s="45">
        <f>CE!$U$108</f>
        <v>3804.7293712819119</v>
      </c>
      <c r="F16" s="46">
        <f t="shared" si="10"/>
        <v>21515</v>
      </c>
      <c r="H16" s="45">
        <f>CE!$U$110</f>
        <v>752148.14629999897</v>
      </c>
      <c r="I16" s="45">
        <f>CE!$U$111</f>
        <v>62679</v>
      </c>
      <c r="J16" s="45">
        <f>CE!$U$112</f>
        <v>35822</v>
      </c>
      <c r="K16" s="45">
        <f>CE!$U$113</f>
        <v>17.707213563495316</v>
      </c>
      <c r="L16" s="45">
        <f>CE!$U$114</f>
        <v>63088.14648643753</v>
      </c>
      <c r="M16" s="46">
        <f t="shared" si="11"/>
        <v>913755</v>
      </c>
      <c r="O16" s="45">
        <f>CE!$U$116</f>
        <v>71766.421763129474</v>
      </c>
      <c r="P16" s="45">
        <f>CE!$U$117</f>
        <v>2.9175514719681814</v>
      </c>
      <c r="Q16" s="45">
        <f>CE!$U$118</f>
        <v>78786.660685398558</v>
      </c>
      <c r="R16" s="46">
        <f t="shared" si="12"/>
        <v>150556</v>
      </c>
      <c r="T16" s="45">
        <f>CE!$X$106</f>
        <v>23572.578236870526</v>
      </c>
      <c r="U16" s="45">
        <f>CE!$X$107</f>
        <v>0.95830624745576642</v>
      </c>
      <c r="V16" s="45">
        <f>CE!$X$108</f>
        <v>25878.463456882018</v>
      </c>
      <c r="W16" s="46">
        <f t="shared" si="9"/>
        <v>49452</v>
      </c>
      <c r="Y16" s="45">
        <f>CE!$X$110</f>
        <v>62907</v>
      </c>
      <c r="AA16" s="45">
        <f>CE!$X$111</f>
        <v>6844</v>
      </c>
      <c r="AC16" s="45">
        <f>CE!$X$113</f>
        <v>14338</v>
      </c>
      <c r="AE16" s="45">
        <f>CE!$X$114</f>
        <v>9907</v>
      </c>
      <c r="AG16" s="45">
        <f>CE!$X$116</f>
        <v>1086533</v>
      </c>
      <c r="AI16" s="45">
        <f>CE!$X$117</f>
        <v>124408</v>
      </c>
      <c r="AK16" s="45">
        <f t="shared" si="8"/>
        <v>2440215</v>
      </c>
      <c r="AM16" t="str">
        <f>IF((AK16=CE!$X$120),"ok","erro")</f>
        <v>ok</v>
      </c>
    </row>
    <row r="17" spans="1:39">
      <c r="A17" s="43" t="s">
        <v>32</v>
      </c>
      <c r="C17" s="45">
        <f>MA!$U$106</f>
        <v>6389.9041400057304</v>
      </c>
      <c r="D17" s="45">
        <f>MA!$U$107</f>
        <v>1.095859994269631</v>
      </c>
      <c r="E17" s="45">
        <f>MA!$U$108</f>
        <v>0</v>
      </c>
      <c r="F17" s="46">
        <f t="shared" si="10"/>
        <v>6391</v>
      </c>
      <c r="H17" s="45">
        <f>MA!$U$110</f>
        <v>334238.31000989745</v>
      </c>
      <c r="I17" s="45">
        <f>MA!$U$111</f>
        <v>13627</v>
      </c>
      <c r="J17" s="45">
        <f>MA!$U$112</f>
        <v>184</v>
      </c>
      <c r="K17" s="45">
        <f>MA!$U$113</f>
        <v>59.68999010254629</v>
      </c>
      <c r="L17" s="45">
        <f>MA!$U$114</f>
        <v>0</v>
      </c>
      <c r="M17" s="46">
        <f t="shared" si="11"/>
        <v>348109</v>
      </c>
      <c r="O17" s="45">
        <f>MA!$U$116</f>
        <v>39788.078419189638</v>
      </c>
      <c r="P17" s="45">
        <f>MA!$U$117</f>
        <v>15.064774138096254</v>
      </c>
      <c r="Q17" s="45">
        <f>MA!$U$118</f>
        <v>48053.856806672266</v>
      </c>
      <c r="R17" s="46">
        <f t="shared" si="12"/>
        <v>87857</v>
      </c>
      <c r="T17" s="45">
        <f>MA!$X$106</f>
        <v>8317.9215808103636</v>
      </c>
      <c r="U17" s="45">
        <f>MA!$X$107</f>
        <v>3.1493757651005581</v>
      </c>
      <c r="V17" s="45">
        <f>MA!$X$108</f>
        <v>10045.929043424536</v>
      </c>
      <c r="W17" s="46">
        <f t="shared" si="9"/>
        <v>18367</v>
      </c>
      <c r="Y17" s="45">
        <f>MA!$X$110</f>
        <v>34247</v>
      </c>
      <c r="AA17" s="45">
        <f>MA!$X$111</f>
        <v>3123</v>
      </c>
      <c r="AC17" s="45">
        <f>MA!$X$113</f>
        <v>7129</v>
      </c>
      <c r="AE17" s="45">
        <f>MA!$X$114</f>
        <v>4186</v>
      </c>
      <c r="AG17" s="45">
        <f>MA!$X$116</f>
        <v>636784</v>
      </c>
      <c r="AI17" s="45">
        <f>MA!$X$117</f>
        <v>112129</v>
      </c>
      <c r="AK17" s="45">
        <f>SUM(F17,M17,R17,W17,Y17,AA17,AC17,AE17,AG17,AI17)</f>
        <v>1258322</v>
      </c>
      <c r="AM17" t="str">
        <f>IF((AK17=MA!$X$120),"ok","erro")</f>
        <v>ok</v>
      </c>
    </row>
    <row r="18" spans="1:39">
      <c r="A18" s="43" t="s">
        <v>33</v>
      </c>
      <c r="C18" s="45">
        <f>PB!$U$106</f>
        <v>4835.2381341928312</v>
      </c>
      <c r="D18" s="45">
        <f>PB!$U$107</f>
        <v>3.5746463381656213E-2</v>
      </c>
      <c r="E18" s="45">
        <f>PB!$U$108</f>
        <v>1274.7261193437871</v>
      </c>
      <c r="F18" s="46">
        <f>SUM(C18:E18)</f>
        <v>6110</v>
      </c>
      <c r="H18" s="45">
        <f>PB!$U$110</f>
        <v>333747.76186580717</v>
      </c>
      <c r="I18" s="45">
        <f>PB!$U$111</f>
        <v>29191</v>
      </c>
      <c r="J18" s="45">
        <f>PB!$U$112</f>
        <v>21328</v>
      </c>
      <c r="K18" s="45">
        <f>PB!$U$113</f>
        <v>2.467365994642023</v>
      </c>
      <c r="L18" s="45">
        <f>PB!$U$114</f>
        <v>37467.770768198185</v>
      </c>
      <c r="M18" s="46">
        <f t="shared" si="11"/>
        <v>421737</v>
      </c>
      <c r="O18" s="45">
        <f>PB!$U$116</f>
        <v>24892.24964971565</v>
      </c>
      <c r="P18" s="45">
        <f>PB!$U$117</f>
        <v>0.37247112785553327</v>
      </c>
      <c r="Q18" s="45">
        <f>PB!$U$118</f>
        <v>38772.377879156498</v>
      </c>
      <c r="R18" s="46">
        <f t="shared" si="12"/>
        <v>63665</v>
      </c>
      <c r="T18" s="45">
        <f>PB!$X$106</f>
        <v>8314.7503502843465</v>
      </c>
      <c r="U18" s="45">
        <f>PB!$X$107</f>
        <v>0.12441641412078752</v>
      </c>
      <c r="V18" s="45">
        <f>PB!$X$108</f>
        <v>12951.125233301533</v>
      </c>
      <c r="W18" s="46">
        <f>SUM(T18:V18)</f>
        <v>21266</v>
      </c>
      <c r="Y18" s="45">
        <f>PB!$X$110</f>
        <v>26226</v>
      </c>
      <c r="AA18" s="45">
        <f>PB!$X$111</f>
        <v>2404</v>
      </c>
      <c r="AC18" s="45">
        <f>PB!$X$113</f>
        <v>6668</v>
      </c>
      <c r="AE18" s="45">
        <f>PB!$X$114</f>
        <v>4102</v>
      </c>
      <c r="AG18" s="45">
        <f>PB!$X$116</f>
        <v>381890</v>
      </c>
      <c r="AI18" s="45">
        <f>PB!$X$117</f>
        <v>53263</v>
      </c>
      <c r="AK18" s="45">
        <f t="shared" si="8"/>
        <v>987331</v>
      </c>
      <c r="AM18" t="str">
        <f>IF((AK18=PB!$X$120),"ok","erro")</f>
        <v>ok</v>
      </c>
    </row>
    <row r="19" spans="1:39">
      <c r="A19" s="43" t="s">
        <v>34</v>
      </c>
      <c r="C19" s="45">
        <f>PE!$U$106</f>
        <v>11199.255168791271</v>
      </c>
      <c r="D19" s="45">
        <f>PE!$U$107</f>
        <v>1.0292801041050552</v>
      </c>
      <c r="E19" s="45">
        <f>PE!$U$108</f>
        <v>1614.715551104624</v>
      </c>
      <c r="F19" s="46">
        <f t="shared" si="10"/>
        <v>12815</v>
      </c>
      <c r="H19" s="45">
        <f>PE!$U$110</f>
        <v>978739.74483120884</v>
      </c>
      <c r="I19" s="45">
        <f>PE!$U$111</f>
        <v>93907</v>
      </c>
      <c r="J19" s="45">
        <f>PE!$U$112</f>
        <v>44996</v>
      </c>
      <c r="K19" s="45">
        <f>PE!$U$113</f>
        <v>89.952173717552796</v>
      </c>
      <c r="L19" s="45">
        <f>PE!$U$114</f>
        <v>2212.3029950736091</v>
      </c>
      <c r="M19" s="46">
        <f t="shared" si="11"/>
        <v>1119945</v>
      </c>
      <c r="O19" s="45">
        <f>PE!$U$116</f>
        <v>54560.627790977051</v>
      </c>
      <c r="P19" s="45">
        <f>PE!$U$117</f>
        <v>11.913947324414039</v>
      </c>
      <c r="Q19" s="45">
        <f>PE!$U$118</f>
        <v>93761.458261698543</v>
      </c>
      <c r="R19" s="46">
        <f t="shared" si="12"/>
        <v>148334</v>
      </c>
      <c r="T19" s="45">
        <f>PE!$X$106</f>
        <v>27956.372209022949</v>
      </c>
      <c r="U19" s="45">
        <f>PE!$X$107</f>
        <v>6.104598853882635</v>
      </c>
      <c r="V19" s="45">
        <f>PE!$X$108</f>
        <v>48042.523192123168</v>
      </c>
      <c r="W19" s="46">
        <f t="shared" si="9"/>
        <v>76005</v>
      </c>
      <c r="Y19" s="45">
        <f>PE!$X$110</f>
        <v>85587</v>
      </c>
      <c r="AA19" s="45">
        <f>PE!$X$111</f>
        <v>10370</v>
      </c>
      <c r="AC19" s="45">
        <f>PE!$X$113</f>
        <v>18160</v>
      </c>
      <c r="AE19" s="45">
        <f>PE!$X$114</f>
        <v>16068</v>
      </c>
      <c r="AG19" s="45">
        <f>PE!$X$116</f>
        <v>860288</v>
      </c>
      <c r="AI19" s="45">
        <f>PE!$X$117</f>
        <v>86982</v>
      </c>
      <c r="AK19" s="45">
        <f t="shared" si="8"/>
        <v>2434554</v>
      </c>
      <c r="AM19" t="str">
        <f>IF((AK19=PE!$X$120),"ok","erro")</f>
        <v>ok</v>
      </c>
    </row>
    <row r="20" spans="1:39">
      <c r="A20" s="43" t="s">
        <v>35</v>
      </c>
      <c r="C20" s="45">
        <f>PI!$U$106</f>
        <v>3749.3507593080344</v>
      </c>
      <c r="D20" s="45">
        <f>PI!$U$107</f>
        <v>0.38576637165078864</v>
      </c>
      <c r="E20" s="45">
        <f>PI!$U$108</f>
        <v>62.263474320314799</v>
      </c>
      <c r="F20" s="46">
        <f t="shared" si="10"/>
        <v>3812</v>
      </c>
      <c r="H20" s="45">
        <f>PI!$U$110</f>
        <v>248171.99078810029</v>
      </c>
      <c r="I20" s="45">
        <f>PI!$U$111</f>
        <v>18136</v>
      </c>
      <c r="J20" s="45">
        <f>PI!$U$112</f>
        <v>560</v>
      </c>
      <c r="K20" s="45">
        <f>PI!$U$113</f>
        <v>27.009211899712682</v>
      </c>
      <c r="L20" s="45">
        <f>PI!$U$114</f>
        <v>0</v>
      </c>
      <c r="M20" s="46">
        <f t="shared" si="11"/>
        <v>266895</v>
      </c>
      <c r="O20" s="45">
        <f>PI!$U$116</f>
        <v>30884.207371922821</v>
      </c>
      <c r="P20" s="45">
        <f>PI!$U$117</f>
        <v>6.3175821220938815</v>
      </c>
      <c r="Q20" s="45">
        <f>PI!$U$118</f>
        <v>31537.475045955085</v>
      </c>
      <c r="R20" s="46">
        <f t="shared" si="12"/>
        <v>62428</v>
      </c>
      <c r="T20" s="45">
        <f>PI!$X$106</f>
        <v>6293.7926280771799</v>
      </c>
      <c r="U20" s="45">
        <f>PI!$X$107</f>
        <v>1.2874396065417386</v>
      </c>
      <c r="V20" s="45">
        <f>PI!$X$108</f>
        <v>6426.9199323162784</v>
      </c>
      <c r="W20" s="46">
        <f t="shared" si="9"/>
        <v>12722</v>
      </c>
      <c r="Y20" s="45">
        <f>PI!$X$110</f>
        <v>23815</v>
      </c>
      <c r="AA20" s="45">
        <f>PI!$X$111</f>
        <v>2018</v>
      </c>
      <c r="AC20" s="45">
        <f>PI!$X$113</f>
        <v>5509</v>
      </c>
      <c r="AE20" s="45">
        <f>PI!$X$114</f>
        <v>2728</v>
      </c>
      <c r="AG20" s="45">
        <f>PI!$X$116</f>
        <v>431796</v>
      </c>
      <c r="AI20" s="45">
        <f>PI!$X$117</f>
        <v>75178</v>
      </c>
      <c r="AK20" s="45">
        <f t="shared" si="8"/>
        <v>886901</v>
      </c>
      <c r="AM20" t="str">
        <f>IF((AK20=PI!$X$120),"ok","erro")</f>
        <v>ok</v>
      </c>
    </row>
    <row r="21" spans="1:39">
      <c r="A21" s="43" t="s">
        <v>36</v>
      </c>
      <c r="C21" s="45">
        <f>RN!$U$106</f>
        <v>7127.5743264763687</v>
      </c>
      <c r="D21" s="45">
        <f>RN!$U$107</f>
        <v>0.13708404021781462</v>
      </c>
      <c r="E21" s="45">
        <f>RN!$U$108</f>
        <v>3538.2885894834135</v>
      </c>
      <c r="F21" s="46">
        <f t="shared" si="10"/>
        <v>10666</v>
      </c>
      <c r="H21" s="45">
        <f>RN!$U$110</f>
        <v>297097.42567352363</v>
      </c>
      <c r="I21" s="45">
        <f>RN!$U$111</f>
        <v>29936</v>
      </c>
      <c r="J21" s="45">
        <f>RN!$U$112</f>
        <v>44586</v>
      </c>
      <c r="K21" s="45">
        <f>RN!$U$113</f>
        <v>5.7140499114757404</v>
      </c>
      <c r="L21" s="45">
        <f>RN!$U$114</f>
        <v>72963.860276564898</v>
      </c>
      <c r="M21" s="46">
        <f t="shared" si="11"/>
        <v>444589</v>
      </c>
      <c r="O21" s="45">
        <f>RN!$U$116</f>
        <v>25601.796865386121</v>
      </c>
      <c r="P21" s="45">
        <f>RN!$U$117</f>
        <v>0.86559844596195035</v>
      </c>
      <c r="Q21" s="45">
        <f>RN!$U$118</f>
        <v>41746.337536167921</v>
      </c>
      <c r="R21" s="46">
        <f t="shared" si="12"/>
        <v>67349</v>
      </c>
      <c r="T21" s="45">
        <f>RN!$X$106</f>
        <v>8378.2031346138792</v>
      </c>
      <c r="U21" s="45">
        <f>RN!$X$107</f>
        <v>0.28326760232448578</v>
      </c>
      <c r="V21" s="45">
        <f>RN!$X$108</f>
        <v>13661.513597783796</v>
      </c>
      <c r="W21" s="46">
        <f t="shared" si="9"/>
        <v>22040</v>
      </c>
      <c r="Y21" s="45">
        <f>RN!$X$110</f>
        <v>28384</v>
      </c>
      <c r="AA21" s="45">
        <f>RN!$X$111</f>
        <v>2631</v>
      </c>
      <c r="AC21" s="45">
        <f>RN!$X$113</f>
        <v>5890</v>
      </c>
      <c r="AE21" s="45">
        <f>RN!$X$114</f>
        <v>4449</v>
      </c>
      <c r="AG21" s="45">
        <f>RN!$X$116</f>
        <v>353597</v>
      </c>
      <c r="AI21" s="45">
        <f>RN!$X$117</f>
        <v>47989</v>
      </c>
      <c r="AK21" s="45">
        <f t="shared" si="8"/>
        <v>987584</v>
      </c>
      <c r="AM21" t="str">
        <f>IF((AK21=RN!$X$120),"ok","erro")</f>
        <v>ok</v>
      </c>
    </row>
    <row r="22" spans="1:39">
      <c r="A22" s="43" t="s">
        <v>37</v>
      </c>
      <c r="C22" s="45">
        <f>SE!$U$106</f>
        <v>2350.1262976219518</v>
      </c>
      <c r="D22" s="45">
        <f>SE!$U$107</f>
        <v>0.13819976050308469</v>
      </c>
      <c r="E22" s="45">
        <f>SE!$U$108</f>
        <v>798.73550261754508</v>
      </c>
      <c r="F22" s="46">
        <f t="shared" si="10"/>
        <v>3149</v>
      </c>
      <c r="H22" s="45">
        <f>SE!$U$110</f>
        <v>202613.87370237804</v>
      </c>
      <c r="I22" s="45">
        <f>SE!$U$111</f>
        <v>18367</v>
      </c>
      <c r="J22" s="45">
        <f>SE!$U$112</f>
        <v>19590</v>
      </c>
      <c r="K22" s="45">
        <f>SE!$U$113</f>
        <v>11.914759155130014</v>
      </c>
      <c r="L22" s="45">
        <f>SE!$U$114</f>
        <v>30905.211538466829</v>
      </c>
      <c r="M22" s="46">
        <f t="shared" si="11"/>
        <v>271488</v>
      </c>
      <c r="O22" s="45">
        <f>SE!$U$116</f>
        <v>11411.855967541982</v>
      </c>
      <c r="P22" s="45">
        <f>SE!$U$117</f>
        <v>1.4337841142078105</v>
      </c>
      <c r="Q22" s="45">
        <f>SE!$U$118</f>
        <v>21256.71024834381</v>
      </c>
      <c r="R22" s="46">
        <f t="shared" si="12"/>
        <v>32670</v>
      </c>
      <c r="T22" s="45">
        <f>SE!$X$106</f>
        <v>4085.1440324580185</v>
      </c>
      <c r="U22" s="45">
        <f>SE!$X$107</f>
        <v>0.5132569701763714</v>
      </c>
      <c r="V22" s="45">
        <f>SE!$X$108</f>
        <v>7609.3427105718056</v>
      </c>
      <c r="W22" s="46">
        <f t="shared" si="9"/>
        <v>11695</v>
      </c>
      <c r="Y22" s="45">
        <f>SE!$X$110</f>
        <v>19521</v>
      </c>
      <c r="AA22" s="45">
        <f>SE!$X$111</f>
        <v>1997</v>
      </c>
      <c r="AC22" s="45">
        <f>SE!$X$113</f>
        <v>5931</v>
      </c>
      <c r="AE22" s="45">
        <f>SE!$X$114</f>
        <v>3139</v>
      </c>
      <c r="AG22" s="45">
        <f>SE!$X$116</f>
        <v>198163</v>
      </c>
      <c r="AI22" s="45">
        <f>SE!$X$117</f>
        <v>34302</v>
      </c>
      <c r="AK22" s="45">
        <f t="shared" si="8"/>
        <v>582055</v>
      </c>
      <c r="AM22" t="str">
        <f>IF((AK22=SE!$X$120),"ok","erro")</f>
        <v>ok</v>
      </c>
    </row>
    <row r="23" spans="1:39">
      <c r="A23" s="44" t="s">
        <v>38</v>
      </c>
      <c r="C23" s="46">
        <f>SUM(C24:C27)</f>
        <v>125552.06054975741</v>
      </c>
      <c r="D23" s="46">
        <f t="shared" ref="D23:AC23" si="15">SUM(D24:D27)</f>
        <v>18.86435789175448</v>
      </c>
      <c r="E23" s="46">
        <f t="shared" si="15"/>
        <v>133594.07509235083</v>
      </c>
      <c r="F23" s="46">
        <f t="shared" si="10"/>
        <v>259165</v>
      </c>
      <c r="H23" s="46">
        <f t="shared" si="15"/>
        <v>12533012.939450242</v>
      </c>
      <c r="I23" s="46">
        <f t="shared" si="15"/>
        <v>2634814</v>
      </c>
      <c r="J23" s="46">
        <f t="shared" si="15"/>
        <v>1333253</v>
      </c>
      <c r="K23" s="46">
        <f>SUM(K24:K27)</f>
        <v>1840.5723197592888</v>
      </c>
      <c r="L23" s="46">
        <f t="shared" ref="L23" si="16">SUM(L24:L27)</f>
        <v>9276658.4882299975</v>
      </c>
      <c r="M23" s="46">
        <f t="shared" si="11"/>
        <v>25779579</v>
      </c>
      <c r="O23" s="46">
        <f t="shared" si="15"/>
        <v>562822.64281229954</v>
      </c>
      <c r="P23" s="46">
        <f t="shared" si="15"/>
        <v>191.81057060972671</v>
      </c>
      <c r="Q23" s="46">
        <f t="shared" ref="Q23" si="17">SUM(Q24:Q27)</f>
        <v>2195512.5466170907</v>
      </c>
      <c r="R23" s="46">
        <f t="shared" si="12"/>
        <v>2758527</v>
      </c>
      <c r="T23" s="46">
        <f t="shared" si="15"/>
        <v>293951.35718770046</v>
      </c>
      <c r="U23" s="46">
        <f t="shared" si="15"/>
        <v>109.75275173961563</v>
      </c>
      <c r="V23" s="46">
        <f t="shared" si="15"/>
        <v>1209705.8900605598</v>
      </c>
      <c r="W23" s="46">
        <f t="shared" si="15"/>
        <v>1503767</v>
      </c>
      <c r="Y23" s="46">
        <f t="shared" si="15"/>
        <v>1156680</v>
      </c>
      <c r="AA23" s="46">
        <f t="shared" si="15"/>
        <v>241624</v>
      </c>
      <c r="AC23" s="46">
        <f t="shared" si="15"/>
        <v>275500</v>
      </c>
      <c r="AE23" s="46">
        <f>SUM(AE24:AE27)</f>
        <v>194999</v>
      </c>
      <c r="AG23" s="46">
        <f>SUM(AG24:AG27)</f>
        <v>7379204</v>
      </c>
      <c r="AI23" s="46">
        <f>SUM(AI24:AI27)</f>
        <v>1181624</v>
      </c>
      <c r="AK23" s="46">
        <f t="shared" si="8"/>
        <v>40730669</v>
      </c>
    </row>
    <row r="24" spans="1:39">
      <c r="A24" s="43" t="s">
        <v>39</v>
      </c>
      <c r="C24" s="45">
        <f>ES!$U$106</f>
        <v>7343.396619435297</v>
      </c>
      <c r="D24" s="45">
        <f>ES!$U$107</f>
        <v>0.40115621017321246</v>
      </c>
      <c r="E24" s="45">
        <f>ES!$U$108</f>
        <v>3909.2022243545298</v>
      </c>
      <c r="F24" s="46">
        <f t="shared" si="10"/>
        <v>11253</v>
      </c>
      <c r="H24" s="45">
        <f>ES!$U$110</f>
        <v>534355.60338056472</v>
      </c>
      <c r="I24" s="45">
        <f>ES!$U$111</f>
        <v>53675</v>
      </c>
      <c r="J24" s="45">
        <f>ES!$U$112</f>
        <v>27825</v>
      </c>
      <c r="K24" s="45">
        <f>ES!$U$113</f>
        <v>29.190860830014572</v>
      </c>
      <c r="L24" s="45">
        <f>ES!$U$114</f>
        <v>202960.20575860527</v>
      </c>
      <c r="M24" s="46">
        <f t="shared" si="11"/>
        <v>818845</v>
      </c>
      <c r="O24" s="45">
        <f>ES!$U$116</f>
        <v>41797.542244079377</v>
      </c>
      <c r="P24" s="45">
        <f>ES!$U$117</f>
        <v>4.7488154192978982</v>
      </c>
      <c r="Q24" s="45">
        <f>ES!$U$118</f>
        <v>91408.708940501325</v>
      </c>
      <c r="R24" s="46">
        <f t="shared" si="12"/>
        <v>133211</v>
      </c>
      <c r="T24" s="45">
        <f>ES!$X$106</f>
        <v>14603.457755920623</v>
      </c>
      <c r="U24" s="45">
        <f>ES!$X$107</f>
        <v>1.6591675405579736</v>
      </c>
      <c r="V24" s="45">
        <f>ES!$X$108</f>
        <v>31936.883076538819</v>
      </c>
      <c r="W24" s="46">
        <f t="shared" si="9"/>
        <v>46542</v>
      </c>
      <c r="Y24" s="45">
        <f>ES!$X$110</f>
        <v>66100</v>
      </c>
      <c r="AA24" s="45">
        <f>ES!$X$111</f>
        <v>16834</v>
      </c>
      <c r="AC24" s="45">
        <f>ES!$X$113</f>
        <v>13748</v>
      </c>
      <c r="AE24" s="45">
        <f>ES!$X$114</f>
        <v>7083</v>
      </c>
      <c r="AG24" s="45">
        <f>ES!$X$116</f>
        <v>382944</v>
      </c>
      <c r="AI24" s="45">
        <f>ES!$X$117</f>
        <v>86787</v>
      </c>
      <c r="AK24" s="45">
        <f t="shared" si="8"/>
        <v>1583347</v>
      </c>
      <c r="AM24" t="str">
        <f>IF((AK24=ES!$X$120),"ok","erro")</f>
        <v>ok</v>
      </c>
    </row>
    <row r="25" spans="1:39">
      <c r="A25" s="43" t="s">
        <v>40</v>
      </c>
      <c r="C25" s="45">
        <f>MG!$U$106</f>
        <v>22973.145527087978</v>
      </c>
      <c r="D25" s="45">
        <f>MG!$U$107</f>
        <v>1.114084586246463</v>
      </c>
      <c r="E25" s="45">
        <f>MG!$U$108</f>
        <v>18096.740388325776</v>
      </c>
      <c r="F25" s="46">
        <f t="shared" si="10"/>
        <v>41071</v>
      </c>
      <c r="H25" s="45">
        <f>MG!$U$110</f>
        <v>2828014.8544729124</v>
      </c>
      <c r="I25" s="45">
        <f>MG!$U$111</f>
        <v>432025</v>
      </c>
      <c r="J25" s="45">
        <f>MG!$U$112</f>
        <v>33829</v>
      </c>
      <c r="K25" s="45">
        <f>MG!$U$113</f>
        <v>137.14481350965798</v>
      </c>
      <c r="L25" s="45">
        <f>MG!$U$114</f>
        <v>1761871.000713578</v>
      </c>
      <c r="M25" s="46">
        <f t="shared" si="11"/>
        <v>5055877</v>
      </c>
      <c r="O25" s="45">
        <f>MG!$U$116</f>
        <v>168569.7001028503</v>
      </c>
      <c r="P25" s="45">
        <f>MG!$U$117</f>
        <v>19.087789080222137</v>
      </c>
      <c r="Q25" s="45">
        <f>MG!$U$118</f>
        <v>535087.21210806945</v>
      </c>
      <c r="R25" s="46">
        <f t="shared" si="12"/>
        <v>703676</v>
      </c>
      <c r="T25" s="45">
        <f>MG!$X$106</f>
        <v>58757.2998971497</v>
      </c>
      <c r="U25" s="45">
        <f>MG!$X$107</f>
        <v>6.6533128235605545</v>
      </c>
      <c r="V25" s="45">
        <f>MG!$X$108</f>
        <v>186512.04679002674</v>
      </c>
      <c r="W25" s="46">
        <f t="shared" si="9"/>
        <v>245276</v>
      </c>
      <c r="Y25" s="45">
        <f>MG!$X$110</f>
        <v>304866</v>
      </c>
      <c r="AA25" s="45">
        <f>MG!$X$111</f>
        <v>58681</v>
      </c>
      <c r="AC25" s="45">
        <f>MG!$X$113</f>
        <v>69459</v>
      </c>
      <c r="AE25" s="45">
        <f>MG!$X$114</f>
        <v>40370</v>
      </c>
      <c r="AG25" s="45">
        <f>MG!$X$116</f>
        <v>2161244</v>
      </c>
      <c r="AI25" s="45">
        <f>MG!$X$117</f>
        <v>233639</v>
      </c>
      <c r="AK25" s="45">
        <f t="shared" si="8"/>
        <v>8914159</v>
      </c>
      <c r="AM25" t="str">
        <f>IF((AK25=MG!$X$120),"ok","erro")</f>
        <v>ok</v>
      </c>
    </row>
    <row r="26" spans="1:39">
      <c r="A26" s="43" t="s">
        <v>41</v>
      </c>
      <c r="C26" s="45">
        <f>RJ!$U$106</f>
        <v>16370.183536664481</v>
      </c>
      <c r="D26" s="45">
        <f>RJ!$U$107</f>
        <v>1.2645290021173423</v>
      </c>
      <c r="E26" s="45">
        <f>RJ!$U$108</f>
        <v>25247.551934333402</v>
      </c>
      <c r="F26" s="46">
        <f t="shared" si="10"/>
        <v>41619</v>
      </c>
      <c r="H26" s="45">
        <f>RJ!$U$110</f>
        <v>1547827.8164633354</v>
      </c>
      <c r="I26" s="45">
        <f>RJ!$U$111</f>
        <v>309882</v>
      </c>
      <c r="J26" s="45">
        <f>RJ!$U$112</f>
        <v>981093</v>
      </c>
      <c r="K26" s="45">
        <f>RJ!$U$113</f>
        <v>119.56329993577674</v>
      </c>
      <c r="L26" s="45">
        <f>RJ!$U$114</f>
        <v>1096222.6202367288</v>
      </c>
      <c r="M26" s="46">
        <f t="shared" si="11"/>
        <v>3935145</v>
      </c>
      <c r="O26" s="45">
        <f>RJ!$U$116</f>
        <v>46174.138865874214</v>
      </c>
      <c r="P26" s="45">
        <f>RJ!$U$117</f>
        <v>8.6658474222640507</v>
      </c>
      <c r="Q26" s="45">
        <f>RJ!$U$118</f>
        <v>239033.19528670353</v>
      </c>
      <c r="R26" s="46">
        <f t="shared" si="12"/>
        <v>285216</v>
      </c>
      <c r="T26" s="45">
        <f>RJ!$X$106</f>
        <v>39995.861134125793</v>
      </c>
      <c r="U26" s="45">
        <f>RJ!$X$107</f>
        <v>7.5063236396817956</v>
      </c>
      <c r="V26" s="45">
        <f>RJ!$X$108</f>
        <v>207049.63254223453</v>
      </c>
      <c r="W26" s="46">
        <f t="shared" si="9"/>
        <v>247053</v>
      </c>
      <c r="Y26" s="45">
        <f>RJ!$X$110</f>
        <v>135642</v>
      </c>
      <c r="AA26" s="45">
        <f>RJ!$X$111</f>
        <v>14787</v>
      </c>
      <c r="AC26" s="45">
        <f>RJ!$X$113</f>
        <v>44549</v>
      </c>
      <c r="AE26" s="45">
        <f>RJ!$X$114</f>
        <v>36711</v>
      </c>
      <c r="AG26" s="45">
        <f>RJ!$X$116</f>
        <v>778416</v>
      </c>
      <c r="AI26" s="45">
        <f>RJ!$X$117</f>
        <v>137372</v>
      </c>
      <c r="AK26" s="45">
        <f t="shared" si="8"/>
        <v>5656510</v>
      </c>
      <c r="AM26" t="str">
        <f>IF((AK26=RJ!$X$120),"ok","erro")</f>
        <v>ok</v>
      </c>
    </row>
    <row r="27" spans="1:39">
      <c r="A27" s="43" t="s">
        <v>42</v>
      </c>
      <c r="C27" s="45">
        <f>SP!$U$106</f>
        <v>78865.334866569654</v>
      </c>
      <c r="D27" s="45">
        <f>SP!$U$107</f>
        <v>16.084588093217462</v>
      </c>
      <c r="E27" s="45">
        <f>SP!$U$108</f>
        <v>86340.580545337129</v>
      </c>
      <c r="F27" s="46">
        <f t="shared" si="10"/>
        <v>165222</v>
      </c>
      <c r="H27" s="45">
        <f>SP!$U$110</f>
        <v>7622814.6651334306</v>
      </c>
      <c r="I27" s="45">
        <f>SP!$U$111</f>
        <v>1839232</v>
      </c>
      <c r="J27" s="45">
        <f>SP!$U$112</f>
        <v>290506</v>
      </c>
      <c r="K27" s="45">
        <f>SP!$U$113</f>
        <v>1554.6733454838395</v>
      </c>
      <c r="L27" s="45">
        <f>SP!$U$114</f>
        <v>6215604.6615210855</v>
      </c>
      <c r="M27" s="46">
        <f>SUM(H27:L27)</f>
        <v>15969712</v>
      </c>
      <c r="O27" s="45">
        <f>SP!$U$116</f>
        <v>306281.26159949566</v>
      </c>
      <c r="P27" s="45">
        <f>SP!$U$117</f>
        <v>159.30811868794262</v>
      </c>
      <c r="Q27" s="45">
        <f>SP!$U$118</f>
        <v>1329983.4302818165</v>
      </c>
      <c r="R27" s="46">
        <f t="shared" si="12"/>
        <v>1636424</v>
      </c>
      <c r="T27" s="45">
        <f>SP!$X$106</f>
        <v>180594.73840050437</v>
      </c>
      <c r="U27" s="45">
        <f>SP!$X$107</f>
        <v>93.933947735815309</v>
      </c>
      <c r="V27" s="45">
        <f>SP!$X$108</f>
        <v>784207.32765175984</v>
      </c>
      <c r="W27" s="46">
        <f t="shared" si="9"/>
        <v>964896</v>
      </c>
      <c r="Y27" s="45">
        <f>SP!$X$110</f>
        <v>650072</v>
      </c>
      <c r="AA27" s="45">
        <f>SP!$X$111</f>
        <v>151322</v>
      </c>
      <c r="AC27" s="45">
        <f>SP!$X$113</f>
        <v>147744</v>
      </c>
      <c r="AE27" s="45">
        <f>SP!$X$114</f>
        <v>110835</v>
      </c>
      <c r="AG27" s="45">
        <f>SP!$X$116</f>
        <v>4056600</v>
      </c>
      <c r="AI27" s="45">
        <f>SP!$X$117</f>
        <v>723826</v>
      </c>
      <c r="AK27" s="45">
        <f t="shared" si="8"/>
        <v>24576653</v>
      </c>
      <c r="AM27" t="str">
        <f>IF((AK27=SP!$X$120),"ok","erro")</f>
        <v>ok</v>
      </c>
    </row>
    <row r="28" spans="1:39">
      <c r="A28" s="42" t="s">
        <v>43</v>
      </c>
      <c r="C28" s="46">
        <f>SUM(C29:C31)</f>
        <v>48475.63697888876</v>
      </c>
      <c r="D28" s="46">
        <f t="shared" ref="D28:AE28" si="18">SUM(D29:D31)</f>
        <v>5.6957429713620513</v>
      </c>
      <c r="E28" s="46">
        <f t="shared" si="18"/>
        <v>53708.667278139881</v>
      </c>
      <c r="F28" s="46">
        <f t="shared" si="10"/>
        <v>102190</v>
      </c>
      <c r="H28" s="46">
        <f t="shared" si="18"/>
        <v>4720129.3630211111</v>
      </c>
      <c r="I28" s="46">
        <f>SUM(I29:I31)</f>
        <v>750278</v>
      </c>
      <c r="J28" s="46">
        <f t="shared" si="18"/>
        <v>188712</v>
      </c>
      <c r="K28" s="46">
        <f t="shared" si="18"/>
        <v>567.01848975056782</v>
      </c>
      <c r="L28" s="46">
        <f t="shared" si="18"/>
        <v>4395525.6184891388</v>
      </c>
      <c r="M28" s="46">
        <f t="shared" si="11"/>
        <v>10055212</v>
      </c>
      <c r="O28" s="46">
        <f t="shared" si="18"/>
        <v>371199.52396448923</v>
      </c>
      <c r="P28" s="46">
        <f t="shared" si="18"/>
        <v>71.544558238820173</v>
      </c>
      <c r="Q28" s="46">
        <f>SUM(Q29:Q31)</f>
        <v>876823.93147727195</v>
      </c>
      <c r="R28" s="46">
        <f t="shared" si="12"/>
        <v>1248095</v>
      </c>
      <c r="T28" s="46">
        <f t="shared" si="18"/>
        <v>152541.47603551074</v>
      </c>
      <c r="U28" s="46">
        <f t="shared" si="18"/>
        <v>28.741209039013484</v>
      </c>
      <c r="V28" s="46">
        <f t="shared" si="18"/>
        <v>358799.78275545023</v>
      </c>
      <c r="W28" s="46">
        <f>SUM(T28:V28)</f>
        <v>511370</v>
      </c>
      <c r="Y28" s="46">
        <f t="shared" si="18"/>
        <v>602791</v>
      </c>
      <c r="AA28" s="46">
        <f t="shared" si="18"/>
        <v>179560</v>
      </c>
      <c r="AC28" s="46">
        <f t="shared" si="18"/>
        <v>92994</v>
      </c>
      <c r="AE28" s="46">
        <f t="shared" si="18"/>
        <v>49213</v>
      </c>
      <c r="AG28" s="46">
        <f>SUM(AG29:AG31)</f>
        <v>2781514</v>
      </c>
      <c r="AI28" s="46">
        <f>SUM(AI29:AI31)</f>
        <v>660889</v>
      </c>
      <c r="AK28" s="46">
        <f t="shared" si="8"/>
        <v>16283828</v>
      </c>
    </row>
    <row r="29" spans="1:39">
      <c r="A29" s="43" t="s">
        <v>44</v>
      </c>
      <c r="C29" s="45">
        <f>PR!$U$106</f>
        <v>17466.169141319173</v>
      </c>
      <c r="D29" s="45">
        <f>PR!$U$107</f>
        <v>2.5315278483685688</v>
      </c>
      <c r="E29" s="45">
        <f>PR!$U$108</f>
        <v>18706.299330832459</v>
      </c>
      <c r="F29" s="46">
        <f t="shared" si="10"/>
        <v>36175</v>
      </c>
      <c r="H29" s="45">
        <f>PR!$U$110</f>
        <v>1861845.8308586809</v>
      </c>
      <c r="I29" s="45">
        <f>PR!$U$111</f>
        <v>419076</v>
      </c>
      <c r="J29" s="45">
        <f>PR!$U$112</f>
        <v>34894</v>
      </c>
      <c r="K29" s="45">
        <f>PR!$U$113</f>
        <v>269.85394061263651</v>
      </c>
      <c r="L29" s="45">
        <f>PR!$U$114</f>
        <v>1540070.3152007065</v>
      </c>
      <c r="M29" s="46">
        <f t="shared" si="11"/>
        <v>3856156</v>
      </c>
      <c r="O29" s="45">
        <f>PR!$U$116</f>
        <v>154617.97891523372</v>
      </c>
      <c r="P29" s="45">
        <f>PR!$U$117</f>
        <v>37.193829970550723</v>
      </c>
      <c r="Q29" s="45">
        <f>PR!$U$118</f>
        <v>376836.8272547957</v>
      </c>
      <c r="R29" s="46">
        <f t="shared" si="12"/>
        <v>531492</v>
      </c>
      <c r="T29" s="45">
        <f>PR!$X$106</f>
        <v>55791.021084766282</v>
      </c>
      <c r="U29" s="45">
        <f>PR!$X$107</f>
        <v>13.420701568276854</v>
      </c>
      <c r="V29" s="45">
        <f>PR!$X$108</f>
        <v>135974.55821366544</v>
      </c>
      <c r="W29" s="46">
        <f t="shared" si="9"/>
        <v>191779</v>
      </c>
      <c r="Y29" s="45">
        <f>PR!$X$110</f>
        <v>250417</v>
      </c>
      <c r="AA29" s="45">
        <f>PR!$X$111</f>
        <v>81024</v>
      </c>
      <c r="AC29" s="45">
        <f>PR!$X$113</f>
        <v>37698</v>
      </c>
      <c r="AE29" s="45">
        <f>PR!$X114</f>
        <v>19463</v>
      </c>
      <c r="AG29" s="45">
        <f>PR!$X$116</f>
        <v>1028370</v>
      </c>
      <c r="AI29" s="45">
        <f>PR!$X$117</f>
        <v>254620</v>
      </c>
      <c r="AK29" s="45">
        <f t="shared" si="8"/>
        <v>6287194</v>
      </c>
      <c r="AM29" t="str">
        <f>IF((AK29=PR!$X$120),"ok","erro")</f>
        <v>ok</v>
      </c>
    </row>
    <row r="30" spans="1:39">
      <c r="A30" s="43" t="s">
        <v>45</v>
      </c>
      <c r="C30" s="45">
        <f>RS!$U$106</f>
        <v>14368.932657861069</v>
      </c>
      <c r="D30" s="45">
        <f>RS!$U$107</f>
        <v>1.6727582646344672</v>
      </c>
      <c r="E30" s="45">
        <f>RS!$U$108</f>
        <v>20502.394583874295</v>
      </c>
      <c r="F30" s="46">
        <f t="shared" si="10"/>
        <v>34873</v>
      </c>
      <c r="H30" s="45">
        <f>RS!$U$110</f>
        <v>1529940.0673421388</v>
      </c>
      <c r="I30" s="45">
        <f>RS!$U$111</f>
        <v>197727</v>
      </c>
      <c r="J30" s="45">
        <f>RS!$U$112</f>
        <v>60383</v>
      </c>
      <c r="K30" s="45">
        <f>RS!$U$113</f>
        <v>178.10786319198087</v>
      </c>
      <c r="L30" s="45">
        <f>RS!$U$114</f>
        <v>1924893.8247946692</v>
      </c>
      <c r="M30" s="46">
        <f t="shared" si="11"/>
        <v>3713122</v>
      </c>
      <c r="O30" s="45">
        <f>RS!$U$116</f>
        <v>128012.60271130124</v>
      </c>
      <c r="P30" s="45">
        <f>RS!$U$117</f>
        <v>19.875282667635474</v>
      </c>
      <c r="Q30" s="45">
        <f>RS!$U$118</f>
        <v>286319.52200603113</v>
      </c>
      <c r="R30" s="46">
        <f t="shared" si="12"/>
        <v>414352</v>
      </c>
      <c r="T30" s="45">
        <f>RS!$X$106</f>
        <v>60183.397288698754</v>
      </c>
      <c r="U30" s="45">
        <f>RS!$X$107</f>
        <v>9.3440958755381871</v>
      </c>
      <c r="V30" s="45">
        <f>RS!$X$108</f>
        <v>134609.2586154257</v>
      </c>
      <c r="W30" s="46">
        <f t="shared" si="9"/>
        <v>194802</v>
      </c>
      <c r="Y30" s="45">
        <f>RS!$X$110</f>
        <v>210657</v>
      </c>
      <c r="AA30" s="45">
        <f>RS!$X$111</f>
        <v>52060</v>
      </c>
      <c r="AC30" s="45">
        <f>RS!$X$113</f>
        <v>37461</v>
      </c>
      <c r="AE30" s="45">
        <f>RS!$X$114</f>
        <v>19035</v>
      </c>
      <c r="AG30" s="45">
        <f>RS!$X$116</f>
        <v>975920</v>
      </c>
      <c r="AI30" s="45">
        <f>RS!$X$117</f>
        <v>167774</v>
      </c>
      <c r="AK30" s="45">
        <f t="shared" si="8"/>
        <v>5820056</v>
      </c>
      <c r="AM30" t="str">
        <f>IF((AK30=RS!$X$120),"ok","erro")</f>
        <v>ok</v>
      </c>
    </row>
    <row r="31" spans="1:39">
      <c r="A31" s="43" t="s">
        <v>46</v>
      </c>
      <c r="C31" s="45">
        <f>SC!$U$106</f>
        <v>16640.535179708517</v>
      </c>
      <c r="D31" s="45">
        <f>SC!$U$107</f>
        <v>1.4914568583590153</v>
      </c>
      <c r="E31" s="45">
        <f>SC!$U$108</f>
        <v>14499.973363433124</v>
      </c>
      <c r="F31" s="46">
        <f>SUM(C31:E31)</f>
        <v>31142</v>
      </c>
      <c r="H31" s="45">
        <f>SC!$U$110</f>
        <v>1328343.4648202914</v>
      </c>
      <c r="I31" s="45">
        <f>SC!$U$111</f>
        <v>133475</v>
      </c>
      <c r="J31" s="45">
        <f>SC!$U$112</f>
        <v>93435</v>
      </c>
      <c r="K31" s="45">
        <f>SC!$U$113</f>
        <v>119.05668594595045</v>
      </c>
      <c r="L31" s="45">
        <f>SC!$U$114</f>
        <v>930561.47849376267</v>
      </c>
      <c r="M31" s="46">
        <f>SUM(H31:L31)</f>
        <v>2485934</v>
      </c>
      <c r="O31" s="45">
        <f>SC!$U$116</f>
        <v>88568.942337954286</v>
      </c>
      <c r="P31" s="45">
        <f>SC!$U$117</f>
        <v>14.475445600633975</v>
      </c>
      <c r="Q31" s="45">
        <f>SC!$U$118</f>
        <v>213667.58221644507</v>
      </c>
      <c r="R31" s="46">
        <f>SUM(O31:Q31)</f>
        <v>302251</v>
      </c>
      <c r="T31" s="45">
        <f>SC!$X$106</f>
        <v>36567.057662045707</v>
      </c>
      <c r="U31" s="45">
        <f>SC!$X$107</f>
        <v>5.9764115951984422</v>
      </c>
      <c r="V31" s="45">
        <f>SC!$X$108</f>
        <v>88215.965926359087</v>
      </c>
      <c r="W31" s="46">
        <f>SUM(T31:V31)</f>
        <v>124789</v>
      </c>
      <c r="Y31" s="45">
        <f>SC!$X$110</f>
        <v>141717</v>
      </c>
      <c r="AA31" s="45">
        <f>SC!$X$111</f>
        <v>46476</v>
      </c>
      <c r="AC31" s="45">
        <f>SC!$X$113</f>
        <v>17835</v>
      </c>
      <c r="AE31" s="45">
        <f>SC!$X$114</f>
        <v>10715</v>
      </c>
      <c r="AG31" s="45">
        <f>SC!$X$116</f>
        <v>777224</v>
      </c>
      <c r="AI31" s="45">
        <f>SC!$X$117</f>
        <v>238495</v>
      </c>
      <c r="AK31" s="45">
        <f t="shared" si="8"/>
        <v>4176578</v>
      </c>
      <c r="AM31" t="str">
        <f>IF((AK31=SC!$X$120),"ok","erro")</f>
        <v>ok</v>
      </c>
    </row>
    <row r="32" spans="1:39">
      <c r="A32" s="42" t="s">
        <v>47</v>
      </c>
      <c r="C32" s="46">
        <f>SUM(C33:C36)</f>
        <v>33115.072951109127</v>
      </c>
      <c r="D32" s="46">
        <f t="shared" ref="D32:AI32" si="19">SUM(D33:D36)</f>
        <v>4.6289871844091977</v>
      </c>
      <c r="E32" s="46">
        <f t="shared" si="19"/>
        <v>16876.298061706468</v>
      </c>
      <c r="F32" s="46">
        <f t="shared" si="10"/>
        <v>49996.000000000007</v>
      </c>
      <c r="H32" s="46">
        <f t="shared" si="19"/>
        <v>2515717.9270488909</v>
      </c>
      <c r="I32" s="46">
        <f t="shared" si="19"/>
        <v>317663</v>
      </c>
      <c r="J32" s="46">
        <f t="shared" si="19"/>
        <v>12855</v>
      </c>
      <c r="K32" s="46">
        <f>SUM(K33:K36)</f>
        <v>317.49963143735658</v>
      </c>
      <c r="L32" s="46">
        <f t="shared" ref="L32" si="20">SUM(L33:L36)</f>
        <v>998332.57331967191</v>
      </c>
      <c r="M32" s="46">
        <f t="shared" si="11"/>
        <v>3844886</v>
      </c>
      <c r="O32" s="46">
        <f t="shared" si="19"/>
        <v>252737.65046547068</v>
      </c>
      <c r="P32" s="46">
        <f t="shared" si="19"/>
        <v>69.778941422817297</v>
      </c>
      <c r="Q32" s="46">
        <f t="shared" ref="Q32" si="21">SUM(Q33:Q36)</f>
        <v>432520.5705931065</v>
      </c>
      <c r="R32" s="46">
        <f t="shared" si="12"/>
        <v>685328</v>
      </c>
      <c r="T32" s="46">
        <f t="shared" si="19"/>
        <v>70586.349534529305</v>
      </c>
      <c r="U32" s="46">
        <f t="shared" si="19"/>
        <v>17.092439955587906</v>
      </c>
      <c r="V32" s="46">
        <f t="shared" si="19"/>
        <v>132124.55802551511</v>
      </c>
      <c r="W32" s="46">
        <f t="shared" si="9"/>
        <v>202728</v>
      </c>
      <c r="Y32" s="46">
        <f t="shared" si="19"/>
        <v>232233</v>
      </c>
      <c r="AA32" s="46">
        <f t="shared" si="19"/>
        <v>68979</v>
      </c>
      <c r="AC32" s="46">
        <f t="shared" si="19"/>
        <v>50023</v>
      </c>
      <c r="AE32" s="46">
        <f>SUM(AE33:AE36)</f>
        <v>19442</v>
      </c>
      <c r="AG32" s="46">
        <f>SUM(AG33:AG36)</f>
        <v>1752839</v>
      </c>
      <c r="AI32" s="46">
        <f t="shared" si="19"/>
        <v>502213</v>
      </c>
      <c r="AK32" s="46">
        <f t="shared" si="8"/>
        <v>7408667</v>
      </c>
    </row>
    <row r="33" spans="1:39">
      <c r="A33" s="43" t="s">
        <v>48</v>
      </c>
      <c r="C33" s="45">
        <f>DF!$U$106</f>
        <v>10967.678513595929</v>
      </c>
      <c r="D33" s="45">
        <f>DF!$U$107</f>
        <v>1.115903419926326</v>
      </c>
      <c r="E33" s="45">
        <f>DF!$U$108</f>
        <v>6634.2055829841447</v>
      </c>
      <c r="F33" s="46">
        <f t="shared" si="10"/>
        <v>17603</v>
      </c>
      <c r="H33" s="45">
        <f>DF!$U$110</f>
        <v>700080.32148640405</v>
      </c>
      <c r="I33" s="45">
        <f>DF!$U$111</f>
        <v>58744</v>
      </c>
      <c r="J33" s="45">
        <f>DF!$U$112</f>
        <v>1787</v>
      </c>
      <c r="K33" s="45">
        <f>DF!$U$113</f>
        <v>71.229478873079643</v>
      </c>
      <c r="L33" s="45">
        <f>DF!$U$114</f>
        <v>362938.44903472287</v>
      </c>
      <c r="M33" s="46">
        <f t="shared" si="11"/>
        <v>1123621</v>
      </c>
      <c r="O33" s="45">
        <f>DF!$U$116</f>
        <v>29586.846489323088</v>
      </c>
      <c r="P33" s="45">
        <f>DF!$U$117</f>
        <v>6.6045786402974045</v>
      </c>
      <c r="Q33" s="45">
        <f>DF!$U$118</f>
        <v>74591.548932036618</v>
      </c>
      <c r="R33" s="46">
        <f t="shared" si="12"/>
        <v>104185</v>
      </c>
      <c r="T33" s="45">
        <f>DF!$X$106</f>
        <v>18143.153510676912</v>
      </c>
      <c r="U33" s="45">
        <f>DF!$X$107</f>
        <v>4.0500390667657484</v>
      </c>
      <c r="V33" s="45">
        <f>DF!$X$108</f>
        <v>45740.796450256326</v>
      </c>
      <c r="W33" s="46">
        <f t="shared" si="9"/>
        <v>63888</v>
      </c>
      <c r="Y33" s="45">
        <f>DF!$X$110</f>
        <v>22103</v>
      </c>
      <c r="AA33" s="45">
        <f>DF!$X$111</f>
        <v>3037</v>
      </c>
      <c r="AC33" s="45">
        <f>DF!$X$113</f>
        <v>11726</v>
      </c>
      <c r="AE33" s="45">
        <f>DF!$X$114</f>
        <v>5054</v>
      </c>
      <c r="AG33" s="45">
        <f>DF!$X$116</f>
        <v>158603</v>
      </c>
      <c r="AI33" s="45">
        <f>DF!$X$117</f>
        <v>15272</v>
      </c>
      <c r="AK33" s="45">
        <f t="shared" si="8"/>
        <v>1525092</v>
      </c>
      <c r="AM33" t="str">
        <f>IF((AK33=DF!$X$120),"ok","erro")</f>
        <v>ok</v>
      </c>
    </row>
    <row r="34" spans="1:39">
      <c r="A34" s="43" t="s">
        <v>49</v>
      </c>
      <c r="C34" s="45">
        <f>GO!$U$106</f>
        <v>9827.1684497482292</v>
      </c>
      <c r="D34" s="45">
        <f>GO!$U$107</f>
        <v>0.59136799661064288</v>
      </c>
      <c r="E34" s="45">
        <f>GO!$U$108</f>
        <v>5911.2401822551601</v>
      </c>
      <c r="F34" s="46">
        <f t="shared" si="10"/>
        <v>15739</v>
      </c>
      <c r="H34" s="45">
        <f>GO!$U$110</f>
        <v>972985.83155025169</v>
      </c>
      <c r="I34" s="45">
        <f>GO!$U$111</f>
        <v>158539</v>
      </c>
      <c r="J34" s="45">
        <f>GO!$U$112</f>
        <v>3742</v>
      </c>
      <c r="K34" s="45">
        <f>GO!$U$113</f>
        <v>58.551217970671132</v>
      </c>
      <c r="L34" s="45">
        <f>GO!$U$114</f>
        <v>422989.61723177764</v>
      </c>
      <c r="M34" s="46">
        <f t="shared" si="11"/>
        <v>1558315</v>
      </c>
      <c r="O34" s="45">
        <f>GO!$U$116</f>
        <v>97219.257274090371</v>
      </c>
      <c r="P34" s="45">
        <f>GO!$U$117</f>
        <v>10.967529877321795</v>
      </c>
      <c r="Q34" s="45">
        <f>GO!$U$118</f>
        <v>194665.77519603231</v>
      </c>
      <c r="R34" s="46">
        <f t="shared" si="12"/>
        <v>291896</v>
      </c>
      <c r="T34" s="45">
        <f>GO!$X$106</f>
        <v>25616.742725909618</v>
      </c>
      <c r="U34" s="45">
        <f>GO!$X$107</f>
        <v>2.8898841554910177</v>
      </c>
      <c r="V34" s="45">
        <f>GO!$X$108</f>
        <v>51293.367389934894</v>
      </c>
      <c r="W34" s="46">
        <f t="shared" si="9"/>
        <v>76913</v>
      </c>
      <c r="Y34" s="45">
        <f>GO!$X$110</f>
        <v>102303</v>
      </c>
      <c r="AA34" s="45">
        <f>GO!$X$111</f>
        <v>25697</v>
      </c>
      <c r="AC34" s="45">
        <f>GO!$X$113</f>
        <v>20036</v>
      </c>
      <c r="AE34" s="45">
        <f>GO!$X$114</f>
        <v>8134</v>
      </c>
      <c r="AG34" s="45">
        <f>GO!$X$116</f>
        <v>762218</v>
      </c>
      <c r="AI34" s="45">
        <f>GO!$X$117</f>
        <v>227376</v>
      </c>
      <c r="AK34" s="45">
        <f t="shared" si="8"/>
        <v>3088627</v>
      </c>
      <c r="AM34" t="str">
        <f>IF((AK34=GO!$X$120),"ok","erro")</f>
        <v>ok</v>
      </c>
    </row>
    <row r="35" spans="1:39">
      <c r="A35" s="43" t="s">
        <v>50</v>
      </c>
      <c r="C35" s="45">
        <f>MT!$U$106</f>
        <v>7740.0078655215757</v>
      </c>
      <c r="D35" s="45">
        <f>MT!$U$107</f>
        <v>2.5073316757516295</v>
      </c>
      <c r="E35" s="45">
        <f>MT!$U$108</f>
        <v>1395.4848028026727</v>
      </c>
      <c r="F35" s="46">
        <f t="shared" si="10"/>
        <v>9138</v>
      </c>
      <c r="H35" s="45">
        <f>MT!$U$110</f>
        <v>477496.99213447841</v>
      </c>
      <c r="I35" s="45">
        <f>MT!$U$111</f>
        <v>47447</v>
      </c>
      <c r="J35" s="45">
        <f>MT!$U$112</f>
        <v>1534</v>
      </c>
      <c r="K35" s="45">
        <f>MT!$U$113</f>
        <v>154.68244403065182</v>
      </c>
      <c r="L35" s="45">
        <f>MT!$U$114</f>
        <v>37109.325421490939</v>
      </c>
      <c r="M35" s="46">
        <f t="shared" si="11"/>
        <v>563742</v>
      </c>
      <c r="O35" s="45">
        <f>MT!$U$116</f>
        <v>74050.009020355719</v>
      </c>
      <c r="P35" s="45">
        <f>MT!$U$117</f>
        <v>45.377544889925048</v>
      </c>
      <c r="Q35" s="45">
        <f>MT!$U$118</f>
        <v>91283.613434754356</v>
      </c>
      <c r="R35" s="46">
        <f t="shared" si="12"/>
        <v>165379</v>
      </c>
      <c r="T35" s="45">
        <f>MT!$X$106</f>
        <v>13760.990979644284</v>
      </c>
      <c r="U35" s="45">
        <f>MT!$X$107</f>
        <v>8.432679403686052</v>
      </c>
      <c r="V35" s="45">
        <f>MT!$X$108</f>
        <v>16963.57634095203</v>
      </c>
      <c r="W35" s="46">
        <f t="shared" si="9"/>
        <v>30733</v>
      </c>
      <c r="Y35" s="45">
        <f>MT!$X$110</f>
        <v>61542</v>
      </c>
      <c r="AA35" s="45">
        <f>MT!$X$111</f>
        <v>26722</v>
      </c>
      <c r="AC35" s="45">
        <f>MT!$X$113</f>
        <v>9924</v>
      </c>
      <c r="AE35" s="45">
        <f>MT!$X$114</f>
        <v>3009</v>
      </c>
      <c r="AG35" s="45">
        <f>MT!$X$116</f>
        <v>511150</v>
      </c>
      <c r="AI35" s="45">
        <f>MT!$X$117</f>
        <v>168012</v>
      </c>
      <c r="AK35" s="45">
        <f t="shared" si="8"/>
        <v>1549351</v>
      </c>
      <c r="AM35" t="str">
        <f>IF((AK35=MT!$X$120),"ok","erro")</f>
        <v>ok</v>
      </c>
    </row>
    <row r="36" spans="1:39">
      <c r="A36" s="43" t="s">
        <v>51</v>
      </c>
      <c r="C36" s="45">
        <f>MS!$U$106</f>
        <v>4580.2181222433919</v>
      </c>
      <c r="D36" s="45">
        <f>MS!$U$107</f>
        <v>0.41438409212059923</v>
      </c>
      <c r="E36" s="45">
        <f>MS!$U$108</f>
        <v>2935.3674936644875</v>
      </c>
      <c r="F36" s="46">
        <f t="shared" si="10"/>
        <v>7516</v>
      </c>
      <c r="H36" s="45">
        <f>MS!$U$110</f>
        <v>365154.78187775658</v>
      </c>
      <c r="I36" s="45">
        <f>MS!$U$111</f>
        <v>52933</v>
      </c>
      <c r="J36" s="45">
        <f>MS!$U$112</f>
        <v>5792</v>
      </c>
      <c r="K36" s="45">
        <f>MS!$U$113</f>
        <v>33.036490562953986</v>
      </c>
      <c r="L36" s="45">
        <f>MS!$U$114</f>
        <v>175295.18163168046</v>
      </c>
      <c r="M36" s="46">
        <f t="shared" si="11"/>
        <v>599208</v>
      </c>
      <c r="O36" s="45">
        <f>MS!$U$116</f>
        <v>51881.537681701513</v>
      </c>
      <c r="P36" s="45">
        <f>MS!$U$117</f>
        <v>6.8292880152730504</v>
      </c>
      <c r="Q36" s="45">
        <f>MS!$U$118</f>
        <v>71979.633030283207</v>
      </c>
      <c r="R36" s="46">
        <f t="shared" si="12"/>
        <v>123868</v>
      </c>
      <c r="T36" s="45">
        <f>MS!$X$106</f>
        <v>13065.462318298489</v>
      </c>
      <c r="U36" s="45">
        <f>MS!$X$107</f>
        <v>1.7198373296450882</v>
      </c>
      <c r="V36" s="45">
        <f>MS!$X$108</f>
        <v>18126.817844371864</v>
      </c>
      <c r="W36" s="46">
        <f t="shared" si="9"/>
        <v>31194</v>
      </c>
      <c r="Y36" s="45">
        <f>MS!$X$110</f>
        <v>46285</v>
      </c>
      <c r="AA36" s="45">
        <f>MS!$X$111</f>
        <v>13523</v>
      </c>
      <c r="AC36" s="45">
        <f>MS!$X$113</f>
        <v>8337</v>
      </c>
      <c r="AE36" s="45">
        <f>MS!$X$114</f>
        <v>3245</v>
      </c>
      <c r="AG36" s="45">
        <f>MS!$X$116</f>
        <v>320868</v>
      </c>
      <c r="AI36" s="45">
        <f>MS!$X$117</f>
        <v>91553</v>
      </c>
      <c r="AK36" s="45">
        <f t="shared" si="8"/>
        <v>1245597</v>
      </c>
      <c r="AM36" t="str">
        <f>IF((AK36=MS!$X$120),"ok","erro")</f>
        <v>ok</v>
      </c>
    </row>
    <row r="37" spans="1:39" ht="14.25" customHeight="1"/>
  </sheetData>
  <mergeCells count="6">
    <mergeCell ref="AK2:AK3"/>
    <mergeCell ref="A2:A3"/>
    <mergeCell ref="C2:F2"/>
    <mergeCell ref="H2:M2"/>
    <mergeCell ref="O2:R2"/>
    <mergeCell ref="T2:W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8CBAD"/>
  </sheetPr>
  <dimension ref="A1:BJ166"/>
  <sheetViews>
    <sheetView showGridLines="0" zoomScale="90" zoomScaleNormal="90" workbookViewId="0">
      <pane xSplit="1" topLeftCell="B1" activePane="topRight" state="frozen"/>
      <selection pane="topRight" activeCell="E16" sqref="E16"/>
      <selection activeCell="A10" sqref="A10"/>
    </sheetView>
  </sheetViews>
  <sheetFormatPr defaultColWidth="10.85546875" defaultRowHeight="15.75"/>
  <cols>
    <col min="1" max="1" width="35.42578125" style="5" customWidth="1"/>
    <col min="2" max="2" width="11.42578125" bestFit="1" customWidth="1"/>
    <col min="11" max="11" width="13.5703125" customWidth="1"/>
    <col min="12" max="12" width="15.7109375" customWidth="1"/>
    <col min="13" max="13" width="19.42578125" customWidth="1"/>
    <col min="14" max="14" width="13.7109375" customWidth="1"/>
    <col min="21" max="21" width="16.85546875" customWidth="1"/>
    <col min="26" max="26" width="12.42578125" bestFit="1" customWidth="1"/>
    <col min="28" max="28" width="12.140625" customWidth="1"/>
    <col min="30" max="30" width="13.28515625" style="5" bestFit="1" customWidth="1"/>
  </cols>
  <sheetData>
    <row r="1" spans="1:30">
      <c r="A1" s="83">
        <v>2018</v>
      </c>
    </row>
    <row r="2" spans="1:30">
      <c r="A2" s="97" t="s">
        <v>52</v>
      </c>
    </row>
    <row r="3" spans="1:30">
      <c r="A3" s="98"/>
      <c r="B3" s="6" t="s">
        <v>53</v>
      </c>
      <c r="C3" s="6" t="s">
        <v>54</v>
      </c>
      <c r="D3" s="6" t="s">
        <v>55</v>
      </c>
      <c r="E3" s="6" t="s">
        <v>56</v>
      </c>
      <c r="F3" s="6" t="s">
        <v>57</v>
      </c>
      <c r="G3" s="6" t="s">
        <v>58</v>
      </c>
      <c r="H3" s="6" t="s">
        <v>59</v>
      </c>
      <c r="I3" s="6" t="s">
        <v>60</v>
      </c>
      <c r="J3" s="6" t="s">
        <v>61</v>
      </c>
      <c r="K3" s="6" t="s">
        <v>62</v>
      </c>
      <c r="L3" s="6" t="s">
        <v>63</v>
      </c>
      <c r="M3" s="6" t="s">
        <v>64</v>
      </c>
      <c r="N3" s="6" t="s">
        <v>65</v>
      </c>
      <c r="O3" s="6" t="s">
        <v>66</v>
      </c>
      <c r="P3" s="6" t="s">
        <v>67</v>
      </c>
      <c r="Q3" s="6" t="s">
        <v>68</v>
      </c>
      <c r="R3" s="6" t="s">
        <v>69</v>
      </c>
      <c r="S3" s="6" t="s">
        <v>70</v>
      </c>
      <c r="T3" s="6" t="s">
        <v>71</v>
      </c>
      <c r="U3" s="6" t="s">
        <v>72</v>
      </c>
      <c r="V3" s="6" t="s">
        <v>73</v>
      </c>
      <c r="W3" s="6" t="s">
        <v>74</v>
      </c>
      <c r="X3" s="6" t="s">
        <v>75</v>
      </c>
      <c r="Y3" s="6" t="s">
        <v>76</v>
      </c>
      <c r="Z3" s="6" t="s">
        <v>77</v>
      </c>
      <c r="AA3" s="6" t="s">
        <v>78</v>
      </c>
      <c r="AB3" s="6" t="s">
        <v>79</v>
      </c>
      <c r="AD3" s="30" t="s">
        <v>80</v>
      </c>
    </row>
    <row r="4" spans="1:30" ht="15">
      <c r="A4" s="55" t="s">
        <v>81</v>
      </c>
      <c r="B4" s="29">
        <v>3613</v>
      </c>
      <c r="C4" s="29">
        <v>24120</v>
      </c>
      <c r="D4" s="29">
        <v>1440</v>
      </c>
      <c r="E4" s="29">
        <v>16193</v>
      </c>
      <c r="F4" s="29">
        <v>99386</v>
      </c>
      <c r="G4" s="29">
        <v>60828</v>
      </c>
      <c r="H4" s="29">
        <v>57904</v>
      </c>
      <c r="I4" s="29">
        <v>52889</v>
      </c>
      <c r="J4" s="29">
        <v>159564</v>
      </c>
      <c r="K4" s="29">
        <v>13790</v>
      </c>
      <c r="L4" s="29">
        <v>47894</v>
      </c>
      <c r="M4" s="29">
        <v>53840</v>
      </c>
      <c r="N4" s="29">
        <v>434717</v>
      </c>
      <c r="O4" s="29">
        <v>23841</v>
      </c>
      <c r="P4" s="29">
        <v>29277</v>
      </c>
      <c r="Q4" s="29">
        <v>418932</v>
      </c>
      <c r="R4" s="29">
        <v>93968</v>
      </c>
      <c r="S4" s="29">
        <v>18479</v>
      </c>
      <c r="T4" s="29">
        <v>308330</v>
      </c>
      <c r="U4" s="29">
        <v>30108</v>
      </c>
      <c r="V4" s="29">
        <v>196798</v>
      </c>
      <c r="W4" s="29">
        <v>10399</v>
      </c>
      <c r="X4" s="29">
        <v>1448</v>
      </c>
      <c r="Y4" s="29">
        <v>132631</v>
      </c>
      <c r="Z4" s="29">
        <v>1833524</v>
      </c>
      <c r="AA4" s="29">
        <v>18474</v>
      </c>
      <c r="AB4" s="29">
        <v>10913</v>
      </c>
      <c r="AD4" s="49">
        <f>SUM(B4:AB4)</f>
        <v>4153300</v>
      </c>
    </row>
    <row r="5" spans="1:30" ht="15">
      <c r="A5" s="55" t="s">
        <v>82</v>
      </c>
      <c r="B5" s="29">
        <v>1</v>
      </c>
      <c r="C5" s="29">
        <v>1</v>
      </c>
      <c r="D5" s="29"/>
      <c r="E5" s="29"/>
      <c r="F5" s="29">
        <v>18</v>
      </c>
      <c r="G5" s="29">
        <v>58</v>
      </c>
      <c r="H5" s="29">
        <v>1</v>
      </c>
      <c r="I5" s="29">
        <v>325</v>
      </c>
      <c r="J5" s="29">
        <v>28</v>
      </c>
      <c r="K5" s="29">
        <v>7</v>
      </c>
      <c r="L5" s="29">
        <v>291</v>
      </c>
      <c r="M5" s="29">
        <v>18</v>
      </c>
      <c r="N5" s="29">
        <v>470</v>
      </c>
      <c r="O5" s="29">
        <v>11</v>
      </c>
      <c r="P5" s="29">
        <v>15</v>
      </c>
      <c r="Q5" s="29"/>
      <c r="R5" s="29"/>
      <c r="S5" s="29">
        <v>5</v>
      </c>
      <c r="T5" s="29"/>
      <c r="U5" s="29">
        <v>8</v>
      </c>
      <c r="V5" s="29"/>
      <c r="W5" s="29">
        <v>1</v>
      </c>
      <c r="X5" s="29"/>
      <c r="Y5" s="29">
        <v>2</v>
      </c>
      <c r="Z5" s="29">
        <v>990</v>
      </c>
      <c r="AA5" s="29">
        <v>1</v>
      </c>
      <c r="AB5" s="29">
        <v>2</v>
      </c>
      <c r="AC5" s="17"/>
      <c r="AD5" s="49">
        <f t="shared" ref="AD5:AD20" si="0">SUM(B5:AB5)</f>
        <v>2253</v>
      </c>
    </row>
    <row r="6" spans="1:30" ht="15">
      <c r="A6" s="55" t="s">
        <v>83</v>
      </c>
      <c r="B6" s="29"/>
      <c r="C6" s="29">
        <v>960</v>
      </c>
      <c r="D6" s="29">
        <v>1</v>
      </c>
      <c r="E6" s="29">
        <v>45</v>
      </c>
      <c r="F6" s="29">
        <v>1586</v>
      </c>
      <c r="G6" s="29">
        <v>3070</v>
      </c>
      <c r="H6" s="29">
        <v>26</v>
      </c>
      <c r="I6" s="29">
        <v>1899</v>
      </c>
      <c r="J6" s="29">
        <v>202</v>
      </c>
      <c r="K6" s="29">
        <v>9</v>
      </c>
      <c r="L6" s="29">
        <v>75</v>
      </c>
      <c r="M6" s="29">
        <v>215</v>
      </c>
      <c r="N6" s="29">
        <v>2446</v>
      </c>
      <c r="O6" s="29">
        <v>13</v>
      </c>
      <c r="P6" s="29">
        <v>1874</v>
      </c>
      <c r="Q6" s="29">
        <v>1602</v>
      </c>
      <c r="R6" s="29">
        <v>2059</v>
      </c>
      <c r="S6" s="29">
        <v>29</v>
      </c>
      <c r="T6" s="29">
        <v>52947</v>
      </c>
      <c r="U6" s="29">
        <v>4812</v>
      </c>
      <c r="V6" s="29">
        <v>2087</v>
      </c>
      <c r="W6" s="29">
        <v>1</v>
      </c>
      <c r="X6" s="29">
        <v>1</v>
      </c>
      <c r="Y6" s="29">
        <v>3802</v>
      </c>
      <c r="Z6" s="29">
        <v>12795</v>
      </c>
      <c r="AA6" s="29">
        <v>1486</v>
      </c>
      <c r="AB6" s="29">
        <v>8</v>
      </c>
      <c r="AC6" s="17"/>
      <c r="AD6" s="49">
        <f t="shared" si="0"/>
        <v>94050</v>
      </c>
    </row>
    <row r="7" spans="1:30" ht="15">
      <c r="A7" s="55" t="s">
        <v>84</v>
      </c>
      <c r="B7" s="29">
        <v>100700</v>
      </c>
      <c r="C7" s="29">
        <v>344109</v>
      </c>
      <c r="D7" s="29">
        <v>87920</v>
      </c>
      <c r="E7" s="29">
        <v>378610</v>
      </c>
      <c r="F7" s="29">
        <v>1632252</v>
      </c>
      <c r="G7" s="29">
        <v>1186158</v>
      </c>
      <c r="H7" s="29">
        <v>921152</v>
      </c>
      <c r="I7" s="29">
        <v>736640</v>
      </c>
      <c r="J7" s="29">
        <v>1376415</v>
      </c>
      <c r="K7" s="29">
        <v>683648</v>
      </c>
      <c r="L7" s="29">
        <v>747567</v>
      </c>
      <c r="M7" s="29">
        <v>548527</v>
      </c>
      <c r="N7" s="29">
        <v>4196290</v>
      </c>
      <c r="O7" s="29">
        <v>782894</v>
      </c>
      <c r="P7" s="29">
        <v>506307</v>
      </c>
      <c r="Q7" s="29">
        <v>2526455</v>
      </c>
      <c r="R7" s="29">
        <v>1199574</v>
      </c>
      <c r="S7" s="29">
        <v>422726</v>
      </c>
      <c r="T7" s="29">
        <v>1996109</v>
      </c>
      <c r="U7" s="29">
        <v>458330</v>
      </c>
      <c r="V7" s="29">
        <v>2187473</v>
      </c>
      <c r="W7" s="29">
        <v>355412</v>
      </c>
      <c r="X7" s="29">
        <v>80516</v>
      </c>
      <c r="Y7" s="29">
        <v>1909807</v>
      </c>
      <c r="Z7" s="29">
        <v>10416380</v>
      </c>
      <c r="AA7" s="29">
        <v>295805</v>
      </c>
      <c r="AB7" s="29">
        <v>248046</v>
      </c>
      <c r="AC7" s="17"/>
      <c r="AD7" s="49">
        <f t="shared" si="0"/>
        <v>36325822</v>
      </c>
    </row>
    <row r="8" spans="1:30" ht="15">
      <c r="A8" s="55" t="s">
        <v>85</v>
      </c>
      <c r="B8" s="29">
        <v>25242</v>
      </c>
      <c r="C8" s="29">
        <v>63748</v>
      </c>
      <c r="D8" s="29">
        <v>13356</v>
      </c>
      <c r="E8" s="29">
        <v>64291</v>
      </c>
      <c r="F8" s="29">
        <v>343073</v>
      </c>
      <c r="G8" s="29">
        <v>230657</v>
      </c>
      <c r="H8" s="29">
        <v>106589</v>
      </c>
      <c r="I8" s="29">
        <v>186147</v>
      </c>
      <c r="J8" s="29">
        <v>323974</v>
      </c>
      <c r="K8" s="29">
        <v>122448</v>
      </c>
      <c r="L8" s="29">
        <v>227025</v>
      </c>
      <c r="M8" s="29">
        <v>161937</v>
      </c>
      <c r="N8" s="29">
        <v>818530</v>
      </c>
      <c r="O8" s="29">
        <v>180324</v>
      </c>
      <c r="P8" s="29">
        <v>86034</v>
      </c>
      <c r="Q8" s="29">
        <v>693570</v>
      </c>
      <c r="R8" s="29">
        <v>228412</v>
      </c>
      <c r="S8" s="29">
        <v>93103</v>
      </c>
      <c r="T8" s="29">
        <v>350521</v>
      </c>
      <c r="U8" s="29">
        <v>92956</v>
      </c>
      <c r="V8" s="29">
        <v>588159</v>
      </c>
      <c r="W8" s="29">
        <v>91345</v>
      </c>
      <c r="X8" s="29">
        <v>19025</v>
      </c>
      <c r="Y8" s="29">
        <v>401852</v>
      </c>
      <c r="Z8" s="29">
        <v>1753128</v>
      </c>
      <c r="AA8" s="29">
        <v>53862</v>
      </c>
      <c r="AB8" s="29">
        <v>69636</v>
      </c>
      <c r="AC8" s="17"/>
      <c r="AD8" s="49">
        <f t="shared" si="0"/>
        <v>7388944</v>
      </c>
    </row>
    <row r="9" spans="1:30" ht="15">
      <c r="A9" s="81" t="s">
        <v>86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17"/>
      <c r="AD9" s="49">
        <f t="shared" si="0"/>
        <v>0</v>
      </c>
    </row>
    <row r="10" spans="1:30" ht="15">
      <c r="A10" s="55" t="s">
        <v>87</v>
      </c>
      <c r="B10" s="29"/>
      <c r="C10" s="29"/>
      <c r="D10" s="29"/>
      <c r="E10" s="29"/>
      <c r="F10" s="29">
        <v>3</v>
      </c>
      <c r="G10" s="29"/>
      <c r="H10" s="29">
        <v>2</v>
      </c>
      <c r="I10" s="29">
        <v>1</v>
      </c>
      <c r="J10" s="29">
        <v>1</v>
      </c>
      <c r="K10" s="29">
        <v>1</v>
      </c>
      <c r="L10" s="29"/>
      <c r="M10" s="29">
        <v>1</v>
      </c>
      <c r="N10" s="29"/>
      <c r="O10" s="29"/>
      <c r="P10" s="29"/>
      <c r="Q10" s="29"/>
      <c r="R10" s="29"/>
      <c r="S10" s="29"/>
      <c r="T10" s="29"/>
      <c r="U10" s="29"/>
      <c r="V10" s="29">
        <v>5</v>
      </c>
      <c r="W10" s="29">
        <v>1</v>
      </c>
      <c r="X10" s="29">
        <v>2</v>
      </c>
      <c r="Y10" s="29">
        <v>1</v>
      </c>
      <c r="Z10" s="29">
        <v>12</v>
      </c>
      <c r="AA10" s="29"/>
      <c r="AB10" s="29"/>
      <c r="AC10" s="17"/>
      <c r="AD10" s="49">
        <f t="shared" si="0"/>
        <v>30</v>
      </c>
    </row>
    <row r="11" spans="1:30" ht="15">
      <c r="A11" s="55" t="s">
        <v>88</v>
      </c>
      <c r="B11" s="29"/>
      <c r="C11" s="29"/>
      <c r="D11" s="29"/>
      <c r="E11" s="29">
        <v>1</v>
      </c>
      <c r="F11" s="29"/>
      <c r="G11" s="29">
        <v>1</v>
      </c>
      <c r="H11" s="29">
        <v>4</v>
      </c>
      <c r="I11" s="29">
        <v>3</v>
      </c>
      <c r="J11" s="29"/>
      <c r="K11" s="29"/>
      <c r="L11" s="29"/>
      <c r="M11" s="29"/>
      <c r="N11" s="29"/>
      <c r="O11" s="29">
        <v>1</v>
      </c>
      <c r="P11" s="29"/>
      <c r="Q11" s="29">
        <v>12</v>
      </c>
      <c r="R11" s="29"/>
      <c r="S11" s="29"/>
      <c r="T11" s="29">
        <v>4</v>
      </c>
      <c r="U11" s="29">
        <v>2</v>
      </c>
      <c r="V11" s="29"/>
      <c r="W11" s="29"/>
      <c r="X11" s="29"/>
      <c r="Y11" s="29"/>
      <c r="Z11" s="29">
        <v>14</v>
      </c>
      <c r="AA11" s="29">
        <v>1</v>
      </c>
      <c r="AB11" s="29"/>
      <c r="AC11" s="17"/>
      <c r="AD11" s="49">
        <f t="shared" si="0"/>
        <v>43</v>
      </c>
    </row>
    <row r="12" spans="1:30" ht="15">
      <c r="A12" s="55" t="s">
        <v>89</v>
      </c>
      <c r="B12" s="29"/>
      <c r="C12" s="29"/>
      <c r="D12" s="29"/>
      <c r="E12" s="29">
        <v>1</v>
      </c>
      <c r="F12" s="29">
        <v>6</v>
      </c>
      <c r="G12" s="29">
        <v>13</v>
      </c>
      <c r="H12" s="29">
        <v>11</v>
      </c>
      <c r="I12" s="29">
        <v>21</v>
      </c>
      <c r="J12" s="29">
        <v>5</v>
      </c>
      <c r="K12" s="29">
        <v>2</v>
      </c>
      <c r="L12" s="29">
        <v>2</v>
      </c>
      <c r="M12" s="29">
        <v>1</v>
      </c>
      <c r="N12" s="29">
        <v>46</v>
      </c>
      <c r="O12" s="29">
        <v>2</v>
      </c>
      <c r="P12" s="29">
        <v>1</v>
      </c>
      <c r="Q12" s="29">
        <v>24</v>
      </c>
      <c r="R12" s="29">
        <v>69</v>
      </c>
      <c r="S12" s="29"/>
      <c r="T12" s="29">
        <v>21</v>
      </c>
      <c r="U12" s="29">
        <v>1</v>
      </c>
      <c r="V12" s="29">
        <v>28</v>
      </c>
      <c r="W12" s="29"/>
      <c r="X12" s="29"/>
      <c r="Y12" s="29">
        <v>35</v>
      </c>
      <c r="Z12" s="29">
        <v>1024</v>
      </c>
      <c r="AA12" s="29"/>
      <c r="AB12" s="29">
        <v>1</v>
      </c>
      <c r="AC12" s="17"/>
      <c r="AD12" s="49">
        <f t="shared" si="0"/>
        <v>1314</v>
      </c>
    </row>
    <row r="13" spans="1:30" ht="15">
      <c r="A13" s="55" t="s">
        <v>90</v>
      </c>
      <c r="B13" s="29">
        <v>13</v>
      </c>
      <c r="C13" s="29"/>
      <c r="D13" s="29">
        <v>9</v>
      </c>
      <c r="E13" s="29">
        <v>38</v>
      </c>
      <c r="F13" s="29">
        <v>21</v>
      </c>
      <c r="G13" s="29">
        <v>9</v>
      </c>
      <c r="H13" s="29">
        <v>33</v>
      </c>
      <c r="I13" s="29">
        <v>19</v>
      </c>
      <c r="J13" s="29">
        <v>45</v>
      </c>
      <c r="K13" s="29">
        <v>81</v>
      </c>
      <c r="L13" s="29">
        <v>218</v>
      </c>
      <c r="M13" s="29">
        <v>34</v>
      </c>
      <c r="N13" s="29">
        <v>100</v>
      </c>
      <c r="O13" s="29">
        <v>45</v>
      </c>
      <c r="P13" s="29">
        <v>1</v>
      </c>
      <c r="Q13" s="29">
        <v>260</v>
      </c>
      <c r="R13" s="29">
        <v>23</v>
      </c>
      <c r="S13" s="29">
        <v>28</v>
      </c>
      <c r="T13" s="29">
        <v>55</v>
      </c>
      <c r="U13" s="29"/>
      <c r="V13" s="29">
        <v>100</v>
      </c>
      <c r="W13" s="29">
        <v>30</v>
      </c>
      <c r="X13" s="29">
        <v>21</v>
      </c>
      <c r="Y13" s="29">
        <v>82</v>
      </c>
      <c r="Z13" s="29">
        <v>743</v>
      </c>
      <c r="AA13" s="29"/>
      <c r="AB13" s="29">
        <v>19</v>
      </c>
      <c r="AC13" s="17"/>
      <c r="AD13" s="49">
        <f t="shared" si="0"/>
        <v>2027</v>
      </c>
    </row>
    <row r="14" spans="1:30" ht="15">
      <c r="A14" s="81" t="s">
        <v>91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17"/>
      <c r="AD14" s="49">
        <f t="shared" si="0"/>
        <v>0</v>
      </c>
    </row>
    <row r="15" spans="1:30" ht="15">
      <c r="A15" s="55" t="s">
        <v>92</v>
      </c>
      <c r="B15" s="29"/>
      <c r="C15" s="29">
        <v>1</v>
      </c>
      <c r="D15" s="29"/>
      <c r="E15" s="29">
        <v>8</v>
      </c>
      <c r="F15" s="29">
        <v>17</v>
      </c>
      <c r="G15" s="29"/>
      <c r="H15" s="29">
        <v>4</v>
      </c>
      <c r="I15" s="29">
        <v>10</v>
      </c>
      <c r="J15" s="29">
        <v>25</v>
      </c>
      <c r="K15" s="29">
        <v>2</v>
      </c>
      <c r="L15" s="29">
        <v>4</v>
      </c>
      <c r="M15" s="29">
        <v>4</v>
      </c>
      <c r="N15" s="29">
        <v>15</v>
      </c>
      <c r="O15" s="29"/>
      <c r="P15" s="29">
        <v>2</v>
      </c>
      <c r="Q15" s="29">
        <v>24</v>
      </c>
      <c r="R15" s="29"/>
      <c r="S15" s="29">
        <v>2</v>
      </c>
      <c r="T15" s="29">
        <v>4</v>
      </c>
      <c r="U15" s="29">
        <v>3</v>
      </c>
      <c r="V15" s="29">
        <v>5</v>
      </c>
      <c r="W15" s="29"/>
      <c r="X15" s="29"/>
      <c r="Y15" s="29">
        <v>10</v>
      </c>
      <c r="Z15" s="29">
        <v>59</v>
      </c>
      <c r="AA15" s="29">
        <v>6</v>
      </c>
      <c r="AB15" s="29">
        <v>1</v>
      </c>
      <c r="AC15" s="17"/>
      <c r="AD15" s="49">
        <f t="shared" si="0"/>
        <v>206</v>
      </c>
    </row>
    <row r="16" spans="1:30" ht="15">
      <c r="A16" s="55" t="s">
        <v>93</v>
      </c>
      <c r="B16" s="29">
        <v>6</v>
      </c>
      <c r="C16" s="29">
        <v>4</v>
      </c>
      <c r="D16" s="29">
        <v>2</v>
      </c>
      <c r="E16" s="29"/>
      <c r="F16" s="29">
        <v>65</v>
      </c>
      <c r="G16" s="29">
        <v>177</v>
      </c>
      <c r="H16" s="29">
        <v>2</v>
      </c>
      <c r="I16" s="29">
        <v>1897</v>
      </c>
      <c r="J16" s="29">
        <v>86</v>
      </c>
      <c r="K16" s="29">
        <v>7</v>
      </c>
      <c r="L16" s="29">
        <v>14</v>
      </c>
      <c r="M16" s="29">
        <v>33</v>
      </c>
      <c r="N16" s="29">
        <v>66</v>
      </c>
      <c r="O16" s="29"/>
      <c r="P16" s="29">
        <v>34</v>
      </c>
      <c r="Q16" s="29"/>
      <c r="R16" s="29">
        <v>17</v>
      </c>
      <c r="S16" s="29">
        <v>17</v>
      </c>
      <c r="T16" s="29">
        <v>17</v>
      </c>
      <c r="U16" s="29">
        <v>45</v>
      </c>
      <c r="V16" s="29"/>
      <c r="W16" s="29">
        <v>2</v>
      </c>
      <c r="X16" s="29">
        <v>1</v>
      </c>
      <c r="Y16" s="29">
        <v>27</v>
      </c>
      <c r="Z16" s="29">
        <v>7504</v>
      </c>
      <c r="AA16" s="29">
        <v>2</v>
      </c>
      <c r="AB16" s="29">
        <v>178</v>
      </c>
      <c r="AC16" s="17"/>
      <c r="AD16" s="49">
        <f t="shared" si="0"/>
        <v>10203</v>
      </c>
    </row>
    <row r="17" spans="1:61" ht="15">
      <c r="A17" s="55" t="s">
        <v>94</v>
      </c>
      <c r="B17" s="29">
        <v>136108</v>
      </c>
      <c r="C17" s="29">
        <v>333597</v>
      </c>
      <c r="D17" s="29">
        <v>85052</v>
      </c>
      <c r="E17" s="29">
        <v>386548</v>
      </c>
      <c r="F17" s="29">
        <v>1829557</v>
      </c>
      <c r="G17" s="29">
        <v>1501296</v>
      </c>
      <c r="H17" s="29">
        <v>658096</v>
      </c>
      <c r="I17" s="29">
        <v>828246</v>
      </c>
      <c r="J17" s="29">
        <v>1747692</v>
      </c>
      <c r="K17" s="29">
        <v>816835</v>
      </c>
      <c r="L17" s="29">
        <v>900507</v>
      </c>
      <c r="M17" s="29">
        <v>713390</v>
      </c>
      <c r="N17" s="29">
        <v>5137166</v>
      </c>
      <c r="O17" s="29">
        <v>932801</v>
      </c>
      <c r="P17" s="29">
        <v>607887</v>
      </c>
      <c r="Q17" s="29">
        <v>3452431</v>
      </c>
      <c r="R17" s="29">
        <v>1319144</v>
      </c>
      <c r="S17" s="29">
        <v>621466</v>
      </c>
      <c r="T17" s="29">
        <v>2571589</v>
      </c>
      <c r="U17" s="29">
        <v>610006</v>
      </c>
      <c r="V17" s="29">
        <v>3624742</v>
      </c>
      <c r="W17" s="29">
        <v>477166</v>
      </c>
      <c r="X17" s="29">
        <v>110723</v>
      </c>
      <c r="Y17" s="29">
        <v>2310774</v>
      </c>
      <c r="Z17" s="29">
        <v>13618598</v>
      </c>
      <c r="AA17" s="29">
        <v>342707</v>
      </c>
      <c r="AB17" s="29">
        <v>314958</v>
      </c>
      <c r="AC17" s="17"/>
      <c r="AD17" s="49">
        <f t="shared" si="0"/>
        <v>45989082</v>
      </c>
    </row>
    <row r="18" spans="1:61" ht="15">
      <c r="A18" s="81" t="s">
        <v>95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17"/>
      <c r="AD18" s="49">
        <f t="shared" si="0"/>
        <v>0</v>
      </c>
    </row>
    <row r="19" spans="1:61" ht="15">
      <c r="A19" s="55" t="s">
        <v>96</v>
      </c>
      <c r="B19" s="29">
        <v>7</v>
      </c>
      <c r="C19" s="29">
        <v>8993</v>
      </c>
      <c r="D19" s="29">
        <v>5</v>
      </c>
      <c r="E19" s="29">
        <v>1516</v>
      </c>
      <c r="F19" s="29">
        <v>26663</v>
      </c>
      <c r="G19" s="29">
        <v>19068</v>
      </c>
      <c r="H19" s="29">
        <v>778</v>
      </c>
      <c r="I19" s="29">
        <v>10593</v>
      </c>
      <c r="J19" s="29">
        <v>1200</v>
      </c>
      <c r="K19" s="29">
        <v>81</v>
      </c>
      <c r="L19" s="29">
        <v>461</v>
      </c>
      <c r="M19" s="29">
        <v>773</v>
      </c>
      <c r="N19" s="29">
        <v>8685</v>
      </c>
      <c r="O19" s="29">
        <v>103</v>
      </c>
      <c r="P19" s="29">
        <v>6918</v>
      </c>
      <c r="Q19" s="29">
        <v>13071</v>
      </c>
      <c r="R19" s="29">
        <v>20355</v>
      </c>
      <c r="S19" s="29">
        <v>253</v>
      </c>
      <c r="T19" s="29">
        <v>572036</v>
      </c>
      <c r="U19" s="29">
        <v>12983</v>
      </c>
      <c r="V19" s="29">
        <v>23955</v>
      </c>
      <c r="W19" s="29">
        <v>25</v>
      </c>
      <c r="X19" s="29">
        <v>25</v>
      </c>
      <c r="Y19" s="29">
        <v>31993</v>
      </c>
      <c r="Z19" s="29">
        <v>51838</v>
      </c>
      <c r="AA19" s="29">
        <v>8575</v>
      </c>
      <c r="AB19" s="29">
        <v>100</v>
      </c>
      <c r="AC19" s="17"/>
      <c r="AD19" s="49">
        <f t="shared" si="0"/>
        <v>821053</v>
      </c>
    </row>
    <row r="20" spans="1:61" ht="15">
      <c r="A20" s="55" t="s">
        <v>97</v>
      </c>
      <c r="B20" s="29">
        <v>15</v>
      </c>
      <c r="C20" s="29">
        <v>24</v>
      </c>
      <c r="D20" s="29">
        <v>9</v>
      </c>
      <c r="E20" s="29">
        <v>76</v>
      </c>
      <c r="F20" s="29">
        <v>360</v>
      </c>
      <c r="G20" s="29">
        <v>156</v>
      </c>
      <c r="H20" s="29">
        <v>426</v>
      </c>
      <c r="I20" s="29">
        <v>243</v>
      </c>
      <c r="J20" s="29">
        <v>199</v>
      </c>
      <c r="K20" s="29">
        <v>46</v>
      </c>
      <c r="L20" s="29">
        <v>91</v>
      </c>
      <c r="M20" s="29">
        <v>89</v>
      </c>
      <c r="N20" s="29">
        <v>644</v>
      </c>
      <c r="O20" s="29">
        <v>104</v>
      </c>
      <c r="P20" s="29">
        <v>55</v>
      </c>
      <c r="Q20" s="29">
        <v>649</v>
      </c>
      <c r="R20" s="29">
        <v>154</v>
      </c>
      <c r="S20" s="29">
        <v>52</v>
      </c>
      <c r="T20" s="29">
        <v>650</v>
      </c>
      <c r="U20" s="29">
        <v>62</v>
      </c>
      <c r="V20" s="29">
        <v>585</v>
      </c>
      <c r="W20" s="29">
        <v>26</v>
      </c>
      <c r="X20" s="29">
        <v>5</v>
      </c>
      <c r="Y20" s="29">
        <v>594</v>
      </c>
      <c r="Z20" s="29">
        <v>2954</v>
      </c>
      <c r="AA20" s="29">
        <v>55</v>
      </c>
      <c r="AB20" s="29">
        <v>20</v>
      </c>
      <c r="AC20" s="17"/>
      <c r="AD20" s="49">
        <f t="shared" si="0"/>
        <v>8343</v>
      </c>
    </row>
    <row r="21" spans="1:61" ht="15">
      <c r="A21" s="55" t="s">
        <v>98</v>
      </c>
      <c r="B21" s="29">
        <v>9</v>
      </c>
      <c r="C21" s="29">
        <v>9900</v>
      </c>
      <c r="D21" s="29">
        <v>6</v>
      </c>
      <c r="E21" s="29">
        <v>481</v>
      </c>
      <c r="F21" s="29">
        <v>24861</v>
      </c>
      <c r="G21" s="29">
        <v>25602</v>
      </c>
      <c r="H21" s="29">
        <v>757</v>
      </c>
      <c r="I21" s="29">
        <v>21824</v>
      </c>
      <c r="J21" s="29">
        <v>3083</v>
      </c>
      <c r="K21" s="29">
        <v>174</v>
      </c>
      <c r="L21" s="29">
        <v>834</v>
      </c>
      <c r="M21" s="29">
        <v>4257</v>
      </c>
      <c r="N21" s="29">
        <v>22161</v>
      </c>
      <c r="O21" s="29">
        <v>246</v>
      </c>
      <c r="P21" s="29">
        <v>13938</v>
      </c>
      <c r="Q21" s="29">
        <v>24047</v>
      </c>
      <c r="R21" s="29">
        <v>29233</v>
      </c>
      <c r="S21" s="29">
        <v>420</v>
      </c>
      <c r="T21" s="29">
        <v>680010</v>
      </c>
      <c r="U21" s="29">
        <v>31462</v>
      </c>
      <c r="V21" s="29">
        <v>42394</v>
      </c>
      <c r="W21" s="29">
        <v>61</v>
      </c>
      <c r="X21" s="29">
        <v>21</v>
      </c>
      <c r="Y21" s="29">
        <v>61233</v>
      </c>
      <c r="Z21" s="29">
        <v>213768</v>
      </c>
      <c r="AA21" s="29">
        <v>11686</v>
      </c>
      <c r="AB21" s="29">
        <v>151</v>
      </c>
      <c r="AC21" s="17"/>
      <c r="AD21" s="49">
        <f>SUM(B21:AB21)</f>
        <v>1222619</v>
      </c>
    </row>
    <row r="22" spans="1:61">
      <c r="A22" s="7"/>
      <c r="B22" s="17"/>
      <c r="C22" s="17"/>
      <c r="AC22" s="17"/>
      <c r="AD22" s="48"/>
    </row>
    <row r="23" spans="1:61">
      <c r="A23" s="1" t="s">
        <v>99</v>
      </c>
      <c r="B23" s="52">
        <f>SUM(B4:B22)</f>
        <v>265714</v>
      </c>
      <c r="C23" s="52">
        <f>SUM(C4:C21)</f>
        <v>785457</v>
      </c>
      <c r="D23" s="52">
        <f>SUM(D4:D21)</f>
        <v>187800</v>
      </c>
      <c r="E23" s="52">
        <f t="shared" ref="E23:AA23" si="1">SUM(E4:E21)</f>
        <v>847808</v>
      </c>
      <c r="F23" s="52">
        <f>SUM(F4:F21)</f>
        <v>3957868</v>
      </c>
      <c r="G23" s="52">
        <f t="shared" si="1"/>
        <v>3027093</v>
      </c>
      <c r="H23" s="52">
        <f t="shared" si="1"/>
        <v>1745785</v>
      </c>
      <c r="I23" s="52">
        <f t="shared" si="1"/>
        <v>1840757</v>
      </c>
      <c r="J23" s="52">
        <f t="shared" si="1"/>
        <v>3612519</v>
      </c>
      <c r="K23" s="52">
        <f t="shared" si="1"/>
        <v>1637131</v>
      </c>
      <c r="L23" s="52">
        <f t="shared" si="1"/>
        <v>1924983</v>
      </c>
      <c r="M23" s="52">
        <f t="shared" si="1"/>
        <v>1483119</v>
      </c>
      <c r="N23" s="52">
        <f t="shared" si="1"/>
        <v>10621336</v>
      </c>
      <c r="O23" s="52">
        <f>SUM(O4:O21)</f>
        <v>1920385</v>
      </c>
      <c r="P23" s="52">
        <f t="shared" si="1"/>
        <v>1252343</v>
      </c>
      <c r="Q23" s="52">
        <f t="shared" si="1"/>
        <v>7131077</v>
      </c>
      <c r="R23" s="52">
        <f t="shared" si="1"/>
        <v>2893008</v>
      </c>
      <c r="S23" s="52">
        <f t="shared" si="1"/>
        <v>1156580</v>
      </c>
      <c r="T23" s="52">
        <f t="shared" si="1"/>
        <v>6532293</v>
      </c>
      <c r="U23" s="52">
        <f t="shared" si="1"/>
        <v>1240778</v>
      </c>
      <c r="V23" s="52">
        <f t="shared" si="1"/>
        <v>6666331</v>
      </c>
      <c r="W23" s="52">
        <f t="shared" si="1"/>
        <v>934469</v>
      </c>
      <c r="X23" s="52">
        <f t="shared" si="1"/>
        <v>211788</v>
      </c>
      <c r="Y23" s="52">
        <f t="shared" si="1"/>
        <v>4852843</v>
      </c>
      <c r="Z23" s="52">
        <f t="shared" si="1"/>
        <v>27913331</v>
      </c>
      <c r="AA23" s="52">
        <f t="shared" si="1"/>
        <v>732660</v>
      </c>
      <c r="AB23" s="52">
        <f>SUM(AB4:AB21)</f>
        <v>644033</v>
      </c>
      <c r="AC23" s="8"/>
      <c r="AD23" s="49">
        <f>IF((SUM(AD4:AD21)=SUM(B23:AB23)),(SUM(B23:AB23)),"erro")</f>
        <v>96019289</v>
      </c>
    </row>
    <row r="24" spans="1:6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61">
      <c r="A25" s="99" t="s">
        <v>100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61" s="5" customFormat="1">
      <c r="A26" s="100"/>
      <c r="B26" s="6" t="s">
        <v>53</v>
      </c>
      <c r="C26" s="6" t="s">
        <v>54</v>
      </c>
      <c r="D26" s="6" t="s">
        <v>55</v>
      </c>
      <c r="E26" s="6" t="s">
        <v>56</v>
      </c>
      <c r="F26" s="6" t="s">
        <v>57</v>
      </c>
      <c r="G26" s="6" t="s">
        <v>58</v>
      </c>
      <c r="H26" s="6" t="s">
        <v>59</v>
      </c>
      <c r="I26" s="6" t="s">
        <v>60</v>
      </c>
      <c r="J26" s="6" t="s">
        <v>61</v>
      </c>
      <c r="K26" s="6" t="s">
        <v>62</v>
      </c>
      <c r="L26" s="6" t="s">
        <v>63</v>
      </c>
      <c r="M26" s="6" t="s">
        <v>64</v>
      </c>
      <c r="N26" s="6" t="s">
        <v>65</v>
      </c>
      <c r="O26" s="6" t="s">
        <v>66</v>
      </c>
      <c r="P26" s="6" t="s">
        <v>67</v>
      </c>
      <c r="Q26" s="6" t="s">
        <v>68</v>
      </c>
      <c r="R26" s="6" t="s">
        <v>69</v>
      </c>
      <c r="S26" s="6" t="s">
        <v>70</v>
      </c>
      <c r="T26" s="6" t="s">
        <v>71</v>
      </c>
      <c r="U26" s="6" t="s">
        <v>72</v>
      </c>
      <c r="V26" s="6" t="s">
        <v>73</v>
      </c>
      <c r="W26" s="6" t="s">
        <v>74</v>
      </c>
      <c r="X26" s="6" t="s">
        <v>75</v>
      </c>
      <c r="Y26" s="6" t="s">
        <v>76</v>
      </c>
      <c r="Z26" s="6" t="s">
        <v>77</v>
      </c>
      <c r="AA26" s="6" t="s">
        <v>78</v>
      </c>
      <c r="AB26" s="6" t="s">
        <v>79</v>
      </c>
      <c r="AD26" s="30" t="s">
        <v>80</v>
      </c>
    </row>
    <row r="27" spans="1:61">
      <c r="A27" s="56" t="s">
        <v>81</v>
      </c>
      <c r="B27" s="47">
        <f t="shared" ref="B27:AB27" si="2">B4+B5</f>
        <v>3614</v>
      </c>
      <c r="C27" s="47">
        <f t="shared" si="2"/>
        <v>24121</v>
      </c>
      <c r="D27" s="47">
        <f t="shared" si="2"/>
        <v>1440</v>
      </c>
      <c r="E27" s="47">
        <f t="shared" si="2"/>
        <v>16193</v>
      </c>
      <c r="F27" s="47">
        <f t="shared" si="2"/>
        <v>99404</v>
      </c>
      <c r="G27" s="47">
        <f t="shared" si="2"/>
        <v>60886</v>
      </c>
      <c r="H27" s="47">
        <f t="shared" si="2"/>
        <v>57905</v>
      </c>
      <c r="I27" s="47">
        <f t="shared" si="2"/>
        <v>53214</v>
      </c>
      <c r="J27" s="47">
        <f t="shared" si="2"/>
        <v>159592</v>
      </c>
      <c r="K27" s="47">
        <f t="shared" si="2"/>
        <v>13797</v>
      </c>
      <c r="L27" s="47">
        <f t="shared" si="2"/>
        <v>48185</v>
      </c>
      <c r="M27" s="47">
        <f t="shared" si="2"/>
        <v>53858</v>
      </c>
      <c r="N27" s="47">
        <f t="shared" si="2"/>
        <v>435187</v>
      </c>
      <c r="O27" s="47">
        <f t="shared" si="2"/>
        <v>23852</v>
      </c>
      <c r="P27" s="47">
        <f t="shared" si="2"/>
        <v>29292</v>
      </c>
      <c r="Q27" s="47">
        <f t="shared" si="2"/>
        <v>418932</v>
      </c>
      <c r="R27" s="47">
        <f t="shared" si="2"/>
        <v>93968</v>
      </c>
      <c r="S27" s="47">
        <f t="shared" si="2"/>
        <v>18484</v>
      </c>
      <c r="T27" s="47">
        <f t="shared" si="2"/>
        <v>308330</v>
      </c>
      <c r="U27" s="47">
        <f t="shared" si="2"/>
        <v>30116</v>
      </c>
      <c r="V27" s="47">
        <f t="shared" si="2"/>
        <v>196798</v>
      </c>
      <c r="W27" s="47">
        <f t="shared" si="2"/>
        <v>10400</v>
      </c>
      <c r="X27" s="47">
        <f t="shared" si="2"/>
        <v>1448</v>
      </c>
      <c r="Y27" s="47">
        <f t="shared" si="2"/>
        <v>132633</v>
      </c>
      <c r="Z27" s="47">
        <f t="shared" si="2"/>
        <v>1834514</v>
      </c>
      <c r="AA27" s="47">
        <f t="shared" si="2"/>
        <v>18475</v>
      </c>
      <c r="AB27" s="47">
        <f t="shared" si="2"/>
        <v>10915</v>
      </c>
      <c r="AC27" s="48"/>
      <c r="AD27" s="49">
        <f t="shared" ref="AD27:AD31" si="3">SUM(B27:AB27)</f>
        <v>4155553</v>
      </c>
      <c r="AH27" s="7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</row>
    <row r="28" spans="1:61">
      <c r="A28" s="56" t="s">
        <v>84</v>
      </c>
      <c r="B28" s="47">
        <f t="shared" ref="B28:AB28" si="4">B7</f>
        <v>100700</v>
      </c>
      <c r="C28" s="47">
        <f t="shared" si="4"/>
        <v>344109</v>
      </c>
      <c r="D28" s="47">
        <f t="shared" si="4"/>
        <v>87920</v>
      </c>
      <c r="E28" s="47">
        <f t="shared" si="4"/>
        <v>378610</v>
      </c>
      <c r="F28" s="47">
        <f t="shared" si="4"/>
        <v>1632252</v>
      </c>
      <c r="G28" s="47">
        <f t="shared" si="4"/>
        <v>1186158</v>
      </c>
      <c r="H28" s="47">
        <f t="shared" si="4"/>
        <v>921152</v>
      </c>
      <c r="I28" s="47">
        <f t="shared" si="4"/>
        <v>736640</v>
      </c>
      <c r="J28" s="47">
        <f t="shared" si="4"/>
        <v>1376415</v>
      </c>
      <c r="K28" s="47">
        <f t="shared" si="4"/>
        <v>683648</v>
      </c>
      <c r="L28" s="47">
        <f t="shared" si="4"/>
        <v>747567</v>
      </c>
      <c r="M28" s="47">
        <f t="shared" si="4"/>
        <v>548527</v>
      </c>
      <c r="N28" s="47">
        <f t="shared" si="4"/>
        <v>4196290</v>
      </c>
      <c r="O28" s="47">
        <f t="shared" si="4"/>
        <v>782894</v>
      </c>
      <c r="P28" s="47">
        <f t="shared" si="4"/>
        <v>506307</v>
      </c>
      <c r="Q28" s="47">
        <f t="shared" si="4"/>
        <v>2526455</v>
      </c>
      <c r="R28" s="47">
        <f t="shared" si="4"/>
        <v>1199574</v>
      </c>
      <c r="S28" s="47">
        <f t="shared" si="4"/>
        <v>422726</v>
      </c>
      <c r="T28" s="47">
        <f t="shared" si="4"/>
        <v>1996109</v>
      </c>
      <c r="U28" s="47">
        <f t="shared" si="4"/>
        <v>458330</v>
      </c>
      <c r="V28" s="47">
        <f t="shared" si="4"/>
        <v>2187473</v>
      </c>
      <c r="W28" s="47">
        <f t="shared" si="4"/>
        <v>355412</v>
      </c>
      <c r="X28" s="47">
        <f t="shared" si="4"/>
        <v>80516</v>
      </c>
      <c r="Y28" s="47">
        <f t="shared" si="4"/>
        <v>1909807</v>
      </c>
      <c r="Z28" s="47">
        <f t="shared" si="4"/>
        <v>10416380</v>
      </c>
      <c r="AA28" s="47">
        <f t="shared" si="4"/>
        <v>295805</v>
      </c>
      <c r="AB28" s="47">
        <f t="shared" si="4"/>
        <v>248046</v>
      </c>
      <c r="AC28" s="48"/>
      <c r="AD28" s="49">
        <f t="shared" si="3"/>
        <v>36325822</v>
      </c>
      <c r="AH28" s="7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</row>
    <row r="29" spans="1:61">
      <c r="A29" s="56" t="s">
        <v>85</v>
      </c>
      <c r="B29" s="47">
        <f t="shared" ref="B29:AB29" si="5">B8++B10</f>
        <v>25242</v>
      </c>
      <c r="C29" s="47">
        <f t="shared" si="5"/>
        <v>63748</v>
      </c>
      <c r="D29" s="47">
        <f t="shared" si="5"/>
        <v>13356</v>
      </c>
      <c r="E29" s="47">
        <f t="shared" si="5"/>
        <v>64291</v>
      </c>
      <c r="F29" s="47">
        <f t="shared" si="5"/>
        <v>343076</v>
      </c>
      <c r="G29" s="47">
        <f t="shared" si="5"/>
        <v>230657</v>
      </c>
      <c r="H29" s="47">
        <f t="shared" si="5"/>
        <v>106591</v>
      </c>
      <c r="I29" s="47">
        <f t="shared" si="5"/>
        <v>186148</v>
      </c>
      <c r="J29" s="47">
        <f t="shared" si="5"/>
        <v>323975</v>
      </c>
      <c r="K29" s="47">
        <f t="shared" si="5"/>
        <v>122449</v>
      </c>
      <c r="L29" s="47">
        <f t="shared" si="5"/>
        <v>227025</v>
      </c>
      <c r="M29" s="47">
        <f t="shared" si="5"/>
        <v>161938</v>
      </c>
      <c r="N29" s="47">
        <f t="shared" si="5"/>
        <v>818530</v>
      </c>
      <c r="O29" s="47">
        <f t="shared" si="5"/>
        <v>180324</v>
      </c>
      <c r="P29" s="47">
        <f t="shared" si="5"/>
        <v>86034</v>
      </c>
      <c r="Q29" s="47">
        <f t="shared" si="5"/>
        <v>693570</v>
      </c>
      <c r="R29" s="47">
        <f t="shared" si="5"/>
        <v>228412</v>
      </c>
      <c r="S29" s="47">
        <f t="shared" si="5"/>
        <v>93103</v>
      </c>
      <c r="T29" s="47">
        <f t="shared" si="5"/>
        <v>350521</v>
      </c>
      <c r="U29" s="47">
        <f t="shared" si="5"/>
        <v>92956</v>
      </c>
      <c r="V29" s="47">
        <f t="shared" si="5"/>
        <v>588164</v>
      </c>
      <c r="W29" s="47">
        <f t="shared" si="5"/>
        <v>91346</v>
      </c>
      <c r="X29" s="47">
        <f t="shared" si="5"/>
        <v>19027</v>
      </c>
      <c r="Y29" s="47">
        <f t="shared" si="5"/>
        <v>401853</v>
      </c>
      <c r="Z29" s="47">
        <f t="shared" si="5"/>
        <v>1753140</v>
      </c>
      <c r="AA29" s="47">
        <f t="shared" si="5"/>
        <v>53862</v>
      </c>
      <c r="AB29" s="47">
        <f t="shared" si="5"/>
        <v>69636</v>
      </c>
      <c r="AC29" s="48"/>
      <c r="AD29" s="49">
        <f t="shared" si="3"/>
        <v>7388974</v>
      </c>
      <c r="AH29" s="7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</row>
    <row r="30" spans="1:61">
      <c r="A30" s="56" t="s">
        <v>101</v>
      </c>
      <c r="B30" s="47">
        <f t="shared" ref="B30:AB30" si="6">B9+B12+B13+B14+B18+B20</f>
        <v>28</v>
      </c>
      <c r="C30" s="47">
        <f t="shared" si="6"/>
        <v>24</v>
      </c>
      <c r="D30" s="47">
        <f t="shared" si="6"/>
        <v>18</v>
      </c>
      <c r="E30" s="47">
        <f t="shared" si="6"/>
        <v>115</v>
      </c>
      <c r="F30" s="47">
        <f t="shared" si="6"/>
        <v>387</v>
      </c>
      <c r="G30" s="47">
        <f t="shared" si="6"/>
        <v>178</v>
      </c>
      <c r="H30" s="47">
        <f t="shared" si="6"/>
        <v>470</v>
      </c>
      <c r="I30" s="47">
        <f t="shared" si="6"/>
        <v>283</v>
      </c>
      <c r="J30" s="47">
        <f t="shared" si="6"/>
        <v>249</v>
      </c>
      <c r="K30" s="47">
        <f t="shared" si="6"/>
        <v>129</v>
      </c>
      <c r="L30" s="47">
        <f t="shared" si="6"/>
        <v>311</v>
      </c>
      <c r="M30" s="47">
        <f t="shared" si="6"/>
        <v>124</v>
      </c>
      <c r="N30" s="47">
        <f t="shared" si="6"/>
        <v>790</v>
      </c>
      <c r="O30" s="47">
        <f t="shared" si="6"/>
        <v>151</v>
      </c>
      <c r="P30" s="47">
        <f t="shared" si="6"/>
        <v>57</v>
      </c>
      <c r="Q30" s="47">
        <f t="shared" si="6"/>
        <v>933</v>
      </c>
      <c r="R30" s="47">
        <f t="shared" si="6"/>
        <v>246</v>
      </c>
      <c r="S30" s="47">
        <f t="shared" si="6"/>
        <v>80</v>
      </c>
      <c r="T30" s="47">
        <f t="shared" si="6"/>
        <v>726</v>
      </c>
      <c r="U30" s="47">
        <f t="shared" si="6"/>
        <v>63</v>
      </c>
      <c r="V30" s="47">
        <f t="shared" si="6"/>
        <v>713</v>
      </c>
      <c r="W30" s="47">
        <f t="shared" si="6"/>
        <v>56</v>
      </c>
      <c r="X30" s="47">
        <f t="shared" si="6"/>
        <v>26</v>
      </c>
      <c r="Y30" s="47">
        <f t="shared" si="6"/>
        <v>711</v>
      </c>
      <c r="Z30" s="47">
        <f t="shared" si="6"/>
        <v>4721</v>
      </c>
      <c r="AA30" s="47">
        <f t="shared" si="6"/>
        <v>55</v>
      </c>
      <c r="AB30" s="47">
        <f t="shared" si="6"/>
        <v>40</v>
      </c>
      <c r="AC30" s="48"/>
      <c r="AD30" s="49">
        <f t="shared" si="3"/>
        <v>11684</v>
      </c>
      <c r="AH30" s="7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</row>
    <row r="31" spans="1:61">
      <c r="A31" s="56" t="s">
        <v>16</v>
      </c>
      <c r="B31" s="47">
        <f t="shared" ref="B31:AB31" si="7">B6+B11+B15+B19+B21</f>
        <v>16</v>
      </c>
      <c r="C31" s="47">
        <f t="shared" si="7"/>
        <v>19854</v>
      </c>
      <c r="D31" s="47">
        <f t="shared" si="7"/>
        <v>12</v>
      </c>
      <c r="E31" s="47">
        <f t="shared" si="7"/>
        <v>2051</v>
      </c>
      <c r="F31" s="47">
        <f t="shared" si="7"/>
        <v>53127</v>
      </c>
      <c r="G31" s="47">
        <f t="shared" si="7"/>
        <v>47741</v>
      </c>
      <c r="H31" s="47">
        <f t="shared" si="7"/>
        <v>1569</v>
      </c>
      <c r="I31" s="47">
        <f t="shared" si="7"/>
        <v>34329</v>
      </c>
      <c r="J31" s="47">
        <f t="shared" si="7"/>
        <v>4510</v>
      </c>
      <c r="K31" s="47">
        <f t="shared" si="7"/>
        <v>266</v>
      </c>
      <c r="L31" s="47">
        <f t="shared" si="7"/>
        <v>1374</v>
      </c>
      <c r="M31" s="47">
        <f t="shared" si="7"/>
        <v>5249</v>
      </c>
      <c r="N31" s="47">
        <f t="shared" si="7"/>
        <v>33307</v>
      </c>
      <c r="O31" s="47">
        <f t="shared" si="7"/>
        <v>363</v>
      </c>
      <c r="P31" s="47">
        <f t="shared" si="7"/>
        <v>22732</v>
      </c>
      <c r="Q31" s="47">
        <f t="shared" si="7"/>
        <v>38756</v>
      </c>
      <c r="R31" s="47">
        <f t="shared" si="7"/>
        <v>51647</v>
      </c>
      <c r="S31" s="47">
        <f t="shared" si="7"/>
        <v>704</v>
      </c>
      <c r="T31" s="47">
        <f t="shared" si="7"/>
        <v>1305001</v>
      </c>
      <c r="U31" s="47">
        <f t="shared" si="7"/>
        <v>49262</v>
      </c>
      <c r="V31" s="47">
        <f t="shared" si="7"/>
        <v>68441</v>
      </c>
      <c r="W31" s="47">
        <f t="shared" si="7"/>
        <v>87</v>
      </c>
      <c r="X31" s="47">
        <f t="shared" si="7"/>
        <v>47</v>
      </c>
      <c r="Y31" s="47">
        <f t="shared" si="7"/>
        <v>97038</v>
      </c>
      <c r="Z31" s="47">
        <f t="shared" si="7"/>
        <v>278474</v>
      </c>
      <c r="AA31" s="47">
        <f t="shared" si="7"/>
        <v>21754</v>
      </c>
      <c r="AB31" s="47">
        <f t="shared" si="7"/>
        <v>260</v>
      </c>
      <c r="AC31" s="48"/>
      <c r="AD31" s="49">
        <f t="shared" si="3"/>
        <v>2137971</v>
      </c>
      <c r="AH31" s="7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</row>
    <row r="32" spans="1:61">
      <c r="A32" s="56" t="s">
        <v>94</v>
      </c>
      <c r="B32" s="47">
        <f t="shared" ref="B32:AB32" si="8">B16+B17</f>
        <v>136114</v>
      </c>
      <c r="C32" s="47">
        <f t="shared" si="8"/>
        <v>333601</v>
      </c>
      <c r="D32" s="47">
        <f t="shared" si="8"/>
        <v>85054</v>
      </c>
      <c r="E32" s="47">
        <f t="shared" si="8"/>
        <v>386548</v>
      </c>
      <c r="F32" s="47">
        <f t="shared" si="8"/>
        <v>1829622</v>
      </c>
      <c r="G32" s="47">
        <f t="shared" si="8"/>
        <v>1501473</v>
      </c>
      <c r="H32" s="47">
        <f t="shared" si="8"/>
        <v>658098</v>
      </c>
      <c r="I32" s="47">
        <f t="shared" si="8"/>
        <v>830143</v>
      </c>
      <c r="J32" s="47">
        <f t="shared" si="8"/>
        <v>1747778</v>
      </c>
      <c r="K32" s="47">
        <f t="shared" si="8"/>
        <v>816842</v>
      </c>
      <c r="L32" s="47">
        <f t="shared" si="8"/>
        <v>900521</v>
      </c>
      <c r="M32" s="47">
        <f t="shared" si="8"/>
        <v>713423</v>
      </c>
      <c r="N32" s="47">
        <f t="shared" si="8"/>
        <v>5137232</v>
      </c>
      <c r="O32" s="47">
        <f t="shared" si="8"/>
        <v>932801</v>
      </c>
      <c r="P32" s="47">
        <f t="shared" si="8"/>
        <v>607921</v>
      </c>
      <c r="Q32" s="47">
        <f t="shared" si="8"/>
        <v>3452431</v>
      </c>
      <c r="R32" s="47">
        <f t="shared" si="8"/>
        <v>1319161</v>
      </c>
      <c r="S32" s="47">
        <f t="shared" si="8"/>
        <v>621483</v>
      </c>
      <c r="T32" s="47">
        <f t="shared" si="8"/>
        <v>2571606</v>
      </c>
      <c r="U32" s="47">
        <f t="shared" si="8"/>
        <v>610051</v>
      </c>
      <c r="V32" s="47">
        <f t="shared" si="8"/>
        <v>3624742</v>
      </c>
      <c r="W32" s="47">
        <f t="shared" si="8"/>
        <v>477168</v>
      </c>
      <c r="X32" s="47">
        <f t="shared" si="8"/>
        <v>110724</v>
      </c>
      <c r="Y32" s="47">
        <f t="shared" si="8"/>
        <v>2310801</v>
      </c>
      <c r="Z32" s="47">
        <f t="shared" si="8"/>
        <v>13626102</v>
      </c>
      <c r="AA32" s="47">
        <f t="shared" si="8"/>
        <v>342709</v>
      </c>
      <c r="AB32" s="47">
        <f t="shared" si="8"/>
        <v>315136</v>
      </c>
      <c r="AC32" s="48"/>
      <c r="AD32" s="49">
        <f>SUM(B32:AB32)</f>
        <v>45999285</v>
      </c>
      <c r="AH32" s="7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</row>
    <row r="33" spans="1:61">
      <c r="A33" s="57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50"/>
      <c r="AH33" s="7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</row>
    <row r="34" spans="1:61">
      <c r="A34" s="1" t="s">
        <v>99</v>
      </c>
      <c r="B34" s="49">
        <f t="shared" ref="B34:AB34" si="9">SUM(B27:B32)</f>
        <v>265714</v>
      </c>
      <c r="C34" s="49">
        <f t="shared" si="9"/>
        <v>785457</v>
      </c>
      <c r="D34" s="49">
        <f t="shared" si="9"/>
        <v>187800</v>
      </c>
      <c r="E34" s="49">
        <f t="shared" si="9"/>
        <v>847808</v>
      </c>
      <c r="F34" s="49">
        <f t="shared" si="9"/>
        <v>3957868</v>
      </c>
      <c r="G34" s="49">
        <f t="shared" si="9"/>
        <v>3027093</v>
      </c>
      <c r="H34" s="49">
        <f t="shared" si="9"/>
        <v>1745785</v>
      </c>
      <c r="I34" s="49">
        <f t="shared" si="9"/>
        <v>1840757</v>
      </c>
      <c r="J34" s="49">
        <f t="shared" si="9"/>
        <v>3612519</v>
      </c>
      <c r="K34" s="49">
        <f t="shared" si="9"/>
        <v>1637131</v>
      </c>
      <c r="L34" s="49">
        <f t="shared" si="9"/>
        <v>1924983</v>
      </c>
      <c r="M34" s="49">
        <f t="shared" si="9"/>
        <v>1483119</v>
      </c>
      <c r="N34" s="49">
        <f t="shared" si="9"/>
        <v>10621336</v>
      </c>
      <c r="O34" s="49">
        <f t="shared" si="9"/>
        <v>1920385</v>
      </c>
      <c r="P34" s="49">
        <f t="shared" si="9"/>
        <v>1252343</v>
      </c>
      <c r="Q34" s="49">
        <f t="shared" si="9"/>
        <v>7131077</v>
      </c>
      <c r="R34" s="49">
        <f t="shared" si="9"/>
        <v>2893008</v>
      </c>
      <c r="S34" s="49">
        <f t="shared" si="9"/>
        <v>1156580</v>
      </c>
      <c r="T34" s="49">
        <f t="shared" si="9"/>
        <v>6532293</v>
      </c>
      <c r="U34" s="49">
        <f t="shared" si="9"/>
        <v>1240778</v>
      </c>
      <c r="V34" s="49">
        <f t="shared" si="9"/>
        <v>6666331</v>
      </c>
      <c r="W34" s="49">
        <f t="shared" si="9"/>
        <v>934469</v>
      </c>
      <c r="X34" s="49">
        <f t="shared" si="9"/>
        <v>211788</v>
      </c>
      <c r="Y34" s="49">
        <f t="shared" si="9"/>
        <v>4852843</v>
      </c>
      <c r="Z34" s="49">
        <f t="shared" si="9"/>
        <v>27913331</v>
      </c>
      <c r="AA34" s="49">
        <f t="shared" si="9"/>
        <v>732660</v>
      </c>
      <c r="AB34" s="49">
        <f t="shared" si="9"/>
        <v>644033</v>
      </c>
      <c r="AC34" s="48"/>
      <c r="AD34" s="51">
        <f>IF((SUM(AD27:AD32)=SUM(B34:AB34)),(SUM(B34:AB34)),"erro")</f>
        <v>96019289</v>
      </c>
      <c r="AH34" s="7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</row>
    <row r="35" spans="1:61" ht="15.75" customHeight="1">
      <c r="A35" s="7"/>
    </row>
    <row r="36" spans="1:61">
      <c r="A36" s="99" t="s">
        <v>102</v>
      </c>
    </row>
    <row r="37" spans="1:61" ht="15">
      <c r="A37" s="100"/>
      <c r="B37" s="30" t="s">
        <v>53</v>
      </c>
      <c r="C37" s="30" t="s">
        <v>54</v>
      </c>
      <c r="D37" s="30" t="s">
        <v>55</v>
      </c>
      <c r="E37" s="30" t="s">
        <v>56</v>
      </c>
      <c r="F37" s="30" t="s">
        <v>57</v>
      </c>
      <c r="G37" s="30" t="s">
        <v>58</v>
      </c>
      <c r="H37" s="30" t="s">
        <v>59</v>
      </c>
      <c r="I37" s="30" t="s">
        <v>60</v>
      </c>
      <c r="J37" s="30" t="s">
        <v>61</v>
      </c>
      <c r="K37" s="30" t="s">
        <v>62</v>
      </c>
      <c r="L37" s="30" t="s">
        <v>63</v>
      </c>
      <c r="M37" s="30" t="s">
        <v>64</v>
      </c>
      <c r="N37" s="30" t="s">
        <v>65</v>
      </c>
      <c r="O37" s="30" t="s">
        <v>66</v>
      </c>
      <c r="P37" s="30" t="s">
        <v>67</v>
      </c>
      <c r="Q37" s="30" t="s">
        <v>68</v>
      </c>
      <c r="R37" s="30" t="s">
        <v>69</v>
      </c>
      <c r="S37" s="30" t="s">
        <v>70</v>
      </c>
      <c r="T37" s="30" t="s">
        <v>71</v>
      </c>
      <c r="U37" s="30" t="s">
        <v>72</v>
      </c>
      <c r="V37" s="30" t="s">
        <v>73</v>
      </c>
      <c r="W37" s="30" t="s">
        <v>74</v>
      </c>
      <c r="X37" s="30" t="s">
        <v>75</v>
      </c>
      <c r="Y37" s="30" t="s">
        <v>76</v>
      </c>
      <c r="Z37" s="30" t="s">
        <v>77</v>
      </c>
      <c r="AA37" s="30" t="s">
        <v>78</v>
      </c>
      <c r="AB37" s="30" t="s">
        <v>79</v>
      </c>
      <c r="AD37" s="30" t="s">
        <v>80</v>
      </c>
    </row>
    <row r="38" spans="1:61">
      <c r="A38" s="58" t="s">
        <v>103</v>
      </c>
      <c r="B38" s="29">
        <v>85041</v>
      </c>
      <c r="C38" s="29">
        <v>347379</v>
      </c>
      <c r="D38" s="29">
        <v>78293</v>
      </c>
      <c r="E38" s="29">
        <v>385378</v>
      </c>
      <c r="F38" s="29">
        <v>1789407</v>
      </c>
      <c r="G38" s="29">
        <v>1119077</v>
      </c>
      <c r="H38" s="29">
        <v>1265616</v>
      </c>
      <c r="I38" s="29">
        <v>941483</v>
      </c>
      <c r="J38" s="29">
        <v>1812602</v>
      </c>
      <c r="K38" s="29">
        <v>425084</v>
      </c>
      <c r="L38" s="29">
        <v>698363</v>
      </c>
      <c r="M38" s="29">
        <v>717538</v>
      </c>
      <c r="N38" s="29">
        <v>6006982</v>
      </c>
      <c r="O38" s="29">
        <v>584183</v>
      </c>
      <c r="P38" s="29">
        <v>515566</v>
      </c>
      <c r="Q38" s="29">
        <v>4358977</v>
      </c>
      <c r="R38" s="29">
        <v>1295629</v>
      </c>
      <c r="S38" s="29">
        <v>350743</v>
      </c>
      <c r="T38" s="29">
        <v>4453352</v>
      </c>
      <c r="U38" s="29">
        <v>544325</v>
      </c>
      <c r="V38" s="29">
        <v>4241421</v>
      </c>
      <c r="W38" s="29">
        <v>273781</v>
      </c>
      <c r="X38" s="29">
        <v>71755</v>
      </c>
      <c r="Y38" s="29">
        <v>2875872</v>
      </c>
      <c r="Z38" s="29">
        <v>17967850</v>
      </c>
      <c r="AA38" s="29">
        <v>323553</v>
      </c>
      <c r="AB38" s="29">
        <v>207498</v>
      </c>
      <c r="AC38" s="82"/>
      <c r="AD38" s="49">
        <f t="shared" ref="AD38:AD47" si="10">SUM(B38:AB38)</f>
        <v>53736748</v>
      </c>
      <c r="AE38" s="82"/>
    </row>
    <row r="39" spans="1:61">
      <c r="A39" s="58" t="s">
        <v>104</v>
      </c>
      <c r="B39" s="29">
        <v>7155</v>
      </c>
      <c r="C39" s="29">
        <v>21208</v>
      </c>
      <c r="D39" s="29">
        <v>4084</v>
      </c>
      <c r="E39" s="29">
        <v>19887</v>
      </c>
      <c r="F39" s="29">
        <v>117300</v>
      </c>
      <c r="G39" s="29">
        <v>72992</v>
      </c>
      <c r="H39" s="29">
        <v>23779</v>
      </c>
      <c r="I39" s="29">
        <v>72664</v>
      </c>
      <c r="J39" s="29">
        <v>111289</v>
      </c>
      <c r="K39" s="29">
        <v>40663</v>
      </c>
      <c r="L39" s="29">
        <v>71251</v>
      </c>
      <c r="M39" s="29">
        <v>52329</v>
      </c>
      <c r="N39" s="29">
        <v>331074</v>
      </c>
      <c r="O39" s="29">
        <v>61288</v>
      </c>
      <c r="P39" s="29">
        <v>28670</v>
      </c>
      <c r="Q39" s="29">
        <v>270165</v>
      </c>
      <c r="R39" s="29">
        <v>92348</v>
      </c>
      <c r="S39" s="29">
        <v>29296</v>
      </c>
      <c r="T39" s="29">
        <v>144524</v>
      </c>
      <c r="U39" s="29">
        <v>33426</v>
      </c>
      <c r="V39" s="29">
        <v>228234</v>
      </c>
      <c r="W39" s="29">
        <v>30800</v>
      </c>
      <c r="X39" s="29">
        <v>4990</v>
      </c>
      <c r="Y39" s="29">
        <v>151528</v>
      </c>
      <c r="Z39" s="29">
        <v>675996</v>
      </c>
      <c r="AA39" s="29">
        <v>21140</v>
      </c>
      <c r="AB39" s="29">
        <v>22275</v>
      </c>
      <c r="AC39" s="17"/>
      <c r="AD39" s="49">
        <f t="shared" si="10"/>
        <v>2740355</v>
      </c>
    </row>
    <row r="40" spans="1:61">
      <c r="A40" s="58" t="s">
        <v>105</v>
      </c>
      <c r="B40" s="29">
        <v>871</v>
      </c>
      <c r="C40" s="29">
        <v>2393</v>
      </c>
      <c r="D40" s="29">
        <v>359</v>
      </c>
      <c r="E40" s="29">
        <v>3065</v>
      </c>
      <c r="F40" s="29">
        <v>20555</v>
      </c>
      <c r="G40" s="29">
        <v>8492</v>
      </c>
      <c r="H40" s="29">
        <v>3255</v>
      </c>
      <c r="I40" s="29">
        <v>17554</v>
      </c>
      <c r="J40" s="29">
        <v>29645</v>
      </c>
      <c r="K40" s="29">
        <v>4620</v>
      </c>
      <c r="L40" s="29">
        <v>32387</v>
      </c>
      <c r="M40" s="29">
        <v>16866</v>
      </c>
      <c r="N40" s="29">
        <v>68608</v>
      </c>
      <c r="O40" s="29">
        <v>8236</v>
      </c>
      <c r="P40" s="29">
        <v>2677</v>
      </c>
      <c r="Q40" s="29">
        <v>89595</v>
      </c>
      <c r="R40" s="29">
        <v>11892</v>
      </c>
      <c r="S40" s="29">
        <v>2547</v>
      </c>
      <c r="T40" s="29">
        <v>16576</v>
      </c>
      <c r="U40" s="29">
        <v>3368</v>
      </c>
      <c r="V40" s="29">
        <v>57831</v>
      </c>
      <c r="W40" s="29">
        <v>6658</v>
      </c>
      <c r="X40" s="29">
        <v>758</v>
      </c>
      <c r="Y40" s="29">
        <v>50697</v>
      </c>
      <c r="Z40" s="29">
        <v>169015</v>
      </c>
      <c r="AA40" s="29">
        <v>2518</v>
      </c>
      <c r="AB40" s="29">
        <v>4950</v>
      </c>
      <c r="AC40" s="17"/>
      <c r="AD40" s="49">
        <f t="shared" si="10"/>
        <v>635988</v>
      </c>
    </row>
    <row r="41" spans="1:61">
      <c r="A41" s="58" t="s">
        <v>106</v>
      </c>
      <c r="B41" s="29">
        <v>26035</v>
      </c>
      <c r="C41" s="29">
        <v>53429</v>
      </c>
      <c r="D41" s="29">
        <v>21266</v>
      </c>
      <c r="E41" s="29">
        <v>85209</v>
      </c>
      <c r="F41" s="29">
        <v>347301</v>
      </c>
      <c r="G41" s="29">
        <v>188874</v>
      </c>
      <c r="H41" s="29">
        <v>123470</v>
      </c>
      <c r="I41" s="29">
        <v>164167</v>
      </c>
      <c r="J41" s="29">
        <v>348528</v>
      </c>
      <c r="K41" s="29">
        <v>115534</v>
      </c>
      <c r="L41" s="29">
        <v>214325</v>
      </c>
      <c r="M41" s="29">
        <v>157012</v>
      </c>
      <c r="N41" s="29">
        <v>898002</v>
      </c>
      <c r="O41" s="29">
        <v>144119</v>
      </c>
      <c r="P41" s="29">
        <v>80567</v>
      </c>
      <c r="Q41" s="29">
        <v>646045</v>
      </c>
      <c r="R41" s="29">
        <v>179801</v>
      </c>
      <c r="S41" s="29">
        <v>86705</v>
      </c>
      <c r="T41" s="29">
        <v>339328</v>
      </c>
      <c r="U41" s="29">
        <v>85104</v>
      </c>
      <c r="V41" s="29">
        <v>519878</v>
      </c>
      <c r="W41" s="29">
        <v>90629</v>
      </c>
      <c r="X41" s="29">
        <v>26384</v>
      </c>
      <c r="Y41" s="29">
        <v>384178</v>
      </c>
      <c r="Z41" s="29">
        <v>1927157</v>
      </c>
      <c r="AA41" s="29">
        <v>42211</v>
      </c>
      <c r="AB41" s="29">
        <v>63570</v>
      </c>
      <c r="AC41" s="17"/>
      <c r="AD41" s="49">
        <f t="shared" si="10"/>
        <v>7358828</v>
      </c>
    </row>
    <row r="42" spans="1:61">
      <c r="A42" s="58" t="s">
        <v>107</v>
      </c>
      <c r="B42" s="29">
        <v>4196</v>
      </c>
      <c r="C42" s="29">
        <v>20819</v>
      </c>
      <c r="D42" s="29">
        <v>4453</v>
      </c>
      <c r="E42" s="29">
        <v>27181</v>
      </c>
      <c r="F42" s="29">
        <v>115018</v>
      </c>
      <c r="G42" s="29">
        <v>59661</v>
      </c>
      <c r="H42" s="29">
        <v>84750</v>
      </c>
      <c r="I42" s="29">
        <v>57238</v>
      </c>
      <c r="J42" s="29">
        <v>96911</v>
      </c>
      <c r="K42" s="29">
        <v>23563</v>
      </c>
      <c r="L42" s="29">
        <v>41442</v>
      </c>
      <c r="M42" s="29">
        <v>39547</v>
      </c>
      <c r="N42" s="29">
        <v>318849</v>
      </c>
      <c r="O42" s="29">
        <v>38929</v>
      </c>
      <c r="P42" s="29">
        <v>27511</v>
      </c>
      <c r="Q42" s="29">
        <v>237033</v>
      </c>
      <c r="R42" s="29">
        <v>90506</v>
      </c>
      <c r="S42" s="29">
        <v>17222</v>
      </c>
      <c r="T42" s="29">
        <v>296718</v>
      </c>
      <c r="U42" s="29">
        <v>29337</v>
      </c>
      <c r="V42" s="29">
        <v>258807</v>
      </c>
      <c r="W42" s="29">
        <v>12517</v>
      </c>
      <c r="X42" s="29">
        <v>4984</v>
      </c>
      <c r="Y42" s="29">
        <v>178941</v>
      </c>
      <c r="Z42" s="29">
        <v>1192291</v>
      </c>
      <c r="AA42" s="29">
        <v>15703</v>
      </c>
      <c r="AB42" s="29">
        <v>10618</v>
      </c>
      <c r="AC42" s="17"/>
      <c r="AD42" s="49">
        <f t="shared" si="10"/>
        <v>3304745</v>
      </c>
    </row>
    <row r="43" spans="1:61">
      <c r="A43" s="58" t="s">
        <v>108</v>
      </c>
      <c r="B43" s="29">
        <v>362</v>
      </c>
      <c r="C43" s="29">
        <v>6483</v>
      </c>
      <c r="D43" s="29">
        <v>454</v>
      </c>
      <c r="E43" s="29">
        <v>3497</v>
      </c>
      <c r="F43" s="29">
        <v>28909</v>
      </c>
      <c r="G43" s="29">
        <v>12127</v>
      </c>
      <c r="H43" s="29">
        <v>5760</v>
      </c>
      <c r="I43" s="29">
        <v>8123</v>
      </c>
      <c r="J43" s="29">
        <v>9751</v>
      </c>
      <c r="K43" s="29">
        <v>4853</v>
      </c>
      <c r="L43" s="29">
        <v>3571</v>
      </c>
      <c r="M43" s="29">
        <v>3842</v>
      </c>
      <c r="N43" s="29">
        <v>46417</v>
      </c>
      <c r="O43" s="29">
        <v>6608</v>
      </c>
      <c r="P43" s="29">
        <v>4698</v>
      </c>
      <c r="Q43" s="29">
        <v>22440</v>
      </c>
      <c r="R43" s="29">
        <v>18747</v>
      </c>
      <c r="S43" s="29">
        <v>3863</v>
      </c>
      <c r="T43" s="29">
        <v>38330</v>
      </c>
      <c r="U43" s="29">
        <v>5076</v>
      </c>
      <c r="V43" s="29">
        <v>20924</v>
      </c>
      <c r="W43" s="29">
        <v>1252</v>
      </c>
      <c r="X43" s="29">
        <v>685</v>
      </c>
      <c r="Y43" s="29">
        <v>11995</v>
      </c>
      <c r="Z43" s="29">
        <v>119947</v>
      </c>
      <c r="AA43" s="29">
        <v>3402</v>
      </c>
      <c r="AB43" s="29">
        <v>1600</v>
      </c>
      <c r="AC43" s="17"/>
      <c r="AD43" s="49">
        <f t="shared" si="10"/>
        <v>393716</v>
      </c>
    </row>
    <row r="44" spans="1:61">
      <c r="A44" s="58" t="s">
        <v>109</v>
      </c>
      <c r="B44" s="29">
        <v>114494</v>
      </c>
      <c r="C44" s="29">
        <v>280456</v>
      </c>
      <c r="D44" s="29">
        <v>63384</v>
      </c>
      <c r="E44" s="29">
        <v>250384</v>
      </c>
      <c r="F44" s="29">
        <v>1269808</v>
      </c>
      <c r="G44" s="29">
        <v>1350489</v>
      </c>
      <c r="H44" s="29">
        <v>185988</v>
      </c>
      <c r="I44" s="29">
        <v>437902</v>
      </c>
      <c r="J44" s="29">
        <v>865636</v>
      </c>
      <c r="K44" s="29">
        <v>838948</v>
      </c>
      <c r="L44" s="29">
        <v>609356</v>
      </c>
      <c r="M44" s="29">
        <v>364026</v>
      </c>
      <c r="N44" s="29">
        <v>2483930</v>
      </c>
      <c r="O44" s="29">
        <v>853969</v>
      </c>
      <c r="P44" s="29">
        <v>479351</v>
      </c>
      <c r="Q44" s="29">
        <v>1144962</v>
      </c>
      <c r="R44" s="29">
        <v>1021906</v>
      </c>
      <c r="S44" s="29">
        <v>547225</v>
      </c>
      <c r="T44" s="29">
        <v>933678</v>
      </c>
      <c r="U44" s="29">
        <v>431103</v>
      </c>
      <c r="V44" s="29">
        <v>1070289</v>
      </c>
      <c r="W44" s="29">
        <v>387778</v>
      </c>
      <c r="X44" s="29">
        <v>78982</v>
      </c>
      <c r="Y44" s="29">
        <v>861699</v>
      </c>
      <c r="Z44" s="29">
        <v>4560594</v>
      </c>
      <c r="AA44" s="29">
        <v>246501</v>
      </c>
      <c r="AB44" s="29">
        <v>229072</v>
      </c>
      <c r="AC44" s="17"/>
      <c r="AD44" s="49">
        <f t="shared" si="10"/>
        <v>21961910</v>
      </c>
    </row>
    <row r="45" spans="1:61">
      <c r="A45" s="56" t="s">
        <v>110</v>
      </c>
      <c r="B45" s="29">
        <v>24669</v>
      </c>
      <c r="C45" s="29">
        <v>39213</v>
      </c>
      <c r="D45" s="29">
        <v>12324</v>
      </c>
      <c r="E45" s="29">
        <v>56005</v>
      </c>
      <c r="F45" s="29">
        <v>186993</v>
      </c>
      <c r="G45" s="29">
        <v>161733</v>
      </c>
      <c r="H45" s="29">
        <v>19123</v>
      </c>
      <c r="I45" s="29">
        <v>105001</v>
      </c>
      <c r="J45" s="29">
        <v>273668</v>
      </c>
      <c r="K45" s="29">
        <v>154823</v>
      </c>
      <c r="L45" s="29">
        <v>219752</v>
      </c>
      <c r="M45" s="29">
        <v>108584</v>
      </c>
      <c r="N45" s="29">
        <v>285174</v>
      </c>
      <c r="O45" s="29">
        <v>186811</v>
      </c>
      <c r="P45" s="29">
        <v>66204</v>
      </c>
      <c r="Q45" s="29">
        <v>291561</v>
      </c>
      <c r="R45" s="29">
        <v>106072</v>
      </c>
      <c r="S45" s="29">
        <v>96876</v>
      </c>
      <c r="T45" s="29">
        <v>166400</v>
      </c>
      <c r="U45" s="29">
        <v>60529</v>
      </c>
      <c r="V45" s="29">
        <v>187547</v>
      </c>
      <c r="W45" s="29">
        <v>119254</v>
      </c>
      <c r="X45" s="29">
        <v>20065</v>
      </c>
      <c r="Y45" s="29">
        <v>270149</v>
      </c>
      <c r="Z45" s="29">
        <v>887602</v>
      </c>
      <c r="AA45" s="29">
        <v>42496</v>
      </c>
      <c r="AB45" s="29">
        <v>93509</v>
      </c>
      <c r="AC45" s="17"/>
      <c r="AD45" s="49">
        <f t="shared" si="10"/>
        <v>4242137</v>
      </c>
    </row>
    <row r="46" spans="1:61">
      <c r="A46" s="56" t="s">
        <v>111</v>
      </c>
      <c r="B46" s="29">
        <v>1135</v>
      </c>
      <c r="C46" s="29">
        <v>7542</v>
      </c>
      <c r="D46" s="29">
        <v>1206</v>
      </c>
      <c r="E46" s="29">
        <v>8868</v>
      </c>
      <c r="F46" s="29">
        <v>39378</v>
      </c>
      <c r="G46" s="29">
        <v>17644</v>
      </c>
      <c r="H46" s="29">
        <v>12442</v>
      </c>
      <c r="I46" s="29">
        <v>14615</v>
      </c>
      <c r="J46" s="29">
        <v>22822</v>
      </c>
      <c r="K46" s="29">
        <v>8941</v>
      </c>
      <c r="L46" s="29">
        <v>11665</v>
      </c>
      <c r="M46" s="29">
        <v>9538</v>
      </c>
      <c r="N46" s="29">
        <v>76343</v>
      </c>
      <c r="O46" s="29">
        <v>18200</v>
      </c>
      <c r="P46" s="29">
        <v>7536</v>
      </c>
      <c r="Q46" s="29">
        <v>42966</v>
      </c>
      <c r="R46" s="29">
        <v>19644</v>
      </c>
      <c r="S46" s="29">
        <v>7400</v>
      </c>
      <c r="T46" s="29">
        <v>45070</v>
      </c>
      <c r="U46" s="29">
        <v>7009</v>
      </c>
      <c r="V46" s="29">
        <v>40788</v>
      </c>
      <c r="W46" s="29">
        <v>6053</v>
      </c>
      <c r="X46" s="29">
        <v>1129</v>
      </c>
      <c r="Y46" s="29">
        <v>19617</v>
      </c>
      <c r="Z46" s="29">
        <v>157816</v>
      </c>
      <c r="AA46" s="29">
        <v>6982</v>
      </c>
      <c r="AB46" s="29">
        <v>5421</v>
      </c>
      <c r="AC46" s="17"/>
      <c r="AD46" s="49">
        <f t="shared" si="10"/>
        <v>617770</v>
      </c>
    </row>
    <row r="47" spans="1:61">
      <c r="A47" s="56" t="s">
        <v>112</v>
      </c>
      <c r="B47" s="29">
        <v>1272</v>
      </c>
      <c r="C47" s="29">
        <v>5792</v>
      </c>
      <c r="D47" s="29">
        <v>967</v>
      </c>
      <c r="E47" s="29">
        <v>5108</v>
      </c>
      <c r="F47" s="29">
        <v>28787</v>
      </c>
      <c r="G47" s="29">
        <v>32120</v>
      </c>
      <c r="H47" s="29">
        <v>26853</v>
      </c>
      <c r="I47" s="29">
        <v>18588</v>
      </c>
      <c r="J47" s="29">
        <v>24841</v>
      </c>
      <c r="K47" s="29">
        <v>9946</v>
      </c>
      <c r="L47" s="29">
        <v>14956</v>
      </c>
      <c r="M47" s="29">
        <v>12585</v>
      </c>
      <c r="N47" s="29">
        <v>70093</v>
      </c>
      <c r="O47" s="29">
        <v>13305</v>
      </c>
      <c r="P47" s="29">
        <v>10303</v>
      </c>
      <c r="Q47" s="29">
        <v>58335</v>
      </c>
      <c r="R47" s="29">
        <v>20016</v>
      </c>
      <c r="S47" s="29">
        <v>7060</v>
      </c>
      <c r="T47" s="29">
        <v>59805</v>
      </c>
      <c r="U47" s="29">
        <v>15954</v>
      </c>
      <c r="V47" s="29">
        <v>58158</v>
      </c>
      <c r="W47" s="29">
        <v>3642</v>
      </c>
      <c r="X47" s="29">
        <v>1276</v>
      </c>
      <c r="Y47" s="29">
        <v>58118</v>
      </c>
      <c r="Z47" s="29">
        <v>266714</v>
      </c>
      <c r="AA47" s="29">
        <v>4480</v>
      </c>
      <c r="AB47" s="29">
        <v>3553</v>
      </c>
      <c r="AC47" s="17"/>
      <c r="AD47" s="49">
        <f t="shared" si="10"/>
        <v>832627</v>
      </c>
    </row>
    <row r="48" spans="1:61">
      <c r="A48" s="57"/>
      <c r="B48" s="17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7"/>
      <c r="AD48" s="53"/>
    </row>
    <row r="49" spans="1:62">
      <c r="A49" s="1" t="s">
        <v>99</v>
      </c>
      <c r="B49" s="49">
        <f t="shared" ref="B49:AA49" si="11">SUM(B38:B47)</f>
        <v>265230</v>
      </c>
      <c r="C49" s="49">
        <f>SUM(C38:C47)</f>
        <v>784714</v>
      </c>
      <c r="D49" s="49">
        <f t="shared" si="11"/>
        <v>186790</v>
      </c>
      <c r="E49" s="49">
        <f t="shared" si="11"/>
        <v>844582</v>
      </c>
      <c r="F49" s="49">
        <f t="shared" si="11"/>
        <v>3943456</v>
      </c>
      <c r="G49" s="49">
        <f t="shared" si="11"/>
        <v>3023209</v>
      </c>
      <c r="H49" s="49">
        <f t="shared" si="11"/>
        <v>1751036</v>
      </c>
      <c r="I49" s="49">
        <f t="shared" si="11"/>
        <v>1837335</v>
      </c>
      <c r="J49" s="49">
        <f t="shared" si="11"/>
        <v>3595693</v>
      </c>
      <c r="K49" s="49">
        <f t="shared" si="11"/>
        <v>1626975</v>
      </c>
      <c r="L49" s="49">
        <f t="shared" si="11"/>
        <v>1917068</v>
      </c>
      <c r="M49" s="49">
        <f t="shared" si="11"/>
        <v>1481867</v>
      </c>
      <c r="N49" s="49">
        <f t="shared" si="11"/>
        <v>10585472</v>
      </c>
      <c r="O49" s="49">
        <f t="shared" si="11"/>
        <v>1915648</v>
      </c>
      <c r="P49" s="49">
        <f t="shared" si="11"/>
        <v>1223083</v>
      </c>
      <c r="Q49" s="49">
        <f t="shared" si="11"/>
        <v>7162079</v>
      </c>
      <c r="R49" s="49">
        <f t="shared" si="11"/>
        <v>2856561</v>
      </c>
      <c r="S49" s="49">
        <f t="shared" si="11"/>
        <v>1148937</v>
      </c>
      <c r="T49" s="49">
        <f t="shared" si="11"/>
        <v>6493781</v>
      </c>
      <c r="U49" s="49">
        <f t="shared" si="11"/>
        <v>1215231</v>
      </c>
      <c r="V49" s="49">
        <f t="shared" si="11"/>
        <v>6683877</v>
      </c>
      <c r="W49" s="49">
        <f t="shared" si="11"/>
        <v>932364</v>
      </c>
      <c r="X49" s="49">
        <f t="shared" si="11"/>
        <v>211008</v>
      </c>
      <c r="Y49" s="49">
        <f t="shared" si="11"/>
        <v>4862794</v>
      </c>
      <c r="Z49" s="49">
        <f t="shared" si="11"/>
        <v>27924982</v>
      </c>
      <c r="AA49" s="49">
        <f t="shared" si="11"/>
        <v>708986</v>
      </c>
      <c r="AB49" s="49">
        <f>SUM(AB38:AB47)</f>
        <v>642066</v>
      </c>
      <c r="AC49" s="12"/>
      <c r="AD49" s="51">
        <f>IF((SUM(AD38:AD47)=SUM(B49:AB49)),(SUM(B49:AB49)),"erro")</f>
        <v>95824824</v>
      </c>
    </row>
    <row r="51" spans="1:62">
      <c r="J51" t="s">
        <v>113</v>
      </c>
      <c r="L51" s="88">
        <f>ROUND(AD34/AD49,7)</f>
        <v>1.0020294000000001</v>
      </c>
    </row>
    <row r="54" spans="1:62">
      <c r="A54" s="97" t="s">
        <v>114</v>
      </c>
    </row>
    <row r="55" spans="1:62" s="5" customFormat="1">
      <c r="A55" s="98"/>
      <c r="B55" s="16" t="s">
        <v>53</v>
      </c>
      <c r="C55" s="16" t="s">
        <v>54</v>
      </c>
      <c r="D55" s="16" t="s">
        <v>55</v>
      </c>
      <c r="E55" s="16" t="s">
        <v>56</v>
      </c>
      <c r="F55" s="16" t="s">
        <v>57</v>
      </c>
      <c r="G55" s="16" t="s">
        <v>58</v>
      </c>
      <c r="H55" s="16" t="s">
        <v>59</v>
      </c>
      <c r="I55" s="16" t="s">
        <v>60</v>
      </c>
      <c r="J55" s="16" t="s">
        <v>61</v>
      </c>
      <c r="K55" s="16" t="s">
        <v>62</v>
      </c>
      <c r="L55" s="16" t="s">
        <v>63</v>
      </c>
      <c r="M55" s="16" t="s">
        <v>64</v>
      </c>
      <c r="N55" s="16" t="s">
        <v>65</v>
      </c>
      <c r="O55" s="16" t="s">
        <v>66</v>
      </c>
      <c r="P55" s="16" t="s">
        <v>67</v>
      </c>
      <c r="Q55" s="16" t="s">
        <v>68</v>
      </c>
      <c r="R55" s="16" t="s">
        <v>69</v>
      </c>
      <c r="S55" s="16" t="s">
        <v>70</v>
      </c>
      <c r="T55" s="16" t="s">
        <v>71</v>
      </c>
      <c r="U55" s="16" t="s">
        <v>72</v>
      </c>
      <c r="V55" s="16" t="s">
        <v>73</v>
      </c>
      <c r="W55" s="16" t="s">
        <v>74</v>
      </c>
      <c r="X55" s="16" t="s">
        <v>75</v>
      </c>
      <c r="Y55" s="16" t="s">
        <v>76</v>
      </c>
      <c r="Z55" s="16" t="s">
        <v>77</v>
      </c>
      <c r="AA55" s="16" t="s">
        <v>78</v>
      </c>
      <c r="AB55" s="16" t="s">
        <v>79</v>
      </c>
      <c r="AD55" s="6" t="s">
        <v>80</v>
      </c>
    </row>
    <row r="56" spans="1:62">
      <c r="A56" s="85" t="s">
        <v>103</v>
      </c>
      <c r="B56" s="47">
        <f t="shared" ref="B56:AB56" si="12">ROUND(B38*$L$51,0)</f>
        <v>85214</v>
      </c>
      <c r="C56" s="47">
        <f t="shared" si="12"/>
        <v>348084</v>
      </c>
      <c r="D56" s="47">
        <f t="shared" si="12"/>
        <v>78452</v>
      </c>
      <c r="E56" s="47">
        <f t="shared" si="12"/>
        <v>386160</v>
      </c>
      <c r="F56" s="47">
        <f t="shared" si="12"/>
        <v>1793038</v>
      </c>
      <c r="G56" s="47">
        <f t="shared" si="12"/>
        <v>1121348</v>
      </c>
      <c r="H56" s="47">
        <f t="shared" si="12"/>
        <v>1268184</v>
      </c>
      <c r="I56" s="47">
        <f t="shared" si="12"/>
        <v>943394</v>
      </c>
      <c r="J56" s="47">
        <f t="shared" si="12"/>
        <v>1816280</v>
      </c>
      <c r="K56" s="47">
        <f t="shared" si="12"/>
        <v>425947</v>
      </c>
      <c r="L56" s="47">
        <f t="shared" si="12"/>
        <v>699780</v>
      </c>
      <c r="M56" s="47">
        <f t="shared" si="12"/>
        <v>718994</v>
      </c>
      <c r="N56" s="47">
        <f t="shared" si="12"/>
        <v>6019173</v>
      </c>
      <c r="O56" s="47">
        <f t="shared" si="12"/>
        <v>585369</v>
      </c>
      <c r="P56" s="47">
        <f t="shared" si="12"/>
        <v>516612</v>
      </c>
      <c r="Q56" s="47">
        <f t="shared" si="12"/>
        <v>4367823</v>
      </c>
      <c r="R56" s="47">
        <f t="shared" si="12"/>
        <v>1298258</v>
      </c>
      <c r="S56" s="47">
        <f t="shared" si="12"/>
        <v>351455</v>
      </c>
      <c r="T56" s="47">
        <f t="shared" si="12"/>
        <v>4462390</v>
      </c>
      <c r="U56" s="47">
        <f t="shared" si="12"/>
        <v>545430</v>
      </c>
      <c r="V56" s="47">
        <f t="shared" si="12"/>
        <v>4250029</v>
      </c>
      <c r="W56" s="47">
        <f t="shared" si="12"/>
        <v>274337</v>
      </c>
      <c r="X56" s="47">
        <f t="shared" si="12"/>
        <v>71901</v>
      </c>
      <c r="Y56" s="47">
        <f t="shared" si="12"/>
        <v>2881708</v>
      </c>
      <c r="Z56" s="47">
        <f t="shared" si="12"/>
        <v>18004314</v>
      </c>
      <c r="AA56" s="47">
        <f t="shared" si="12"/>
        <v>324210</v>
      </c>
      <c r="AB56" s="47">
        <f t="shared" si="12"/>
        <v>207919</v>
      </c>
      <c r="AC56" s="48"/>
      <c r="AD56" s="49">
        <f t="shared" ref="AD56:AD65" si="13">SUM(B56:AB56)</f>
        <v>53845803</v>
      </c>
      <c r="AH56" s="7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</row>
    <row r="57" spans="1:62" s="14" customFormat="1">
      <c r="A57" s="85" t="s">
        <v>104</v>
      </c>
      <c r="B57" s="47">
        <f t="shared" ref="B57:AB57" si="14">ROUND(B39*$L$51,0)</f>
        <v>7170</v>
      </c>
      <c r="C57" s="47">
        <f t="shared" si="14"/>
        <v>21251</v>
      </c>
      <c r="D57" s="47">
        <f t="shared" si="14"/>
        <v>4092</v>
      </c>
      <c r="E57" s="47">
        <f t="shared" si="14"/>
        <v>19927</v>
      </c>
      <c r="F57" s="47">
        <f t="shared" si="14"/>
        <v>117538</v>
      </c>
      <c r="G57" s="47">
        <f t="shared" si="14"/>
        <v>73140</v>
      </c>
      <c r="H57" s="47">
        <f t="shared" si="14"/>
        <v>23827</v>
      </c>
      <c r="I57" s="47">
        <f t="shared" si="14"/>
        <v>72811</v>
      </c>
      <c r="J57" s="47">
        <f t="shared" si="14"/>
        <v>111515</v>
      </c>
      <c r="K57" s="47">
        <f t="shared" si="14"/>
        <v>40746</v>
      </c>
      <c r="L57" s="47">
        <f t="shared" si="14"/>
        <v>71396</v>
      </c>
      <c r="M57" s="47">
        <f t="shared" si="14"/>
        <v>52435</v>
      </c>
      <c r="N57" s="47">
        <f t="shared" si="14"/>
        <v>331746</v>
      </c>
      <c r="O57" s="47">
        <f t="shared" si="14"/>
        <v>61412</v>
      </c>
      <c r="P57" s="47">
        <f t="shared" si="14"/>
        <v>28728</v>
      </c>
      <c r="Q57" s="47">
        <f t="shared" si="14"/>
        <v>270713</v>
      </c>
      <c r="R57" s="47">
        <f t="shared" si="14"/>
        <v>92535</v>
      </c>
      <c r="S57" s="47">
        <f t="shared" si="14"/>
        <v>29355</v>
      </c>
      <c r="T57" s="47">
        <f t="shared" si="14"/>
        <v>144817</v>
      </c>
      <c r="U57" s="47">
        <f t="shared" si="14"/>
        <v>33494</v>
      </c>
      <c r="V57" s="47">
        <f t="shared" si="14"/>
        <v>228697</v>
      </c>
      <c r="W57" s="47">
        <f t="shared" si="14"/>
        <v>30863</v>
      </c>
      <c r="X57" s="47">
        <f t="shared" si="14"/>
        <v>5000</v>
      </c>
      <c r="Y57" s="47">
        <f t="shared" si="14"/>
        <v>151836</v>
      </c>
      <c r="Z57" s="47">
        <f t="shared" si="14"/>
        <v>677368</v>
      </c>
      <c r="AA57" s="47">
        <f t="shared" si="14"/>
        <v>21183</v>
      </c>
      <c r="AB57" s="47">
        <f t="shared" si="14"/>
        <v>22320</v>
      </c>
      <c r="AC57" s="54"/>
      <c r="AD57" s="49">
        <f t="shared" si="13"/>
        <v>2745915</v>
      </c>
      <c r="AH57" s="15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</row>
    <row r="58" spans="1:62" s="14" customFormat="1">
      <c r="A58" s="85" t="s">
        <v>105</v>
      </c>
      <c r="B58" s="47">
        <f t="shared" ref="B58:AB58" si="15">ROUND(B40*$L$51,0)</f>
        <v>873</v>
      </c>
      <c r="C58" s="47">
        <f t="shared" si="15"/>
        <v>2398</v>
      </c>
      <c r="D58" s="47">
        <f t="shared" si="15"/>
        <v>360</v>
      </c>
      <c r="E58" s="47">
        <f t="shared" si="15"/>
        <v>3071</v>
      </c>
      <c r="F58" s="47">
        <f t="shared" si="15"/>
        <v>20597</v>
      </c>
      <c r="G58" s="47">
        <f t="shared" si="15"/>
        <v>8509</v>
      </c>
      <c r="H58" s="47">
        <f t="shared" si="15"/>
        <v>3262</v>
      </c>
      <c r="I58" s="47">
        <f t="shared" si="15"/>
        <v>17590</v>
      </c>
      <c r="J58" s="47">
        <f t="shared" si="15"/>
        <v>29705</v>
      </c>
      <c r="K58" s="47">
        <f t="shared" si="15"/>
        <v>4629</v>
      </c>
      <c r="L58" s="47">
        <f t="shared" si="15"/>
        <v>32453</v>
      </c>
      <c r="M58" s="47">
        <f t="shared" si="15"/>
        <v>16900</v>
      </c>
      <c r="N58" s="47">
        <f t="shared" si="15"/>
        <v>68747</v>
      </c>
      <c r="O58" s="47">
        <f t="shared" si="15"/>
        <v>8253</v>
      </c>
      <c r="P58" s="47">
        <f t="shared" si="15"/>
        <v>2682</v>
      </c>
      <c r="Q58" s="47">
        <f t="shared" si="15"/>
        <v>89777</v>
      </c>
      <c r="R58" s="47">
        <f t="shared" si="15"/>
        <v>11916</v>
      </c>
      <c r="S58" s="47">
        <f t="shared" si="15"/>
        <v>2552</v>
      </c>
      <c r="T58" s="47">
        <f t="shared" si="15"/>
        <v>16610</v>
      </c>
      <c r="U58" s="47">
        <f t="shared" si="15"/>
        <v>3375</v>
      </c>
      <c r="V58" s="47">
        <f t="shared" si="15"/>
        <v>57948</v>
      </c>
      <c r="W58" s="47">
        <f t="shared" si="15"/>
        <v>6672</v>
      </c>
      <c r="X58" s="47">
        <f t="shared" si="15"/>
        <v>760</v>
      </c>
      <c r="Y58" s="47">
        <f t="shared" si="15"/>
        <v>50800</v>
      </c>
      <c r="Z58" s="47">
        <f t="shared" si="15"/>
        <v>169358</v>
      </c>
      <c r="AA58" s="47">
        <f t="shared" si="15"/>
        <v>2523</v>
      </c>
      <c r="AB58" s="47">
        <f t="shared" si="15"/>
        <v>4960</v>
      </c>
      <c r="AC58" s="54"/>
      <c r="AD58" s="49">
        <f t="shared" si="13"/>
        <v>637280</v>
      </c>
      <c r="AH58" s="15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</row>
    <row r="59" spans="1:62">
      <c r="A59" s="85" t="s">
        <v>106</v>
      </c>
      <c r="B59" s="47">
        <f t="shared" ref="B59:AB59" si="16">ROUND(B41*$L$51,0)</f>
        <v>26088</v>
      </c>
      <c r="C59" s="47">
        <f t="shared" si="16"/>
        <v>53537</v>
      </c>
      <c r="D59" s="47">
        <f t="shared" si="16"/>
        <v>21309</v>
      </c>
      <c r="E59" s="47">
        <f t="shared" si="16"/>
        <v>85382</v>
      </c>
      <c r="F59" s="47">
        <f t="shared" si="16"/>
        <v>348006</v>
      </c>
      <c r="G59" s="47">
        <f t="shared" si="16"/>
        <v>189257</v>
      </c>
      <c r="H59" s="47">
        <f t="shared" si="16"/>
        <v>123721</v>
      </c>
      <c r="I59" s="47">
        <f t="shared" si="16"/>
        <v>164500</v>
      </c>
      <c r="J59" s="47">
        <f t="shared" si="16"/>
        <v>349235</v>
      </c>
      <c r="K59" s="47">
        <f t="shared" si="16"/>
        <v>115768</v>
      </c>
      <c r="L59" s="47">
        <f t="shared" si="16"/>
        <v>214760</v>
      </c>
      <c r="M59" s="47">
        <f t="shared" si="16"/>
        <v>157331</v>
      </c>
      <c r="N59" s="47">
        <f t="shared" si="16"/>
        <v>899824</v>
      </c>
      <c r="O59" s="47">
        <f t="shared" si="16"/>
        <v>144411</v>
      </c>
      <c r="P59" s="47">
        <f t="shared" si="16"/>
        <v>80731</v>
      </c>
      <c r="Q59" s="47">
        <f t="shared" si="16"/>
        <v>647356</v>
      </c>
      <c r="R59" s="47">
        <f t="shared" si="16"/>
        <v>180166</v>
      </c>
      <c r="S59" s="47">
        <f t="shared" si="16"/>
        <v>86881</v>
      </c>
      <c r="T59" s="47">
        <f t="shared" si="16"/>
        <v>340017</v>
      </c>
      <c r="U59" s="47">
        <f t="shared" si="16"/>
        <v>85277</v>
      </c>
      <c r="V59" s="47">
        <f t="shared" si="16"/>
        <v>520933</v>
      </c>
      <c r="W59" s="47">
        <f t="shared" si="16"/>
        <v>90813</v>
      </c>
      <c r="X59" s="47">
        <f t="shared" si="16"/>
        <v>26438</v>
      </c>
      <c r="Y59" s="47">
        <f t="shared" si="16"/>
        <v>384958</v>
      </c>
      <c r="Z59" s="47">
        <f t="shared" si="16"/>
        <v>1931068</v>
      </c>
      <c r="AA59" s="47">
        <f t="shared" si="16"/>
        <v>42297</v>
      </c>
      <c r="AB59" s="47">
        <f t="shared" si="16"/>
        <v>63699</v>
      </c>
      <c r="AC59" s="48"/>
      <c r="AD59" s="49">
        <f t="shared" si="13"/>
        <v>7373763</v>
      </c>
      <c r="AH59" s="7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</row>
    <row r="60" spans="1:62">
      <c r="A60" s="85" t="s">
        <v>107</v>
      </c>
      <c r="B60" s="47">
        <f t="shared" ref="B60:AB60" si="17">ROUND(B42*$L$51,0)</f>
        <v>4205</v>
      </c>
      <c r="C60" s="47">
        <f t="shared" si="17"/>
        <v>20861</v>
      </c>
      <c r="D60" s="47">
        <f t="shared" si="17"/>
        <v>4462</v>
      </c>
      <c r="E60" s="47">
        <f t="shared" si="17"/>
        <v>27236</v>
      </c>
      <c r="F60" s="47">
        <f t="shared" si="17"/>
        <v>115251</v>
      </c>
      <c r="G60" s="47">
        <f t="shared" si="17"/>
        <v>59782</v>
      </c>
      <c r="H60" s="47">
        <f t="shared" si="17"/>
        <v>84922</v>
      </c>
      <c r="I60" s="47">
        <f t="shared" si="17"/>
        <v>57354</v>
      </c>
      <c r="J60" s="47">
        <f t="shared" si="17"/>
        <v>97108</v>
      </c>
      <c r="K60" s="47">
        <f t="shared" si="17"/>
        <v>23611</v>
      </c>
      <c r="L60" s="47">
        <f t="shared" si="17"/>
        <v>41526</v>
      </c>
      <c r="M60" s="47">
        <f t="shared" si="17"/>
        <v>39627</v>
      </c>
      <c r="N60" s="47">
        <f t="shared" si="17"/>
        <v>319496</v>
      </c>
      <c r="O60" s="47">
        <f t="shared" si="17"/>
        <v>39008</v>
      </c>
      <c r="P60" s="47">
        <f t="shared" si="17"/>
        <v>27567</v>
      </c>
      <c r="Q60" s="47">
        <f t="shared" si="17"/>
        <v>237514</v>
      </c>
      <c r="R60" s="47">
        <f t="shared" si="17"/>
        <v>90690</v>
      </c>
      <c r="S60" s="47">
        <f t="shared" si="17"/>
        <v>17257</v>
      </c>
      <c r="T60" s="47">
        <f t="shared" si="17"/>
        <v>297320</v>
      </c>
      <c r="U60" s="47">
        <f t="shared" si="17"/>
        <v>29397</v>
      </c>
      <c r="V60" s="47">
        <f t="shared" si="17"/>
        <v>259332</v>
      </c>
      <c r="W60" s="47">
        <f t="shared" si="17"/>
        <v>12542</v>
      </c>
      <c r="X60" s="47">
        <f t="shared" si="17"/>
        <v>4994</v>
      </c>
      <c r="Y60" s="47">
        <f t="shared" si="17"/>
        <v>179304</v>
      </c>
      <c r="Z60" s="47">
        <f t="shared" si="17"/>
        <v>1194711</v>
      </c>
      <c r="AA60" s="47">
        <f t="shared" si="17"/>
        <v>15735</v>
      </c>
      <c r="AB60" s="47">
        <f t="shared" si="17"/>
        <v>10640</v>
      </c>
      <c r="AC60" s="48"/>
      <c r="AD60" s="49">
        <f t="shared" si="13"/>
        <v>3311452</v>
      </c>
      <c r="AH60" s="7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</row>
    <row r="61" spans="1:62" s="14" customFormat="1">
      <c r="A61" s="85" t="s">
        <v>108</v>
      </c>
      <c r="B61" s="47">
        <f t="shared" ref="B61:AB61" si="18">ROUND(B43*$L$51,0)</f>
        <v>363</v>
      </c>
      <c r="C61" s="47">
        <f t="shared" si="18"/>
        <v>6496</v>
      </c>
      <c r="D61" s="47">
        <f t="shared" si="18"/>
        <v>455</v>
      </c>
      <c r="E61" s="47">
        <f t="shared" si="18"/>
        <v>3504</v>
      </c>
      <c r="F61" s="47">
        <f t="shared" si="18"/>
        <v>28968</v>
      </c>
      <c r="G61" s="47">
        <f t="shared" si="18"/>
        <v>12152</v>
      </c>
      <c r="H61" s="47">
        <f t="shared" si="18"/>
        <v>5772</v>
      </c>
      <c r="I61" s="47">
        <f t="shared" si="18"/>
        <v>8139</v>
      </c>
      <c r="J61" s="47">
        <f t="shared" si="18"/>
        <v>9771</v>
      </c>
      <c r="K61" s="47">
        <f t="shared" si="18"/>
        <v>4863</v>
      </c>
      <c r="L61" s="47">
        <f t="shared" si="18"/>
        <v>3578</v>
      </c>
      <c r="M61" s="47">
        <f t="shared" si="18"/>
        <v>3850</v>
      </c>
      <c r="N61" s="47">
        <f t="shared" si="18"/>
        <v>46511</v>
      </c>
      <c r="O61" s="47">
        <f t="shared" si="18"/>
        <v>6621</v>
      </c>
      <c r="P61" s="47">
        <f t="shared" si="18"/>
        <v>4708</v>
      </c>
      <c r="Q61" s="47">
        <f t="shared" si="18"/>
        <v>22486</v>
      </c>
      <c r="R61" s="47">
        <f t="shared" si="18"/>
        <v>18785</v>
      </c>
      <c r="S61" s="47">
        <f t="shared" si="18"/>
        <v>3871</v>
      </c>
      <c r="T61" s="47">
        <f t="shared" si="18"/>
        <v>38408</v>
      </c>
      <c r="U61" s="47">
        <f t="shared" si="18"/>
        <v>5086</v>
      </c>
      <c r="V61" s="47">
        <f t="shared" si="18"/>
        <v>20966</v>
      </c>
      <c r="W61" s="47">
        <f t="shared" si="18"/>
        <v>1255</v>
      </c>
      <c r="X61" s="47">
        <f t="shared" si="18"/>
        <v>686</v>
      </c>
      <c r="Y61" s="47">
        <f t="shared" si="18"/>
        <v>12019</v>
      </c>
      <c r="Z61" s="47">
        <f t="shared" si="18"/>
        <v>120190</v>
      </c>
      <c r="AA61" s="47">
        <f t="shared" si="18"/>
        <v>3409</v>
      </c>
      <c r="AB61" s="47">
        <f t="shared" si="18"/>
        <v>1603</v>
      </c>
      <c r="AC61" s="54"/>
      <c r="AD61" s="49">
        <f t="shared" si="13"/>
        <v>394515</v>
      </c>
      <c r="AH61" s="15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</row>
    <row r="62" spans="1:62" s="14" customFormat="1">
      <c r="A62" s="85" t="s">
        <v>109</v>
      </c>
      <c r="B62" s="47">
        <f t="shared" ref="B62:AB62" si="19">ROUND(B44*$L$51,0)</f>
        <v>114726</v>
      </c>
      <c r="C62" s="47">
        <f t="shared" si="19"/>
        <v>281025</v>
      </c>
      <c r="D62" s="47">
        <f t="shared" si="19"/>
        <v>63513</v>
      </c>
      <c r="E62" s="47">
        <f t="shared" si="19"/>
        <v>250892</v>
      </c>
      <c r="F62" s="47">
        <f t="shared" si="19"/>
        <v>1272385</v>
      </c>
      <c r="G62" s="47">
        <f t="shared" si="19"/>
        <v>1353230</v>
      </c>
      <c r="H62" s="47">
        <f t="shared" si="19"/>
        <v>186365</v>
      </c>
      <c r="I62" s="47">
        <f t="shared" si="19"/>
        <v>438791</v>
      </c>
      <c r="J62" s="47">
        <f t="shared" si="19"/>
        <v>867393</v>
      </c>
      <c r="K62" s="47">
        <f t="shared" si="19"/>
        <v>840651</v>
      </c>
      <c r="L62" s="47">
        <f t="shared" si="19"/>
        <v>610593</v>
      </c>
      <c r="M62" s="47">
        <f t="shared" si="19"/>
        <v>364765</v>
      </c>
      <c r="N62" s="47">
        <f t="shared" si="19"/>
        <v>2488971</v>
      </c>
      <c r="O62" s="47">
        <f t="shared" si="19"/>
        <v>855702</v>
      </c>
      <c r="P62" s="47">
        <f t="shared" si="19"/>
        <v>480324</v>
      </c>
      <c r="Q62" s="47">
        <f t="shared" si="19"/>
        <v>1147286</v>
      </c>
      <c r="R62" s="47">
        <f t="shared" si="19"/>
        <v>1023980</v>
      </c>
      <c r="S62" s="47">
        <f t="shared" si="19"/>
        <v>548336</v>
      </c>
      <c r="T62" s="47">
        <f t="shared" si="19"/>
        <v>935573</v>
      </c>
      <c r="U62" s="47">
        <f t="shared" si="19"/>
        <v>431978</v>
      </c>
      <c r="V62" s="47">
        <f t="shared" si="19"/>
        <v>1072461</v>
      </c>
      <c r="W62" s="47">
        <f t="shared" si="19"/>
        <v>388565</v>
      </c>
      <c r="X62" s="47">
        <f t="shared" si="19"/>
        <v>79142</v>
      </c>
      <c r="Y62" s="47">
        <f t="shared" si="19"/>
        <v>863448</v>
      </c>
      <c r="Z62" s="47">
        <f t="shared" si="19"/>
        <v>4569849</v>
      </c>
      <c r="AA62" s="47">
        <f t="shared" si="19"/>
        <v>247001</v>
      </c>
      <c r="AB62" s="47">
        <f t="shared" si="19"/>
        <v>229537</v>
      </c>
      <c r="AC62" s="54"/>
      <c r="AD62" s="49">
        <f t="shared" si="13"/>
        <v>22006482</v>
      </c>
      <c r="AH62" s="15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</row>
    <row r="63" spans="1:62" s="14" customFormat="1">
      <c r="A63" s="85" t="s">
        <v>110</v>
      </c>
      <c r="B63" s="47">
        <f t="shared" ref="B63:AB63" si="20">ROUND(B45*$L$51,0)</f>
        <v>24719</v>
      </c>
      <c r="C63" s="47">
        <f t="shared" si="20"/>
        <v>39293</v>
      </c>
      <c r="D63" s="47">
        <f t="shared" si="20"/>
        <v>12349</v>
      </c>
      <c r="E63" s="47">
        <f t="shared" si="20"/>
        <v>56119</v>
      </c>
      <c r="F63" s="47">
        <f t="shared" si="20"/>
        <v>187372</v>
      </c>
      <c r="G63" s="47">
        <f t="shared" si="20"/>
        <v>162061</v>
      </c>
      <c r="H63" s="47">
        <f t="shared" si="20"/>
        <v>19162</v>
      </c>
      <c r="I63" s="47">
        <f t="shared" si="20"/>
        <v>105214</v>
      </c>
      <c r="J63" s="47">
        <f t="shared" si="20"/>
        <v>274223</v>
      </c>
      <c r="K63" s="47">
        <f t="shared" si="20"/>
        <v>155137</v>
      </c>
      <c r="L63" s="47">
        <f t="shared" si="20"/>
        <v>220198</v>
      </c>
      <c r="M63" s="47">
        <f t="shared" si="20"/>
        <v>108804</v>
      </c>
      <c r="N63" s="47">
        <f t="shared" si="20"/>
        <v>285753</v>
      </c>
      <c r="O63" s="47">
        <f t="shared" si="20"/>
        <v>187190</v>
      </c>
      <c r="P63" s="47">
        <f t="shared" si="20"/>
        <v>66338</v>
      </c>
      <c r="Q63" s="47">
        <f t="shared" si="20"/>
        <v>292153</v>
      </c>
      <c r="R63" s="47">
        <f t="shared" si="20"/>
        <v>106287</v>
      </c>
      <c r="S63" s="47">
        <f t="shared" si="20"/>
        <v>97073</v>
      </c>
      <c r="T63" s="47">
        <f t="shared" si="20"/>
        <v>166738</v>
      </c>
      <c r="U63" s="47">
        <f t="shared" si="20"/>
        <v>60652</v>
      </c>
      <c r="V63" s="47">
        <f t="shared" si="20"/>
        <v>187928</v>
      </c>
      <c r="W63" s="47">
        <f t="shared" si="20"/>
        <v>119496</v>
      </c>
      <c r="X63" s="47">
        <f t="shared" si="20"/>
        <v>20106</v>
      </c>
      <c r="Y63" s="47">
        <f t="shared" si="20"/>
        <v>270697</v>
      </c>
      <c r="Z63" s="47">
        <f t="shared" si="20"/>
        <v>889403</v>
      </c>
      <c r="AA63" s="47">
        <f t="shared" si="20"/>
        <v>42582</v>
      </c>
      <c r="AB63" s="47">
        <f t="shared" si="20"/>
        <v>93699</v>
      </c>
      <c r="AC63" s="54"/>
      <c r="AD63" s="49">
        <f t="shared" si="13"/>
        <v>4250746</v>
      </c>
      <c r="AH63" s="15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</row>
    <row r="64" spans="1:62" s="14" customFormat="1">
      <c r="A64" s="85" t="s">
        <v>111</v>
      </c>
      <c r="B64" s="47">
        <f t="shared" ref="B64:AB64" si="21">ROUND(B46*$L$51,0)</f>
        <v>1137</v>
      </c>
      <c r="C64" s="47">
        <f t="shared" si="21"/>
        <v>7557</v>
      </c>
      <c r="D64" s="47">
        <f t="shared" si="21"/>
        <v>1208</v>
      </c>
      <c r="E64" s="47">
        <f t="shared" si="21"/>
        <v>8886</v>
      </c>
      <c r="F64" s="47">
        <f t="shared" si="21"/>
        <v>39458</v>
      </c>
      <c r="G64" s="47">
        <f t="shared" si="21"/>
        <v>17680</v>
      </c>
      <c r="H64" s="47">
        <f t="shared" si="21"/>
        <v>12467</v>
      </c>
      <c r="I64" s="47">
        <f t="shared" si="21"/>
        <v>14645</v>
      </c>
      <c r="J64" s="47">
        <f t="shared" si="21"/>
        <v>22868</v>
      </c>
      <c r="K64" s="47">
        <f t="shared" si="21"/>
        <v>8959</v>
      </c>
      <c r="L64" s="47">
        <f t="shared" si="21"/>
        <v>11689</v>
      </c>
      <c r="M64" s="47">
        <f t="shared" si="21"/>
        <v>9557</v>
      </c>
      <c r="N64" s="47">
        <f t="shared" si="21"/>
        <v>76498</v>
      </c>
      <c r="O64" s="47">
        <f t="shared" si="21"/>
        <v>18237</v>
      </c>
      <c r="P64" s="47">
        <f t="shared" si="21"/>
        <v>7551</v>
      </c>
      <c r="Q64" s="47">
        <f t="shared" si="21"/>
        <v>43053</v>
      </c>
      <c r="R64" s="47">
        <f t="shared" si="21"/>
        <v>19684</v>
      </c>
      <c r="S64" s="47">
        <f t="shared" si="21"/>
        <v>7415</v>
      </c>
      <c r="T64" s="47">
        <f t="shared" si="21"/>
        <v>45161</v>
      </c>
      <c r="U64" s="47">
        <f t="shared" si="21"/>
        <v>7023</v>
      </c>
      <c r="V64" s="47">
        <f t="shared" si="21"/>
        <v>40871</v>
      </c>
      <c r="W64" s="47">
        <f t="shared" si="21"/>
        <v>6065</v>
      </c>
      <c r="X64" s="47">
        <f t="shared" si="21"/>
        <v>1131</v>
      </c>
      <c r="Y64" s="47">
        <f t="shared" si="21"/>
        <v>19657</v>
      </c>
      <c r="Z64" s="47">
        <f t="shared" si="21"/>
        <v>158136</v>
      </c>
      <c r="AA64" s="47">
        <f t="shared" si="21"/>
        <v>6996</v>
      </c>
      <c r="AB64" s="47">
        <f t="shared" si="21"/>
        <v>5432</v>
      </c>
      <c r="AC64" s="54"/>
      <c r="AD64" s="49">
        <f t="shared" si="13"/>
        <v>619021</v>
      </c>
      <c r="AH64" s="15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</row>
    <row r="65" spans="1:62">
      <c r="A65" s="85" t="s">
        <v>112</v>
      </c>
      <c r="B65" s="47">
        <f t="shared" ref="B65:AB65" si="22">ROUND(B47*$L$51,0)</f>
        <v>1275</v>
      </c>
      <c r="C65" s="47">
        <f t="shared" si="22"/>
        <v>5804</v>
      </c>
      <c r="D65" s="47">
        <f t="shared" si="22"/>
        <v>969</v>
      </c>
      <c r="E65" s="47">
        <f t="shared" si="22"/>
        <v>5118</v>
      </c>
      <c r="F65" s="47">
        <f t="shared" si="22"/>
        <v>28845</v>
      </c>
      <c r="G65" s="47">
        <f t="shared" si="22"/>
        <v>32185</v>
      </c>
      <c r="H65" s="47">
        <f t="shared" si="22"/>
        <v>26907</v>
      </c>
      <c r="I65" s="47">
        <f t="shared" si="22"/>
        <v>18626</v>
      </c>
      <c r="J65" s="47">
        <f t="shared" si="22"/>
        <v>24891</v>
      </c>
      <c r="K65" s="47">
        <f t="shared" si="22"/>
        <v>9966</v>
      </c>
      <c r="L65" s="47">
        <f t="shared" si="22"/>
        <v>14986</v>
      </c>
      <c r="M65" s="47">
        <f t="shared" si="22"/>
        <v>12611</v>
      </c>
      <c r="N65" s="47">
        <f t="shared" si="22"/>
        <v>70235</v>
      </c>
      <c r="O65" s="47">
        <f t="shared" si="22"/>
        <v>13332</v>
      </c>
      <c r="P65" s="47">
        <f t="shared" si="22"/>
        <v>10324</v>
      </c>
      <c r="Q65" s="47">
        <f t="shared" si="22"/>
        <v>58453</v>
      </c>
      <c r="R65" s="47">
        <f t="shared" si="22"/>
        <v>20057</v>
      </c>
      <c r="S65" s="47">
        <f t="shared" si="22"/>
        <v>7074</v>
      </c>
      <c r="T65" s="47">
        <f t="shared" si="22"/>
        <v>59926</v>
      </c>
      <c r="U65" s="47">
        <f t="shared" si="22"/>
        <v>15986</v>
      </c>
      <c r="V65" s="47">
        <f t="shared" si="22"/>
        <v>58276</v>
      </c>
      <c r="W65" s="47">
        <f t="shared" si="22"/>
        <v>3649</v>
      </c>
      <c r="X65" s="47">
        <f t="shared" si="22"/>
        <v>1279</v>
      </c>
      <c r="Y65" s="47">
        <f t="shared" si="22"/>
        <v>58236</v>
      </c>
      <c r="Z65" s="47">
        <f t="shared" si="22"/>
        <v>267255</v>
      </c>
      <c r="AA65" s="47">
        <f t="shared" si="22"/>
        <v>4489</v>
      </c>
      <c r="AB65" s="47">
        <f t="shared" si="22"/>
        <v>3560</v>
      </c>
      <c r="AC65" s="48"/>
      <c r="AD65" s="49">
        <f t="shared" si="13"/>
        <v>834314</v>
      </c>
      <c r="AH65" s="7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</row>
    <row r="66" spans="1:62">
      <c r="A66" s="57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50"/>
      <c r="AH66" s="7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</row>
    <row r="67" spans="1:62" s="5" customFormat="1">
      <c r="A67" s="1" t="s">
        <v>99</v>
      </c>
      <c r="B67" s="49">
        <f t="shared" ref="B67:AB67" si="23">SUM(B56:B65)</f>
        <v>265770</v>
      </c>
      <c r="C67" s="49">
        <f t="shared" si="23"/>
        <v>786306</v>
      </c>
      <c r="D67" s="49">
        <f t="shared" si="23"/>
        <v>187169</v>
      </c>
      <c r="E67" s="49">
        <f t="shared" si="23"/>
        <v>846295</v>
      </c>
      <c r="F67" s="49">
        <f t="shared" si="23"/>
        <v>3951458</v>
      </c>
      <c r="G67" s="49">
        <f t="shared" si="23"/>
        <v>3029344</v>
      </c>
      <c r="H67" s="49">
        <f t="shared" si="23"/>
        <v>1754589</v>
      </c>
      <c r="I67" s="49">
        <f t="shared" si="23"/>
        <v>1841064</v>
      </c>
      <c r="J67" s="49">
        <f t="shared" si="23"/>
        <v>3602989</v>
      </c>
      <c r="K67" s="49">
        <f t="shared" si="23"/>
        <v>1630277</v>
      </c>
      <c r="L67" s="49">
        <f t="shared" si="23"/>
        <v>1920959</v>
      </c>
      <c r="M67" s="49">
        <f t="shared" si="23"/>
        <v>1484874</v>
      </c>
      <c r="N67" s="49">
        <f t="shared" si="23"/>
        <v>10606954</v>
      </c>
      <c r="O67" s="49">
        <f t="shared" si="23"/>
        <v>1919535</v>
      </c>
      <c r="P67" s="49">
        <f t="shared" si="23"/>
        <v>1225565</v>
      </c>
      <c r="Q67" s="49">
        <f t="shared" si="23"/>
        <v>7176614</v>
      </c>
      <c r="R67" s="49">
        <f t="shared" si="23"/>
        <v>2862358</v>
      </c>
      <c r="S67" s="49">
        <f t="shared" si="23"/>
        <v>1151269</v>
      </c>
      <c r="T67" s="49">
        <f t="shared" si="23"/>
        <v>6506960</v>
      </c>
      <c r="U67" s="49">
        <f t="shared" si="23"/>
        <v>1217698</v>
      </c>
      <c r="V67" s="49">
        <f t="shared" si="23"/>
        <v>6697441</v>
      </c>
      <c r="W67" s="49">
        <f t="shared" si="23"/>
        <v>934257</v>
      </c>
      <c r="X67" s="49">
        <f t="shared" si="23"/>
        <v>211437</v>
      </c>
      <c r="Y67" s="49">
        <f t="shared" si="23"/>
        <v>4872663</v>
      </c>
      <c r="Z67" s="49">
        <f t="shared" si="23"/>
        <v>27981652</v>
      </c>
      <c r="AA67" s="49">
        <f t="shared" si="23"/>
        <v>710425</v>
      </c>
      <c r="AB67" s="49">
        <f t="shared" si="23"/>
        <v>643369</v>
      </c>
      <c r="AC67" s="50"/>
      <c r="AD67" s="84">
        <f>IF((SUM(AD56:AD65)=SUM(B67:AB67)),(SUM(B67:AB67)),"erro")</f>
        <v>96019291</v>
      </c>
      <c r="AH67" s="7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</row>
    <row r="72" spans="1:62" s="5" customFormat="1"/>
    <row r="73" spans="1:62" s="5" customFormat="1"/>
    <row r="74" spans="1:62" s="5" customFormat="1"/>
    <row r="75" spans="1:62" s="5" customFormat="1"/>
    <row r="76" spans="1:62" s="5" customFormat="1"/>
    <row r="77" spans="1:62" s="5" customFormat="1"/>
    <row r="78" spans="1:62" s="5" customFormat="1"/>
    <row r="79" spans="1:62" s="5" customFormat="1"/>
    <row r="80" spans="1:62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 ht="15" customHeigh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</sheetData>
  <mergeCells count="4">
    <mergeCell ref="A2:A3"/>
    <mergeCell ref="A54:A55"/>
    <mergeCell ref="A36:A37"/>
    <mergeCell ref="A25:A26"/>
  </mergeCells>
  <pageMargins left="0.75" right="0.75" top="1" bottom="1" header="0.5" footer="0.5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8CBAD"/>
  </sheetPr>
  <dimension ref="A1:BJ166"/>
  <sheetViews>
    <sheetView showGridLines="0" topLeftCell="A19" zoomScale="90" zoomScaleNormal="90" workbookViewId="0">
      <pane xSplit="1" topLeftCell="L1" activePane="topRight" state="frozen"/>
      <selection pane="topRight" activeCell="AD34" sqref="AD34"/>
    </sheetView>
  </sheetViews>
  <sheetFormatPr defaultColWidth="10.85546875" defaultRowHeight="15.75"/>
  <cols>
    <col min="1" max="1" width="35.42578125" style="5" customWidth="1"/>
    <col min="2" max="2" width="11.42578125" bestFit="1" customWidth="1"/>
    <col min="11" max="11" width="13.5703125" customWidth="1"/>
    <col min="12" max="12" width="15.7109375" customWidth="1"/>
    <col min="13" max="13" width="19.42578125" customWidth="1"/>
    <col min="14" max="14" width="13.7109375" customWidth="1"/>
    <col min="21" max="21" width="17.140625" customWidth="1"/>
    <col min="26" max="26" width="12.42578125" bestFit="1" customWidth="1"/>
    <col min="28" max="28" width="12.140625" customWidth="1"/>
    <col min="30" max="30" width="13.28515625" style="5" bestFit="1" customWidth="1"/>
  </cols>
  <sheetData>
    <row r="1" spans="1:30">
      <c r="A1" s="83">
        <v>2017</v>
      </c>
    </row>
    <row r="2" spans="1:30">
      <c r="A2" s="97" t="s">
        <v>115</v>
      </c>
    </row>
    <row r="3" spans="1:30" ht="15.75" customHeight="1">
      <c r="A3" s="98"/>
      <c r="B3" s="6" t="s">
        <v>53</v>
      </c>
      <c r="C3" s="6" t="s">
        <v>54</v>
      </c>
      <c r="D3" s="6" t="s">
        <v>55</v>
      </c>
      <c r="E3" s="6" t="s">
        <v>56</v>
      </c>
      <c r="F3" s="6" t="s">
        <v>57</v>
      </c>
      <c r="G3" s="6" t="s">
        <v>58</v>
      </c>
      <c r="H3" s="6" t="s">
        <v>59</v>
      </c>
      <c r="I3" s="6" t="s">
        <v>60</v>
      </c>
      <c r="J3" s="6" t="s">
        <v>61</v>
      </c>
      <c r="K3" s="6" t="s">
        <v>62</v>
      </c>
      <c r="L3" s="6" t="s">
        <v>63</v>
      </c>
      <c r="M3" s="6" t="s">
        <v>64</v>
      </c>
      <c r="N3" s="6" t="s">
        <v>65</v>
      </c>
      <c r="O3" s="6" t="s">
        <v>66</v>
      </c>
      <c r="P3" s="6" t="s">
        <v>67</v>
      </c>
      <c r="Q3" s="6" t="s">
        <v>68</v>
      </c>
      <c r="R3" s="6" t="s">
        <v>69</v>
      </c>
      <c r="S3" s="6" t="s">
        <v>70</v>
      </c>
      <c r="T3" s="6" t="s">
        <v>71</v>
      </c>
      <c r="U3" s="6" t="s">
        <v>72</v>
      </c>
      <c r="V3" s="6" t="s">
        <v>73</v>
      </c>
      <c r="W3" s="6" t="s">
        <v>74</v>
      </c>
      <c r="X3" s="6" t="s">
        <v>75</v>
      </c>
      <c r="Y3" s="6" t="s">
        <v>76</v>
      </c>
      <c r="Z3" s="6" t="s">
        <v>77</v>
      </c>
      <c r="AA3" s="6" t="s">
        <v>78</v>
      </c>
      <c r="AB3" s="6" t="s">
        <v>79</v>
      </c>
      <c r="AD3" s="30" t="s">
        <v>80</v>
      </c>
    </row>
    <row r="4" spans="1:30" ht="15">
      <c r="A4" s="55" t="s">
        <v>81</v>
      </c>
      <c r="B4" s="29">
        <v>3603</v>
      </c>
      <c r="C4" s="29">
        <v>24056</v>
      </c>
      <c r="D4" s="29">
        <v>1435</v>
      </c>
      <c r="E4" s="29">
        <v>16190</v>
      </c>
      <c r="F4" s="29">
        <v>98860</v>
      </c>
      <c r="G4" s="29">
        <v>62562</v>
      </c>
      <c r="H4" s="29">
        <v>57961</v>
      </c>
      <c r="I4" s="29">
        <v>52854</v>
      </c>
      <c r="J4" s="29">
        <v>159433</v>
      </c>
      <c r="K4" s="29">
        <v>13750</v>
      </c>
      <c r="L4" s="29">
        <v>47709</v>
      </c>
      <c r="M4" s="29">
        <v>53536</v>
      </c>
      <c r="N4" s="29">
        <v>434134</v>
      </c>
      <c r="O4" s="29">
        <v>23800</v>
      </c>
      <c r="P4" s="29">
        <v>29277</v>
      </c>
      <c r="Q4" s="29">
        <v>419099</v>
      </c>
      <c r="R4" s="29">
        <v>93933</v>
      </c>
      <c r="S4" s="29">
        <v>18401</v>
      </c>
      <c r="T4" s="29">
        <v>308584</v>
      </c>
      <c r="U4" s="29">
        <v>30055</v>
      </c>
      <c r="V4" s="29">
        <v>197088</v>
      </c>
      <c r="W4" s="29">
        <v>10355</v>
      </c>
      <c r="X4" s="29">
        <v>1444</v>
      </c>
      <c r="Y4" s="29">
        <v>132690</v>
      </c>
      <c r="Z4" s="29">
        <v>1834390</v>
      </c>
      <c r="AA4" s="29">
        <v>18452</v>
      </c>
      <c r="AB4" s="29">
        <v>10886</v>
      </c>
      <c r="AD4" s="49">
        <f t="shared" ref="AD4:AD21" si="0">SUM(B4:AB4)</f>
        <v>4154537</v>
      </c>
    </row>
    <row r="5" spans="1:30" ht="15">
      <c r="A5" s="55" t="s">
        <v>82</v>
      </c>
      <c r="B5" s="29">
        <v>1</v>
      </c>
      <c r="C5" s="29">
        <v>1</v>
      </c>
      <c r="D5" s="29"/>
      <c r="E5" s="29"/>
      <c r="F5" s="29">
        <v>18</v>
      </c>
      <c r="G5" s="29">
        <v>132</v>
      </c>
      <c r="H5" s="29">
        <v>1</v>
      </c>
      <c r="I5" s="29">
        <v>326</v>
      </c>
      <c r="J5" s="29">
        <v>28</v>
      </c>
      <c r="K5" s="29">
        <v>7</v>
      </c>
      <c r="L5" s="29">
        <v>292</v>
      </c>
      <c r="M5" s="29">
        <v>18</v>
      </c>
      <c r="N5" s="29">
        <v>477</v>
      </c>
      <c r="O5" s="29">
        <v>11</v>
      </c>
      <c r="P5" s="29">
        <v>17</v>
      </c>
      <c r="Q5" s="29"/>
      <c r="R5" s="29"/>
      <c r="S5" s="29">
        <v>5</v>
      </c>
      <c r="T5" s="29"/>
      <c r="U5" s="29">
        <v>8</v>
      </c>
      <c r="V5" s="29"/>
      <c r="W5" s="29">
        <v>1</v>
      </c>
      <c r="X5" s="29"/>
      <c r="Y5" s="29">
        <v>3</v>
      </c>
      <c r="Z5" s="29">
        <v>1035</v>
      </c>
      <c r="AA5" s="29">
        <v>1</v>
      </c>
      <c r="AB5" s="29">
        <v>2</v>
      </c>
      <c r="AC5" s="17"/>
      <c r="AD5" s="49">
        <f t="shared" si="0"/>
        <v>2384</v>
      </c>
    </row>
    <row r="6" spans="1:30" ht="15">
      <c r="A6" s="55" t="s">
        <v>83</v>
      </c>
      <c r="B6" s="29"/>
      <c r="C6" s="29">
        <v>964</v>
      </c>
      <c r="D6" s="29">
        <v>1</v>
      </c>
      <c r="E6" s="29">
        <v>47</v>
      </c>
      <c r="F6" s="29">
        <v>1599</v>
      </c>
      <c r="G6" s="29">
        <v>2433</v>
      </c>
      <c r="H6" s="29">
        <v>27</v>
      </c>
      <c r="I6" s="29">
        <v>1903</v>
      </c>
      <c r="J6" s="29">
        <v>204</v>
      </c>
      <c r="K6" s="29">
        <v>10</v>
      </c>
      <c r="L6" s="29">
        <v>78</v>
      </c>
      <c r="M6" s="29">
        <v>218</v>
      </c>
      <c r="N6" s="29">
        <v>2496</v>
      </c>
      <c r="O6" s="29">
        <v>12</v>
      </c>
      <c r="P6" s="29">
        <v>1881</v>
      </c>
      <c r="Q6" s="29">
        <v>1597</v>
      </c>
      <c r="R6" s="29">
        <v>2070</v>
      </c>
      <c r="S6" s="29">
        <v>28</v>
      </c>
      <c r="T6" s="29">
        <v>52755</v>
      </c>
      <c r="U6" s="29">
        <v>4813</v>
      </c>
      <c r="V6" s="29">
        <v>2097</v>
      </c>
      <c r="W6" s="29">
        <v>1</v>
      </c>
      <c r="X6" s="29">
        <v>1</v>
      </c>
      <c r="Y6" s="29">
        <v>3823</v>
      </c>
      <c r="Z6" s="29">
        <v>13027</v>
      </c>
      <c r="AA6" s="29">
        <v>1495</v>
      </c>
      <c r="AB6" s="29">
        <v>8</v>
      </c>
      <c r="AC6" s="17"/>
      <c r="AD6" s="49">
        <f t="shared" si="0"/>
        <v>93588</v>
      </c>
    </row>
    <row r="7" spans="1:30" ht="15">
      <c r="A7" s="55" t="s">
        <v>84</v>
      </c>
      <c r="B7" s="29">
        <v>91874</v>
      </c>
      <c r="C7" s="29">
        <v>319954</v>
      </c>
      <c r="D7" s="29">
        <v>82192</v>
      </c>
      <c r="E7" s="29">
        <v>352411</v>
      </c>
      <c r="F7" s="29">
        <v>1528000</v>
      </c>
      <c r="G7" s="29">
        <v>1109571</v>
      </c>
      <c r="H7" s="29">
        <v>871422</v>
      </c>
      <c r="I7" s="29">
        <v>693845</v>
      </c>
      <c r="J7" s="29">
        <v>1287156</v>
      </c>
      <c r="K7" s="29">
        <v>640999</v>
      </c>
      <c r="L7" s="29">
        <v>686168</v>
      </c>
      <c r="M7" s="29">
        <v>506965</v>
      </c>
      <c r="N7" s="29">
        <v>3854205</v>
      </c>
      <c r="O7" s="29">
        <v>728091</v>
      </c>
      <c r="P7" s="29">
        <v>470789</v>
      </c>
      <c r="Q7" s="29">
        <v>2381855</v>
      </c>
      <c r="R7" s="29">
        <v>1131047</v>
      </c>
      <c r="S7" s="29">
        <v>391187</v>
      </c>
      <c r="T7" s="29">
        <v>1951177</v>
      </c>
      <c r="U7" s="29">
        <v>424156</v>
      </c>
      <c r="V7" s="29">
        <v>2036709</v>
      </c>
      <c r="W7" s="29">
        <v>331080</v>
      </c>
      <c r="X7" s="29">
        <v>74052</v>
      </c>
      <c r="Y7" s="29">
        <v>1770258</v>
      </c>
      <c r="Z7" s="29">
        <v>9745646</v>
      </c>
      <c r="AA7" s="29">
        <v>277682</v>
      </c>
      <c r="AB7" s="29">
        <v>231247</v>
      </c>
      <c r="AC7" s="17"/>
      <c r="AD7" s="49">
        <f t="shared" si="0"/>
        <v>33969738</v>
      </c>
    </row>
    <row r="8" spans="1:30" ht="15">
      <c r="A8" s="55" t="s">
        <v>85</v>
      </c>
      <c r="B8" s="29">
        <v>24223</v>
      </c>
      <c r="C8" s="29">
        <v>61163</v>
      </c>
      <c r="D8" s="29">
        <v>12939</v>
      </c>
      <c r="E8" s="29">
        <v>63315</v>
      </c>
      <c r="F8" s="29">
        <v>330433</v>
      </c>
      <c r="G8" s="29">
        <v>220866</v>
      </c>
      <c r="H8" s="29">
        <v>101999</v>
      </c>
      <c r="I8" s="29">
        <v>179053</v>
      </c>
      <c r="J8" s="29">
        <v>311387</v>
      </c>
      <c r="K8" s="29">
        <v>116165</v>
      </c>
      <c r="L8" s="29">
        <v>216097</v>
      </c>
      <c r="M8" s="29">
        <v>155045</v>
      </c>
      <c r="N8" s="29">
        <v>785590</v>
      </c>
      <c r="O8" s="29">
        <v>172197</v>
      </c>
      <c r="P8" s="29">
        <v>82541</v>
      </c>
      <c r="Q8" s="29">
        <v>668765</v>
      </c>
      <c r="R8" s="29">
        <v>222915</v>
      </c>
      <c r="S8" s="29">
        <v>87178</v>
      </c>
      <c r="T8" s="29">
        <v>346663</v>
      </c>
      <c r="U8" s="29">
        <v>87634</v>
      </c>
      <c r="V8" s="29">
        <v>564853</v>
      </c>
      <c r="W8" s="29">
        <v>87109</v>
      </c>
      <c r="X8" s="29">
        <v>17700</v>
      </c>
      <c r="Y8" s="29">
        <v>383239</v>
      </c>
      <c r="Z8" s="29">
        <v>1696500</v>
      </c>
      <c r="AA8" s="29">
        <v>52039</v>
      </c>
      <c r="AB8" s="29">
        <v>66975</v>
      </c>
      <c r="AC8" s="17"/>
      <c r="AD8" s="49">
        <f t="shared" si="0"/>
        <v>7114583</v>
      </c>
    </row>
    <row r="9" spans="1:30" ht="15">
      <c r="A9" s="55" t="s">
        <v>86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17"/>
      <c r="AD9" s="49">
        <f t="shared" si="0"/>
        <v>0</v>
      </c>
    </row>
    <row r="10" spans="1:30" ht="15">
      <c r="A10" s="55" t="s">
        <v>87</v>
      </c>
      <c r="B10" s="29"/>
      <c r="C10" s="29"/>
      <c r="D10" s="29"/>
      <c r="E10" s="29"/>
      <c r="F10" s="29">
        <v>3</v>
      </c>
      <c r="G10" s="29"/>
      <c r="H10" s="29">
        <v>2</v>
      </c>
      <c r="I10" s="29">
        <v>1</v>
      </c>
      <c r="J10" s="29">
        <v>1</v>
      </c>
      <c r="K10" s="29"/>
      <c r="L10" s="29"/>
      <c r="M10" s="29">
        <v>1</v>
      </c>
      <c r="N10" s="29"/>
      <c r="O10" s="29"/>
      <c r="P10" s="29"/>
      <c r="Q10" s="29"/>
      <c r="R10" s="29"/>
      <c r="S10" s="29"/>
      <c r="T10" s="29"/>
      <c r="U10" s="29"/>
      <c r="V10" s="29">
        <v>5</v>
      </c>
      <c r="W10" s="29">
        <v>1</v>
      </c>
      <c r="X10" s="29">
        <v>2</v>
      </c>
      <c r="Y10" s="29"/>
      <c r="Z10" s="29">
        <v>13</v>
      </c>
      <c r="AA10" s="29"/>
      <c r="AB10" s="29"/>
      <c r="AC10" s="17"/>
      <c r="AD10" s="49">
        <f t="shared" si="0"/>
        <v>29</v>
      </c>
    </row>
    <row r="11" spans="1:30" ht="15">
      <c r="A11" s="55" t="s">
        <v>88</v>
      </c>
      <c r="B11" s="29"/>
      <c r="C11" s="29"/>
      <c r="D11" s="29"/>
      <c r="E11" s="29">
        <v>1</v>
      </c>
      <c r="F11" s="29"/>
      <c r="G11" s="29">
        <v>1</v>
      </c>
      <c r="H11" s="29">
        <v>4</v>
      </c>
      <c r="I11" s="29">
        <v>3</v>
      </c>
      <c r="J11" s="29"/>
      <c r="K11" s="29"/>
      <c r="L11" s="29"/>
      <c r="M11" s="29"/>
      <c r="N11" s="29"/>
      <c r="O11" s="29">
        <v>1</v>
      </c>
      <c r="P11" s="29"/>
      <c r="Q11" s="29">
        <v>12</v>
      </c>
      <c r="R11" s="29"/>
      <c r="S11" s="29"/>
      <c r="T11" s="29">
        <v>5</v>
      </c>
      <c r="U11" s="29">
        <v>2</v>
      </c>
      <c r="V11" s="29"/>
      <c r="W11" s="29"/>
      <c r="X11" s="29">
        <v>1</v>
      </c>
      <c r="Y11" s="29"/>
      <c r="Z11" s="29">
        <v>14</v>
      </c>
      <c r="AA11" s="29">
        <v>1</v>
      </c>
      <c r="AB11" s="29"/>
      <c r="AC11" s="17"/>
      <c r="AD11" s="49">
        <f t="shared" si="0"/>
        <v>45</v>
      </c>
    </row>
    <row r="12" spans="1:30" ht="15">
      <c r="A12" s="55" t="s">
        <v>89</v>
      </c>
      <c r="B12" s="29"/>
      <c r="C12" s="29"/>
      <c r="D12" s="29"/>
      <c r="E12" s="29">
        <v>3</v>
      </c>
      <c r="F12" s="29">
        <v>7</v>
      </c>
      <c r="G12" s="29">
        <v>10</v>
      </c>
      <c r="H12" s="29">
        <v>10</v>
      </c>
      <c r="I12" s="29">
        <v>20</v>
      </c>
      <c r="J12" s="29">
        <v>2</v>
      </c>
      <c r="K12" s="29">
        <v>3</v>
      </c>
      <c r="L12" s="29">
        <v>1</v>
      </c>
      <c r="M12" s="29">
        <v>1</v>
      </c>
      <c r="N12" s="29">
        <v>30</v>
      </c>
      <c r="O12" s="29">
        <v>2</v>
      </c>
      <c r="P12" s="29">
        <v>1</v>
      </c>
      <c r="Q12" s="29">
        <v>20</v>
      </c>
      <c r="R12" s="29">
        <v>68</v>
      </c>
      <c r="S12" s="29"/>
      <c r="T12" s="29">
        <v>20</v>
      </c>
      <c r="U12" s="29"/>
      <c r="V12" s="29">
        <v>26</v>
      </c>
      <c r="W12" s="29"/>
      <c r="X12" s="29"/>
      <c r="Y12" s="29">
        <v>34</v>
      </c>
      <c r="Z12" s="29">
        <v>952</v>
      </c>
      <c r="AA12" s="29"/>
      <c r="AB12" s="29">
        <v>1</v>
      </c>
      <c r="AC12" s="17"/>
      <c r="AD12" s="49">
        <f t="shared" si="0"/>
        <v>1211</v>
      </c>
    </row>
    <row r="13" spans="1:30" ht="15">
      <c r="A13" s="55" t="s">
        <v>90</v>
      </c>
      <c r="B13" s="29">
        <v>13</v>
      </c>
      <c r="C13" s="29"/>
      <c r="D13" s="29">
        <v>9</v>
      </c>
      <c r="E13" s="29">
        <v>39</v>
      </c>
      <c r="F13" s="29">
        <v>17</v>
      </c>
      <c r="G13" s="29">
        <v>9</v>
      </c>
      <c r="H13" s="29">
        <v>33</v>
      </c>
      <c r="I13" s="29">
        <v>28</v>
      </c>
      <c r="J13" s="29">
        <v>44</v>
      </c>
      <c r="K13" s="29">
        <v>79</v>
      </c>
      <c r="L13" s="29">
        <v>216</v>
      </c>
      <c r="M13" s="29">
        <v>32</v>
      </c>
      <c r="N13" s="29">
        <v>93</v>
      </c>
      <c r="O13" s="29">
        <v>44</v>
      </c>
      <c r="P13" s="29">
        <v>1</v>
      </c>
      <c r="Q13" s="29">
        <v>230</v>
      </c>
      <c r="R13" s="29">
        <v>23</v>
      </c>
      <c r="S13" s="29">
        <v>28</v>
      </c>
      <c r="T13" s="29">
        <v>52</v>
      </c>
      <c r="U13" s="29"/>
      <c r="V13" s="29">
        <v>96</v>
      </c>
      <c r="W13" s="29">
        <v>30</v>
      </c>
      <c r="X13" s="29">
        <v>20</v>
      </c>
      <c r="Y13" s="29">
        <v>70</v>
      </c>
      <c r="Z13" s="29">
        <v>686</v>
      </c>
      <c r="AA13" s="29"/>
      <c r="AB13" s="29">
        <v>20</v>
      </c>
      <c r="AC13" s="17"/>
      <c r="AD13" s="49">
        <f t="shared" si="0"/>
        <v>1912</v>
      </c>
    </row>
    <row r="14" spans="1:30" ht="15">
      <c r="A14" s="55" t="s">
        <v>91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17"/>
      <c r="AD14" s="49">
        <f t="shared" si="0"/>
        <v>0</v>
      </c>
    </row>
    <row r="15" spans="1:30" ht="15">
      <c r="A15" s="55" t="s">
        <v>92</v>
      </c>
      <c r="B15" s="29"/>
      <c r="C15" s="29">
        <v>1</v>
      </c>
      <c r="D15" s="29"/>
      <c r="E15" s="29">
        <v>8</v>
      </c>
      <c r="F15" s="29">
        <v>19</v>
      </c>
      <c r="G15" s="29"/>
      <c r="H15" s="29">
        <v>6</v>
      </c>
      <c r="I15" s="29">
        <v>12</v>
      </c>
      <c r="J15" s="29">
        <v>26</v>
      </c>
      <c r="K15" s="29">
        <v>2</v>
      </c>
      <c r="L15" s="29">
        <v>4</v>
      </c>
      <c r="M15" s="29">
        <v>5</v>
      </c>
      <c r="N15" s="29">
        <v>15</v>
      </c>
      <c r="O15" s="29"/>
      <c r="P15" s="29">
        <v>2</v>
      </c>
      <c r="Q15" s="29">
        <v>26</v>
      </c>
      <c r="R15" s="29"/>
      <c r="S15" s="29">
        <v>2</v>
      </c>
      <c r="T15" s="29">
        <v>4</v>
      </c>
      <c r="U15" s="29">
        <v>2</v>
      </c>
      <c r="V15" s="29">
        <v>4</v>
      </c>
      <c r="W15" s="29"/>
      <c r="X15" s="29"/>
      <c r="Y15" s="29">
        <v>14</v>
      </c>
      <c r="Z15" s="29">
        <v>63</v>
      </c>
      <c r="AA15" s="29">
        <v>6</v>
      </c>
      <c r="AB15" s="29">
        <v>4</v>
      </c>
      <c r="AC15" s="17"/>
      <c r="AD15" s="49">
        <f t="shared" si="0"/>
        <v>225</v>
      </c>
    </row>
    <row r="16" spans="1:30" ht="15">
      <c r="A16" s="55" t="s">
        <v>93</v>
      </c>
      <c r="B16" s="29">
        <v>7</v>
      </c>
      <c r="C16" s="29">
        <v>5</v>
      </c>
      <c r="D16" s="29">
        <v>2</v>
      </c>
      <c r="E16" s="29"/>
      <c r="F16" s="29">
        <v>65</v>
      </c>
      <c r="G16" s="29">
        <v>376</v>
      </c>
      <c r="H16" s="29">
        <v>2</v>
      </c>
      <c r="I16" s="29">
        <v>1943</v>
      </c>
      <c r="J16" s="29">
        <v>89</v>
      </c>
      <c r="K16" s="29">
        <v>7</v>
      </c>
      <c r="L16" s="29">
        <v>13</v>
      </c>
      <c r="M16" s="29">
        <v>34</v>
      </c>
      <c r="N16" s="29">
        <v>66</v>
      </c>
      <c r="O16" s="29"/>
      <c r="P16" s="29">
        <v>36</v>
      </c>
      <c r="Q16" s="29"/>
      <c r="R16" s="29">
        <v>18</v>
      </c>
      <c r="S16" s="29">
        <v>17</v>
      </c>
      <c r="T16" s="29">
        <v>17</v>
      </c>
      <c r="U16" s="29">
        <v>46</v>
      </c>
      <c r="V16" s="29"/>
      <c r="W16" s="29">
        <v>2</v>
      </c>
      <c r="X16" s="29">
        <v>2</v>
      </c>
      <c r="Y16" s="29">
        <v>29</v>
      </c>
      <c r="Z16" s="29">
        <v>7847</v>
      </c>
      <c r="AA16" s="29">
        <v>2</v>
      </c>
      <c r="AB16" s="29">
        <v>180</v>
      </c>
      <c r="AC16" s="17"/>
      <c r="AD16" s="49">
        <f t="shared" si="0"/>
        <v>10805</v>
      </c>
    </row>
    <row r="17" spans="1:61" ht="15">
      <c r="A17" s="55" t="s">
        <v>94</v>
      </c>
      <c r="B17" s="29">
        <v>133084</v>
      </c>
      <c r="C17" s="29">
        <v>324843</v>
      </c>
      <c r="D17" s="29">
        <v>83476</v>
      </c>
      <c r="E17" s="29">
        <v>381763</v>
      </c>
      <c r="F17" s="29">
        <v>1789564</v>
      </c>
      <c r="G17" s="29">
        <v>1476232</v>
      </c>
      <c r="H17" s="29">
        <v>656614</v>
      </c>
      <c r="I17" s="29">
        <v>821069</v>
      </c>
      <c r="J17" s="29">
        <v>1732869</v>
      </c>
      <c r="K17" s="29">
        <v>790850</v>
      </c>
      <c r="L17" s="29">
        <v>882841</v>
      </c>
      <c r="M17" s="29">
        <v>705587</v>
      </c>
      <c r="N17" s="29">
        <v>5094101</v>
      </c>
      <c r="O17" s="29">
        <v>907120</v>
      </c>
      <c r="P17" s="29">
        <v>593511</v>
      </c>
      <c r="Q17" s="29">
        <v>3421160</v>
      </c>
      <c r="R17" s="29">
        <v>1304121</v>
      </c>
      <c r="S17" s="29">
        <v>604623</v>
      </c>
      <c r="T17" s="29">
        <v>2568196</v>
      </c>
      <c r="U17" s="29">
        <v>598173</v>
      </c>
      <c r="V17" s="29">
        <v>3599828</v>
      </c>
      <c r="W17" s="29">
        <v>468419</v>
      </c>
      <c r="X17" s="29">
        <v>109296</v>
      </c>
      <c r="Y17" s="29">
        <v>2293164</v>
      </c>
      <c r="Z17" s="29">
        <v>13507867</v>
      </c>
      <c r="AA17" s="29">
        <v>334336</v>
      </c>
      <c r="AB17" s="29">
        <v>310684</v>
      </c>
      <c r="AC17" s="17"/>
      <c r="AD17" s="49">
        <f t="shared" si="0"/>
        <v>45493391</v>
      </c>
    </row>
    <row r="18" spans="1:61" ht="15">
      <c r="A18" s="55" t="s">
        <v>95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17"/>
      <c r="AD18" s="49">
        <f t="shared" si="0"/>
        <v>0</v>
      </c>
    </row>
    <row r="19" spans="1:61" ht="15">
      <c r="A19" s="55" t="s">
        <v>96</v>
      </c>
      <c r="B19" s="29">
        <v>7</v>
      </c>
      <c r="C19" s="29">
        <v>8015</v>
      </c>
      <c r="D19" s="29">
        <v>2</v>
      </c>
      <c r="E19" s="29">
        <v>1551</v>
      </c>
      <c r="F19" s="29">
        <v>22930</v>
      </c>
      <c r="G19" s="29">
        <v>16061</v>
      </c>
      <c r="H19" s="29">
        <v>799</v>
      </c>
      <c r="I19" s="29">
        <v>9294</v>
      </c>
      <c r="J19" s="29">
        <v>1072</v>
      </c>
      <c r="K19" s="29">
        <v>69</v>
      </c>
      <c r="L19" s="29">
        <v>484</v>
      </c>
      <c r="M19" s="29">
        <v>721</v>
      </c>
      <c r="N19" s="29">
        <v>6639</v>
      </c>
      <c r="O19" s="29">
        <v>83</v>
      </c>
      <c r="P19" s="29">
        <v>6441</v>
      </c>
      <c r="Q19" s="29">
        <v>11435</v>
      </c>
      <c r="R19" s="29">
        <v>15871</v>
      </c>
      <c r="S19" s="29">
        <v>248</v>
      </c>
      <c r="T19" s="29">
        <v>471704</v>
      </c>
      <c r="U19" s="29">
        <v>11468</v>
      </c>
      <c r="V19" s="29">
        <v>19079</v>
      </c>
      <c r="W19" s="29">
        <v>22</v>
      </c>
      <c r="X19" s="29">
        <v>19</v>
      </c>
      <c r="Y19" s="29">
        <v>26241</v>
      </c>
      <c r="Z19" s="29">
        <v>44801</v>
      </c>
      <c r="AA19" s="29">
        <v>7878</v>
      </c>
      <c r="AB19" s="29">
        <v>91</v>
      </c>
      <c r="AC19" s="17"/>
      <c r="AD19" s="49">
        <f t="shared" si="0"/>
        <v>683025</v>
      </c>
    </row>
    <row r="20" spans="1:61" ht="15">
      <c r="A20" s="55" t="s">
        <v>97</v>
      </c>
      <c r="B20" s="29">
        <v>8</v>
      </c>
      <c r="C20" s="29">
        <v>6</v>
      </c>
      <c r="D20" s="29">
        <v>5</v>
      </c>
      <c r="E20" s="29">
        <v>46</v>
      </c>
      <c r="F20" s="29">
        <v>179</v>
      </c>
      <c r="G20" s="29">
        <v>67</v>
      </c>
      <c r="H20" s="29">
        <v>230</v>
      </c>
      <c r="I20" s="29">
        <v>105</v>
      </c>
      <c r="J20" s="29">
        <v>104</v>
      </c>
      <c r="K20" s="29">
        <v>25</v>
      </c>
      <c r="L20" s="29">
        <v>31</v>
      </c>
      <c r="M20" s="29">
        <v>46</v>
      </c>
      <c r="N20" s="29">
        <v>375</v>
      </c>
      <c r="O20" s="29">
        <v>61</v>
      </c>
      <c r="P20" s="29">
        <v>25</v>
      </c>
      <c r="Q20" s="29">
        <v>369</v>
      </c>
      <c r="R20" s="29">
        <v>57</v>
      </c>
      <c r="S20" s="29">
        <v>23</v>
      </c>
      <c r="T20" s="29">
        <v>366</v>
      </c>
      <c r="U20" s="29">
        <v>24</v>
      </c>
      <c r="V20" s="29">
        <v>324</v>
      </c>
      <c r="W20" s="29">
        <v>12</v>
      </c>
      <c r="X20" s="29">
        <v>2</v>
      </c>
      <c r="Y20" s="29">
        <v>330</v>
      </c>
      <c r="Z20" s="29">
        <v>1572</v>
      </c>
      <c r="AA20" s="29">
        <v>35</v>
      </c>
      <c r="AB20" s="29">
        <v>8</v>
      </c>
      <c r="AC20" s="17"/>
      <c r="AD20" s="49">
        <f t="shared" si="0"/>
        <v>4435</v>
      </c>
    </row>
    <row r="21" spans="1:61" ht="15">
      <c r="A21" s="55" t="s">
        <v>98</v>
      </c>
      <c r="B21" s="29">
        <v>8</v>
      </c>
      <c r="C21" s="29">
        <v>10022</v>
      </c>
      <c r="D21" s="29">
        <v>6</v>
      </c>
      <c r="E21" s="29">
        <v>493</v>
      </c>
      <c r="F21" s="29">
        <v>25279</v>
      </c>
      <c r="G21" s="29">
        <v>22257</v>
      </c>
      <c r="H21" s="29">
        <v>780</v>
      </c>
      <c r="I21" s="29">
        <v>21903</v>
      </c>
      <c r="J21" s="29">
        <v>3068</v>
      </c>
      <c r="K21" s="29">
        <v>162</v>
      </c>
      <c r="L21" s="29">
        <v>856</v>
      </c>
      <c r="M21" s="29">
        <v>4386</v>
      </c>
      <c r="N21" s="29">
        <v>22441</v>
      </c>
      <c r="O21" s="29">
        <v>228</v>
      </c>
      <c r="P21" s="29">
        <v>14029</v>
      </c>
      <c r="Q21" s="29">
        <v>24171</v>
      </c>
      <c r="R21" s="29">
        <v>29285</v>
      </c>
      <c r="S21" s="29">
        <v>397</v>
      </c>
      <c r="T21" s="29">
        <v>671079</v>
      </c>
      <c r="U21" s="29">
        <v>31587</v>
      </c>
      <c r="V21" s="29">
        <v>42435</v>
      </c>
      <c r="W21" s="29">
        <v>57</v>
      </c>
      <c r="X21" s="29">
        <v>22</v>
      </c>
      <c r="Y21" s="29">
        <v>61739</v>
      </c>
      <c r="Z21" s="29">
        <v>218149</v>
      </c>
      <c r="AA21" s="29">
        <v>11798</v>
      </c>
      <c r="AB21" s="29">
        <v>147</v>
      </c>
      <c r="AC21" s="17"/>
      <c r="AD21" s="49">
        <f t="shared" si="0"/>
        <v>1216784</v>
      </c>
    </row>
    <row r="22" spans="1:61">
      <c r="A22" s="7"/>
      <c r="B22" s="17"/>
      <c r="C22" s="17"/>
      <c r="AC22" s="17"/>
      <c r="AD22" s="48"/>
    </row>
    <row r="23" spans="1:61">
      <c r="A23" s="1" t="s">
        <v>99</v>
      </c>
      <c r="B23" s="52">
        <f>SUM(B4:B21)</f>
        <v>252828</v>
      </c>
      <c r="C23" s="52">
        <f t="shared" ref="C23:D23" si="1">SUM(C4:C21)</f>
        <v>749030</v>
      </c>
      <c r="D23" s="52">
        <f t="shared" si="1"/>
        <v>180067</v>
      </c>
      <c r="E23" s="52">
        <f>SUM(E4:E21)</f>
        <v>815867</v>
      </c>
      <c r="F23" s="52">
        <f t="shared" ref="F23:AA23" si="2">SUM(F4:F21)</f>
        <v>3796973</v>
      </c>
      <c r="G23" s="52">
        <f t="shared" si="2"/>
        <v>2910577</v>
      </c>
      <c r="H23" s="52">
        <f t="shared" si="2"/>
        <v>1689890</v>
      </c>
      <c r="I23" s="52">
        <f t="shared" si="2"/>
        <v>1782359</v>
      </c>
      <c r="J23" s="52">
        <f t="shared" si="2"/>
        <v>3495483</v>
      </c>
      <c r="K23" s="52">
        <f t="shared" si="2"/>
        <v>1562128</v>
      </c>
      <c r="L23" s="52">
        <f t="shared" si="2"/>
        <v>1834790</v>
      </c>
      <c r="M23" s="52">
        <f t="shared" si="2"/>
        <v>1426595</v>
      </c>
      <c r="N23" s="52">
        <f t="shared" si="2"/>
        <v>10200662</v>
      </c>
      <c r="O23" s="52">
        <f t="shared" si="2"/>
        <v>1831650</v>
      </c>
      <c r="P23" s="52">
        <f t="shared" si="2"/>
        <v>1198551</v>
      </c>
      <c r="Q23" s="52">
        <f t="shared" si="2"/>
        <v>6928739</v>
      </c>
      <c r="R23" s="52">
        <f t="shared" si="2"/>
        <v>2799408</v>
      </c>
      <c r="S23" s="52">
        <f t="shared" si="2"/>
        <v>1102137</v>
      </c>
      <c r="T23" s="52">
        <f t="shared" si="2"/>
        <v>6370622</v>
      </c>
      <c r="U23" s="52">
        <f t="shared" si="2"/>
        <v>1187968</v>
      </c>
      <c r="V23" s="52">
        <f t="shared" si="2"/>
        <v>6462544</v>
      </c>
      <c r="W23" s="52">
        <f t="shared" si="2"/>
        <v>897089</v>
      </c>
      <c r="X23" s="52">
        <f t="shared" si="2"/>
        <v>202561</v>
      </c>
      <c r="Y23" s="52">
        <f t="shared" si="2"/>
        <v>4671634</v>
      </c>
      <c r="Z23" s="52">
        <f t="shared" si="2"/>
        <v>27072562</v>
      </c>
      <c r="AA23" s="52">
        <f t="shared" si="2"/>
        <v>703725</v>
      </c>
      <c r="AB23" s="52">
        <f>SUM(AB4:AB21)</f>
        <v>620253</v>
      </c>
      <c r="AC23" s="8"/>
      <c r="AD23" s="49">
        <f>IF((SUM(AD4:AD21)=SUM(B23:AB23)),(SUM(B23:AB23)),"erro")</f>
        <v>92746692</v>
      </c>
    </row>
    <row r="24" spans="1:6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61">
      <c r="A25" s="99" t="s">
        <v>100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61" s="5" customFormat="1">
      <c r="A26" s="100"/>
      <c r="B26" s="59" t="s">
        <v>53</v>
      </c>
      <c r="C26" s="6" t="s">
        <v>54</v>
      </c>
      <c r="D26" s="6" t="s">
        <v>55</v>
      </c>
      <c r="E26" s="6" t="s">
        <v>56</v>
      </c>
      <c r="F26" s="6" t="s">
        <v>57</v>
      </c>
      <c r="G26" s="6" t="s">
        <v>58</v>
      </c>
      <c r="H26" s="6" t="s">
        <v>59</v>
      </c>
      <c r="I26" s="6" t="s">
        <v>60</v>
      </c>
      <c r="J26" s="6" t="s">
        <v>61</v>
      </c>
      <c r="K26" s="6" t="s">
        <v>62</v>
      </c>
      <c r="L26" s="6" t="s">
        <v>63</v>
      </c>
      <c r="M26" s="6" t="s">
        <v>64</v>
      </c>
      <c r="N26" s="6" t="s">
        <v>65</v>
      </c>
      <c r="O26" s="6" t="s">
        <v>66</v>
      </c>
      <c r="P26" s="6" t="s">
        <v>67</v>
      </c>
      <c r="Q26" s="6" t="s">
        <v>68</v>
      </c>
      <c r="R26" s="6" t="s">
        <v>69</v>
      </c>
      <c r="S26" s="6" t="s">
        <v>70</v>
      </c>
      <c r="T26" s="6" t="s">
        <v>71</v>
      </c>
      <c r="U26" s="6" t="s">
        <v>72</v>
      </c>
      <c r="V26" s="6" t="s">
        <v>73</v>
      </c>
      <c r="W26" s="6" t="s">
        <v>74</v>
      </c>
      <c r="X26" s="6" t="s">
        <v>75</v>
      </c>
      <c r="Y26" s="6" t="s">
        <v>76</v>
      </c>
      <c r="Z26" s="6" t="s">
        <v>77</v>
      </c>
      <c r="AA26" s="6" t="s">
        <v>78</v>
      </c>
      <c r="AB26" s="6" t="s">
        <v>79</v>
      </c>
      <c r="AD26" s="6" t="s">
        <v>116</v>
      </c>
    </row>
    <row r="27" spans="1:61">
      <c r="A27" s="56" t="s">
        <v>81</v>
      </c>
      <c r="B27" s="47">
        <f t="shared" ref="B27:AB27" si="3">B4+B5</f>
        <v>3604</v>
      </c>
      <c r="C27" s="47">
        <f t="shared" si="3"/>
        <v>24057</v>
      </c>
      <c r="D27" s="47">
        <f t="shared" si="3"/>
        <v>1435</v>
      </c>
      <c r="E27" s="47">
        <f t="shared" si="3"/>
        <v>16190</v>
      </c>
      <c r="F27" s="47">
        <f t="shared" si="3"/>
        <v>98878</v>
      </c>
      <c r="G27" s="47">
        <f t="shared" si="3"/>
        <v>62694</v>
      </c>
      <c r="H27" s="47">
        <f t="shared" si="3"/>
        <v>57962</v>
      </c>
      <c r="I27" s="47">
        <f t="shared" si="3"/>
        <v>53180</v>
      </c>
      <c r="J27" s="47">
        <f t="shared" si="3"/>
        <v>159461</v>
      </c>
      <c r="K27" s="47">
        <f t="shared" si="3"/>
        <v>13757</v>
      </c>
      <c r="L27" s="47">
        <f t="shared" si="3"/>
        <v>48001</v>
      </c>
      <c r="M27" s="47">
        <f t="shared" si="3"/>
        <v>53554</v>
      </c>
      <c r="N27" s="47">
        <f t="shared" si="3"/>
        <v>434611</v>
      </c>
      <c r="O27" s="47">
        <f t="shared" si="3"/>
        <v>23811</v>
      </c>
      <c r="P27" s="47">
        <f t="shared" si="3"/>
        <v>29294</v>
      </c>
      <c r="Q27" s="47">
        <f t="shared" si="3"/>
        <v>419099</v>
      </c>
      <c r="R27" s="47">
        <f t="shared" si="3"/>
        <v>93933</v>
      </c>
      <c r="S27" s="47">
        <f t="shared" si="3"/>
        <v>18406</v>
      </c>
      <c r="T27" s="47">
        <f t="shared" si="3"/>
        <v>308584</v>
      </c>
      <c r="U27" s="47">
        <f t="shared" si="3"/>
        <v>30063</v>
      </c>
      <c r="V27" s="47">
        <f t="shared" si="3"/>
        <v>197088</v>
      </c>
      <c r="W27" s="47">
        <f t="shared" si="3"/>
        <v>10356</v>
      </c>
      <c r="X27" s="47">
        <f t="shared" si="3"/>
        <v>1444</v>
      </c>
      <c r="Y27" s="47">
        <f t="shared" si="3"/>
        <v>132693</v>
      </c>
      <c r="Z27" s="47">
        <f t="shared" si="3"/>
        <v>1835425</v>
      </c>
      <c r="AA27" s="47">
        <f t="shared" si="3"/>
        <v>18453</v>
      </c>
      <c r="AB27" s="47">
        <f t="shared" si="3"/>
        <v>10888</v>
      </c>
      <c r="AC27" s="48"/>
      <c r="AD27" s="49">
        <f t="shared" ref="AD27:AD32" si="4">SUM(B27:AB27)</f>
        <v>4156921</v>
      </c>
      <c r="AH27" s="7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</row>
    <row r="28" spans="1:61">
      <c r="A28" s="56" t="s">
        <v>84</v>
      </c>
      <c r="B28" s="47">
        <f t="shared" ref="B28:AB28" si="5">B7</f>
        <v>91874</v>
      </c>
      <c r="C28" s="47">
        <f t="shared" si="5"/>
        <v>319954</v>
      </c>
      <c r="D28" s="47">
        <f t="shared" si="5"/>
        <v>82192</v>
      </c>
      <c r="E28" s="47">
        <f t="shared" si="5"/>
        <v>352411</v>
      </c>
      <c r="F28" s="47">
        <f t="shared" si="5"/>
        <v>1528000</v>
      </c>
      <c r="G28" s="47">
        <f t="shared" si="5"/>
        <v>1109571</v>
      </c>
      <c r="H28" s="47">
        <f t="shared" si="5"/>
        <v>871422</v>
      </c>
      <c r="I28" s="47">
        <f t="shared" si="5"/>
        <v>693845</v>
      </c>
      <c r="J28" s="47">
        <f t="shared" si="5"/>
        <v>1287156</v>
      </c>
      <c r="K28" s="47">
        <f t="shared" si="5"/>
        <v>640999</v>
      </c>
      <c r="L28" s="47">
        <f t="shared" si="5"/>
        <v>686168</v>
      </c>
      <c r="M28" s="47">
        <f t="shared" si="5"/>
        <v>506965</v>
      </c>
      <c r="N28" s="47">
        <f t="shared" si="5"/>
        <v>3854205</v>
      </c>
      <c r="O28" s="47">
        <f t="shared" si="5"/>
        <v>728091</v>
      </c>
      <c r="P28" s="47">
        <f t="shared" si="5"/>
        <v>470789</v>
      </c>
      <c r="Q28" s="47">
        <f t="shared" si="5"/>
        <v>2381855</v>
      </c>
      <c r="R28" s="47">
        <f t="shared" si="5"/>
        <v>1131047</v>
      </c>
      <c r="S28" s="47">
        <f t="shared" si="5"/>
        <v>391187</v>
      </c>
      <c r="T28" s="47">
        <f t="shared" si="5"/>
        <v>1951177</v>
      </c>
      <c r="U28" s="47">
        <f t="shared" si="5"/>
        <v>424156</v>
      </c>
      <c r="V28" s="47">
        <f t="shared" si="5"/>
        <v>2036709</v>
      </c>
      <c r="W28" s="47">
        <f t="shared" si="5"/>
        <v>331080</v>
      </c>
      <c r="X28" s="47">
        <f t="shared" si="5"/>
        <v>74052</v>
      </c>
      <c r="Y28" s="47">
        <f t="shared" si="5"/>
        <v>1770258</v>
      </c>
      <c r="Z28" s="47">
        <f t="shared" si="5"/>
        <v>9745646</v>
      </c>
      <c r="AA28" s="47">
        <f t="shared" si="5"/>
        <v>277682</v>
      </c>
      <c r="AB28" s="47">
        <f t="shared" si="5"/>
        <v>231247</v>
      </c>
      <c r="AC28" s="48"/>
      <c r="AD28" s="49">
        <f t="shared" si="4"/>
        <v>33969738</v>
      </c>
      <c r="AH28" s="7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</row>
    <row r="29" spans="1:61">
      <c r="A29" s="56" t="s">
        <v>85</v>
      </c>
      <c r="B29" s="47">
        <f t="shared" ref="B29:AB29" si="6">B8++B10</f>
        <v>24223</v>
      </c>
      <c r="C29" s="47">
        <f t="shared" si="6"/>
        <v>61163</v>
      </c>
      <c r="D29" s="47">
        <f t="shared" si="6"/>
        <v>12939</v>
      </c>
      <c r="E29" s="47">
        <f t="shared" si="6"/>
        <v>63315</v>
      </c>
      <c r="F29" s="47">
        <f t="shared" si="6"/>
        <v>330436</v>
      </c>
      <c r="G29" s="47">
        <f t="shared" si="6"/>
        <v>220866</v>
      </c>
      <c r="H29" s="47">
        <f t="shared" si="6"/>
        <v>102001</v>
      </c>
      <c r="I29" s="47">
        <f t="shared" si="6"/>
        <v>179054</v>
      </c>
      <c r="J29" s="47">
        <f t="shared" si="6"/>
        <v>311388</v>
      </c>
      <c r="K29" s="47">
        <f t="shared" si="6"/>
        <v>116165</v>
      </c>
      <c r="L29" s="47">
        <f t="shared" si="6"/>
        <v>216097</v>
      </c>
      <c r="M29" s="47">
        <f t="shared" si="6"/>
        <v>155046</v>
      </c>
      <c r="N29" s="47">
        <f t="shared" si="6"/>
        <v>785590</v>
      </c>
      <c r="O29" s="47">
        <f t="shared" si="6"/>
        <v>172197</v>
      </c>
      <c r="P29" s="47">
        <f t="shared" si="6"/>
        <v>82541</v>
      </c>
      <c r="Q29" s="47">
        <f t="shared" si="6"/>
        <v>668765</v>
      </c>
      <c r="R29" s="47">
        <f t="shared" si="6"/>
        <v>222915</v>
      </c>
      <c r="S29" s="47">
        <f t="shared" si="6"/>
        <v>87178</v>
      </c>
      <c r="T29" s="47">
        <f t="shared" si="6"/>
        <v>346663</v>
      </c>
      <c r="U29" s="47">
        <f t="shared" si="6"/>
        <v>87634</v>
      </c>
      <c r="V29" s="47">
        <f t="shared" si="6"/>
        <v>564858</v>
      </c>
      <c r="W29" s="47">
        <f t="shared" si="6"/>
        <v>87110</v>
      </c>
      <c r="X29" s="47">
        <f t="shared" si="6"/>
        <v>17702</v>
      </c>
      <c r="Y29" s="47">
        <f t="shared" si="6"/>
        <v>383239</v>
      </c>
      <c r="Z29" s="47">
        <f t="shared" si="6"/>
        <v>1696513</v>
      </c>
      <c r="AA29" s="47">
        <f t="shared" si="6"/>
        <v>52039</v>
      </c>
      <c r="AB29" s="47">
        <f t="shared" si="6"/>
        <v>66975</v>
      </c>
      <c r="AC29" s="48"/>
      <c r="AD29" s="49">
        <f t="shared" si="4"/>
        <v>7114612</v>
      </c>
      <c r="AH29" s="7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</row>
    <row r="30" spans="1:61">
      <c r="A30" s="56" t="s">
        <v>101</v>
      </c>
      <c r="B30" s="47">
        <f t="shared" ref="B30:AB30" si="7">B9+B12+B13+B14+B18+B20</f>
        <v>21</v>
      </c>
      <c r="C30" s="47">
        <f t="shared" si="7"/>
        <v>6</v>
      </c>
      <c r="D30" s="47">
        <f t="shared" si="7"/>
        <v>14</v>
      </c>
      <c r="E30" s="47">
        <f t="shared" si="7"/>
        <v>88</v>
      </c>
      <c r="F30" s="47">
        <f t="shared" si="7"/>
        <v>203</v>
      </c>
      <c r="G30" s="47">
        <f t="shared" si="7"/>
        <v>86</v>
      </c>
      <c r="H30" s="47">
        <f t="shared" si="7"/>
        <v>273</v>
      </c>
      <c r="I30" s="47">
        <f t="shared" si="7"/>
        <v>153</v>
      </c>
      <c r="J30" s="47">
        <f t="shared" si="7"/>
        <v>150</v>
      </c>
      <c r="K30" s="47">
        <f t="shared" si="7"/>
        <v>107</v>
      </c>
      <c r="L30" s="47">
        <f t="shared" si="7"/>
        <v>248</v>
      </c>
      <c r="M30" s="47">
        <f t="shared" si="7"/>
        <v>79</v>
      </c>
      <c r="N30" s="47">
        <f t="shared" si="7"/>
        <v>498</v>
      </c>
      <c r="O30" s="47">
        <f t="shared" si="7"/>
        <v>107</v>
      </c>
      <c r="P30" s="47">
        <f t="shared" si="7"/>
        <v>27</v>
      </c>
      <c r="Q30" s="47">
        <f t="shared" si="7"/>
        <v>619</v>
      </c>
      <c r="R30" s="47">
        <f t="shared" si="7"/>
        <v>148</v>
      </c>
      <c r="S30" s="47">
        <f t="shared" si="7"/>
        <v>51</v>
      </c>
      <c r="T30" s="47">
        <f t="shared" si="7"/>
        <v>438</v>
      </c>
      <c r="U30" s="47">
        <f t="shared" si="7"/>
        <v>24</v>
      </c>
      <c r="V30" s="47">
        <f t="shared" si="7"/>
        <v>446</v>
      </c>
      <c r="W30" s="47">
        <f t="shared" si="7"/>
        <v>42</v>
      </c>
      <c r="X30" s="47">
        <f t="shared" si="7"/>
        <v>22</v>
      </c>
      <c r="Y30" s="47">
        <f t="shared" si="7"/>
        <v>434</v>
      </c>
      <c r="Z30" s="47">
        <f t="shared" si="7"/>
        <v>3210</v>
      </c>
      <c r="AA30" s="47">
        <f t="shared" si="7"/>
        <v>35</v>
      </c>
      <c r="AB30" s="47">
        <f t="shared" si="7"/>
        <v>29</v>
      </c>
      <c r="AC30" s="48"/>
      <c r="AD30" s="49">
        <f t="shared" si="4"/>
        <v>7558</v>
      </c>
      <c r="AH30" s="7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</row>
    <row r="31" spans="1:61">
      <c r="A31" s="56" t="s">
        <v>16</v>
      </c>
      <c r="B31" s="47">
        <f t="shared" ref="B31:AB31" si="8">B6+B11+B15+B19+B21</f>
        <v>15</v>
      </c>
      <c r="C31" s="47">
        <f t="shared" si="8"/>
        <v>19002</v>
      </c>
      <c r="D31" s="47">
        <f t="shared" si="8"/>
        <v>9</v>
      </c>
      <c r="E31" s="47">
        <f t="shared" si="8"/>
        <v>2100</v>
      </c>
      <c r="F31" s="47">
        <f t="shared" si="8"/>
        <v>49827</v>
      </c>
      <c r="G31" s="47">
        <f t="shared" si="8"/>
        <v>40752</v>
      </c>
      <c r="H31" s="47">
        <f t="shared" si="8"/>
        <v>1616</v>
      </c>
      <c r="I31" s="47">
        <f t="shared" si="8"/>
        <v>33115</v>
      </c>
      <c r="J31" s="47">
        <f t="shared" si="8"/>
        <v>4370</v>
      </c>
      <c r="K31" s="47">
        <f t="shared" si="8"/>
        <v>243</v>
      </c>
      <c r="L31" s="47">
        <f t="shared" si="8"/>
        <v>1422</v>
      </c>
      <c r="M31" s="47">
        <f t="shared" si="8"/>
        <v>5330</v>
      </c>
      <c r="N31" s="47">
        <f t="shared" si="8"/>
        <v>31591</v>
      </c>
      <c r="O31" s="47">
        <f t="shared" si="8"/>
        <v>324</v>
      </c>
      <c r="P31" s="47">
        <f t="shared" si="8"/>
        <v>22353</v>
      </c>
      <c r="Q31" s="47">
        <f t="shared" si="8"/>
        <v>37241</v>
      </c>
      <c r="R31" s="47">
        <f t="shared" si="8"/>
        <v>47226</v>
      </c>
      <c r="S31" s="47">
        <f t="shared" si="8"/>
        <v>675</v>
      </c>
      <c r="T31" s="47">
        <f t="shared" si="8"/>
        <v>1195547</v>
      </c>
      <c r="U31" s="47">
        <f t="shared" si="8"/>
        <v>47872</v>
      </c>
      <c r="V31" s="47">
        <f t="shared" si="8"/>
        <v>63615</v>
      </c>
      <c r="W31" s="47">
        <f t="shared" si="8"/>
        <v>80</v>
      </c>
      <c r="X31" s="47">
        <f t="shared" si="8"/>
        <v>43</v>
      </c>
      <c r="Y31" s="47">
        <f t="shared" si="8"/>
        <v>91817</v>
      </c>
      <c r="Z31" s="47">
        <f t="shared" si="8"/>
        <v>276054</v>
      </c>
      <c r="AA31" s="47">
        <f t="shared" si="8"/>
        <v>21178</v>
      </c>
      <c r="AB31" s="47">
        <f t="shared" si="8"/>
        <v>250</v>
      </c>
      <c r="AC31" s="48"/>
      <c r="AD31" s="49">
        <f t="shared" si="4"/>
        <v>1993667</v>
      </c>
      <c r="AH31" s="7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</row>
    <row r="32" spans="1:61">
      <c r="A32" s="56" t="s">
        <v>94</v>
      </c>
      <c r="B32" s="47">
        <f t="shared" ref="B32:AB32" si="9">B16+B17</f>
        <v>133091</v>
      </c>
      <c r="C32" s="47">
        <f t="shared" si="9"/>
        <v>324848</v>
      </c>
      <c r="D32" s="47">
        <f t="shared" si="9"/>
        <v>83478</v>
      </c>
      <c r="E32" s="47">
        <f t="shared" si="9"/>
        <v>381763</v>
      </c>
      <c r="F32" s="47">
        <f t="shared" si="9"/>
        <v>1789629</v>
      </c>
      <c r="G32" s="47">
        <f t="shared" si="9"/>
        <v>1476608</v>
      </c>
      <c r="H32" s="47">
        <f t="shared" si="9"/>
        <v>656616</v>
      </c>
      <c r="I32" s="47">
        <f t="shared" si="9"/>
        <v>823012</v>
      </c>
      <c r="J32" s="47">
        <f t="shared" si="9"/>
        <v>1732958</v>
      </c>
      <c r="K32" s="47">
        <f t="shared" si="9"/>
        <v>790857</v>
      </c>
      <c r="L32" s="47">
        <f t="shared" si="9"/>
        <v>882854</v>
      </c>
      <c r="M32" s="47">
        <f t="shared" si="9"/>
        <v>705621</v>
      </c>
      <c r="N32" s="47">
        <f t="shared" si="9"/>
        <v>5094167</v>
      </c>
      <c r="O32" s="47">
        <f t="shared" si="9"/>
        <v>907120</v>
      </c>
      <c r="P32" s="47">
        <f t="shared" si="9"/>
        <v>593547</v>
      </c>
      <c r="Q32" s="47">
        <f t="shared" si="9"/>
        <v>3421160</v>
      </c>
      <c r="R32" s="47">
        <f t="shared" si="9"/>
        <v>1304139</v>
      </c>
      <c r="S32" s="47">
        <f t="shared" si="9"/>
        <v>604640</v>
      </c>
      <c r="T32" s="47">
        <f t="shared" si="9"/>
        <v>2568213</v>
      </c>
      <c r="U32" s="47">
        <f t="shared" si="9"/>
        <v>598219</v>
      </c>
      <c r="V32" s="47">
        <f t="shared" si="9"/>
        <v>3599828</v>
      </c>
      <c r="W32" s="47">
        <f t="shared" si="9"/>
        <v>468421</v>
      </c>
      <c r="X32" s="47">
        <f t="shared" si="9"/>
        <v>109298</v>
      </c>
      <c r="Y32" s="47">
        <f t="shared" si="9"/>
        <v>2293193</v>
      </c>
      <c r="Z32" s="47">
        <f t="shared" si="9"/>
        <v>13515714</v>
      </c>
      <c r="AA32" s="47">
        <f t="shared" si="9"/>
        <v>334338</v>
      </c>
      <c r="AB32" s="47">
        <f t="shared" si="9"/>
        <v>310864</v>
      </c>
      <c r="AC32" s="48"/>
      <c r="AD32" s="49">
        <f t="shared" si="4"/>
        <v>45504196</v>
      </c>
      <c r="AH32" s="7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</row>
    <row r="33" spans="1:61">
      <c r="A33" s="57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50"/>
      <c r="AH33" s="7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</row>
    <row r="34" spans="1:61">
      <c r="A34" s="1" t="s">
        <v>99</v>
      </c>
      <c r="B34" s="49">
        <f t="shared" ref="B34:AB34" si="10">SUM(B27:B32)</f>
        <v>252828</v>
      </c>
      <c r="C34" s="49">
        <f t="shared" si="10"/>
        <v>749030</v>
      </c>
      <c r="D34" s="49">
        <f t="shared" si="10"/>
        <v>180067</v>
      </c>
      <c r="E34" s="49">
        <f t="shared" si="10"/>
        <v>815867</v>
      </c>
      <c r="F34" s="49">
        <f t="shared" si="10"/>
        <v>3796973</v>
      </c>
      <c r="G34" s="49">
        <f t="shared" si="10"/>
        <v>2910577</v>
      </c>
      <c r="H34" s="49">
        <f t="shared" si="10"/>
        <v>1689890</v>
      </c>
      <c r="I34" s="49">
        <f t="shared" si="10"/>
        <v>1782359</v>
      </c>
      <c r="J34" s="49">
        <f t="shared" si="10"/>
        <v>3495483</v>
      </c>
      <c r="K34" s="49">
        <f t="shared" si="10"/>
        <v>1562128</v>
      </c>
      <c r="L34" s="49">
        <f t="shared" si="10"/>
        <v>1834790</v>
      </c>
      <c r="M34" s="49">
        <f t="shared" si="10"/>
        <v>1426595</v>
      </c>
      <c r="N34" s="49">
        <f t="shared" si="10"/>
        <v>10200662</v>
      </c>
      <c r="O34" s="49">
        <f t="shared" si="10"/>
        <v>1831650</v>
      </c>
      <c r="P34" s="49">
        <f t="shared" si="10"/>
        <v>1198551</v>
      </c>
      <c r="Q34" s="49">
        <f t="shared" si="10"/>
        <v>6928739</v>
      </c>
      <c r="R34" s="49">
        <f t="shared" si="10"/>
        <v>2799408</v>
      </c>
      <c r="S34" s="49">
        <f t="shared" si="10"/>
        <v>1102137</v>
      </c>
      <c r="T34" s="49">
        <f t="shared" si="10"/>
        <v>6370622</v>
      </c>
      <c r="U34" s="49">
        <f t="shared" si="10"/>
        <v>1187968</v>
      </c>
      <c r="V34" s="49">
        <f t="shared" si="10"/>
        <v>6462544</v>
      </c>
      <c r="W34" s="49">
        <f t="shared" si="10"/>
        <v>897089</v>
      </c>
      <c r="X34" s="49">
        <f t="shared" si="10"/>
        <v>202561</v>
      </c>
      <c r="Y34" s="49">
        <f t="shared" si="10"/>
        <v>4671634</v>
      </c>
      <c r="Z34" s="49">
        <f t="shared" si="10"/>
        <v>27072562</v>
      </c>
      <c r="AA34" s="49">
        <f t="shared" si="10"/>
        <v>703725</v>
      </c>
      <c r="AB34" s="49">
        <f t="shared" si="10"/>
        <v>620253</v>
      </c>
      <c r="AC34" s="48"/>
      <c r="AD34" s="51">
        <f>IF((SUM(AD27:AD32)=SUM(B34:AB34)),(SUM(B34:AB34)),"erro")</f>
        <v>92746692</v>
      </c>
      <c r="AH34" s="7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</row>
    <row r="35" spans="1:61" ht="15.75" customHeight="1">
      <c r="A35" s="7"/>
    </row>
    <row r="36" spans="1:61">
      <c r="A36" s="99" t="s">
        <v>102</v>
      </c>
    </row>
    <row r="37" spans="1:61">
      <c r="A37" s="100"/>
      <c r="B37" s="6" t="s">
        <v>53</v>
      </c>
      <c r="C37" s="6" t="s">
        <v>54</v>
      </c>
      <c r="D37" s="6" t="s">
        <v>55</v>
      </c>
      <c r="E37" s="6" t="s">
        <v>56</v>
      </c>
      <c r="F37" s="6" t="s">
        <v>57</v>
      </c>
      <c r="G37" s="6" t="s">
        <v>58</v>
      </c>
      <c r="H37" s="6" t="s">
        <v>59</v>
      </c>
      <c r="I37" s="6" t="s">
        <v>60</v>
      </c>
      <c r="J37" s="6" t="s">
        <v>61</v>
      </c>
      <c r="K37" s="6" t="s">
        <v>62</v>
      </c>
      <c r="L37" s="6" t="s">
        <v>63</v>
      </c>
      <c r="M37" s="6" t="s">
        <v>64</v>
      </c>
      <c r="N37" s="6" t="s">
        <v>65</v>
      </c>
      <c r="O37" s="6" t="s">
        <v>66</v>
      </c>
      <c r="P37" s="6" t="s">
        <v>67</v>
      </c>
      <c r="Q37" s="6" t="s">
        <v>68</v>
      </c>
      <c r="R37" s="6" t="s">
        <v>69</v>
      </c>
      <c r="S37" s="6" t="s">
        <v>70</v>
      </c>
      <c r="T37" s="6" t="s">
        <v>71</v>
      </c>
      <c r="U37" s="6" t="s">
        <v>72</v>
      </c>
      <c r="V37" s="6" t="s">
        <v>73</v>
      </c>
      <c r="W37" s="6" t="s">
        <v>74</v>
      </c>
      <c r="X37" s="6" t="s">
        <v>75</v>
      </c>
      <c r="Y37" s="6" t="s">
        <v>76</v>
      </c>
      <c r="Z37" s="6" t="s">
        <v>77</v>
      </c>
      <c r="AA37" s="6" t="s">
        <v>78</v>
      </c>
      <c r="AB37" s="6" t="s">
        <v>79</v>
      </c>
      <c r="AD37" s="6" t="s">
        <v>116</v>
      </c>
    </row>
    <row r="38" spans="1:61">
      <c r="A38" s="58" t="s">
        <v>103</v>
      </c>
      <c r="B38" s="29">
        <v>81782</v>
      </c>
      <c r="C38" s="29">
        <v>332308</v>
      </c>
      <c r="D38" s="29">
        <v>75305</v>
      </c>
      <c r="E38" s="29">
        <v>371001</v>
      </c>
      <c r="F38" s="29">
        <v>1717068</v>
      </c>
      <c r="G38" s="29">
        <v>1075356</v>
      </c>
      <c r="H38" s="29">
        <v>1230098</v>
      </c>
      <c r="I38" s="29">
        <v>912241</v>
      </c>
      <c r="J38" s="29">
        <v>1754034</v>
      </c>
      <c r="K38" s="29">
        <v>405922</v>
      </c>
      <c r="L38" s="29">
        <v>664420</v>
      </c>
      <c r="M38" s="29">
        <v>689626</v>
      </c>
      <c r="N38" s="29">
        <v>5761308</v>
      </c>
      <c r="O38" s="29">
        <v>559181</v>
      </c>
      <c r="P38" s="29">
        <v>493455</v>
      </c>
      <c r="Q38" s="29">
        <v>4250081</v>
      </c>
      <c r="R38" s="29">
        <v>1254747</v>
      </c>
      <c r="S38" s="29">
        <v>331310</v>
      </c>
      <c r="T38" s="29">
        <v>4352476</v>
      </c>
      <c r="U38" s="29">
        <v>520784</v>
      </c>
      <c r="V38" s="29">
        <v>4121097</v>
      </c>
      <c r="W38" s="29">
        <v>260529</v>
      </c>
      <c r="X38" s="29">
        <v>68156</v>
      </c>
      <c r="Y38" s="29">
        <v>2773742</v>
      </c>
      <c r="Z38" s="29">
        <v>17471179</v>
      </c>
      <c r="AA38" s="29">
        <v>312462</v>
      </c>
      <c r="AB38" s="29">
        <v>198070</v>
      </c>
      <c r="AC38" s="17"/>
      <c r="AD38" s="49">
        <f t="shared" ref="AD38:AD47" si="11">SUM(B38:AB38)</f>
        <v>52037738</v>
      </c>
    </row>
    <row r="39" spans="1:61">
      <c r="A39" s="58" t="s">
        <v>104</v>
      </c>
      <c r="B39" s="29">
        <v>6995</v>
      </c>
      <c r="C39" s="29">
        <v>20776</v>
      </c>
      <c r="D39" s="29">
        <v>4011</v>
      </c>
      <c r="E39" s="29">
        <v>19879</v>
      </c>
      <c r="F39" s="29">
        <v>115826</v>
      </c>
      <c r="G39" s="29">
        <v>71280</v>
      </c>
      <c r="H39" s="29">
        <v>23572</v>
      </c>
      <c r="I39" s="29">
        <v>71318</v>
      </c>
      <c r="J39" s="29">
        <v>109119</v>
      </c>
      <c r="K39" s="29">
        <v>39446</v>
      </c>
      <c r="L39" s="29">
        <v>68854</v>
      </c>
      <c r="M39" s="29">
        <v>50492</v>
      </c>
      <c r="N39" s="29">
        <v>325706</v>
      </c>
      <c r="O39" s="29">
        <v>59515</v>
      </c>
      <c r="P39" s="29">
        <v>28593</v>
      </c>
      <c r="Q39" s="29">
        <v>266205</v>
      </c>
      <c r="R39" s="29">
        <v>91852</v>
      </c>
      <c r="S39" s="29">
        <v>27986</v>
      </c>
      <c r="T39" s="29">
        <v>143826</v>
      </c>
      <c r="U39" s="29">
        <v>32045</v>
      </c>
      <c r="V39" s="29">
        <v>224401</v>
      </c>
      <c r="W39" s="29">
        <v>30245</v>
      </c>
      <c r="X39" s="29">
        <v>4732</v>
      </c>
      <c r="Y39" s="29">
        <v>149232</v>
      </c>
      <c r="Z39" s="29">
        <v>670664</v>
      </c>
      <c r="AA39" s="29">
        <v>20858</v>
      </c>
      <c r="AB39" s="29">
        <v>22205</v>
      </c>
      <c r="AC39" s="17"/>
      <c r="AD39" s="49">
        <f t="shared" si="11"/>
        <v>2699633</v>
      </c>
    </row>
    <row r="40" spans="1:61">
      <c r="A40" s="58" t="s">
        <v>105</v>
      </c>
      <c r="B40" s="29">
        <v>810</v>
      </c>
      <c r="C40" s="29">
        <v>2307</v>
      </c>
      <c r="D40" s="29">
        <v>314</v>
      </c>
      <c r="E40" s="29">
        <v>3021</v>
      </c>
      <c r="F40" s="29">
        <v>20025</v>
      </c>
      <c r="G40" s="29">
        <v>8062</v>
      </c>
      <c r="H40" s="29">
        <v>3186</v>
      </c>
      <c r="I40" s="29">
        <v>17030</v>
      </c>
      <c r="J40" s="29">
        <v>28752</v>
      </c>
      <c r="K40" s="29">
        <v>4245</v>
      </c>
      <c r="L40" s="29">
        <v>30054</v>
      </c>
      <c r="M40" s="29">
        <v>15826</v>
      </c>
      <c r="N40" s="29">
        <v>65824</v>
      </c>
      <c r="O40" s="29">
        <v>7663</v>
      </c>
      <c r="P40" s="29">
        <v>2640</v>
      </c>
      <c r="Q40" s="29">
        <v>87007</v>
      </c>
      <c r="R40" s="29">
        <v>11562</v>
      </c>
      <c r="S40" s="29">
        <v>2432</v>
      </c>
      <c r="T40" s="29">
        <v>16256</v>
      </c>
      <c r="U40" s="29">
        <v>3166</v>
      </c>
      <c r="V40" s="29">
        <v>56056</v>
      </c>
      <c r="W40" s="29">
        <v>6245</v>
      </c>
      <c r="X40" s="29">
        <v>673</v>
      </c>
      <c r="Y40" s="29">
        <v>48924</v>
      </c>
      <c r="Z40" s="29">
        <v>164033</v>
      </c>
      <c r="AA40" s="29">
        <v>2406</v>
      </c>
      <c r="AB40" s="29">
        <v>4635</v>
      </c>
      <c r="AC40" s="17"/>
      <c r="AD40" s="49">
        <f t="shared" si="11"/>
        <v>613154</v>
      </c>
    </row>
    <row r="41" spans="1:61">
      <c r="A41" s="58" t="s">
        <v>106</v>
      </c>
      <c r="B41" s="29">
        <v>24783</v>
      </c>
      <c r="C41" s="29">
        <v>50752</v>
      </c>
      <c r="D41" s="29">
        <v>20166</v>
      </c>
      <c r="E41" s="29">
        <v>83011</v>
      </c>
      <c r="F41" s="29">
        <v>328722</v>
      </c>
      <c r="G41" s="29">
        <v>180948</v>
      </c>
      <c r="H41" s="29">
        <v>118655</v>
      </c>
      <c r="I41" s="29">
        <v>156549</v>
      </c>
      <c r="J41" s="29">
        <v>333766</v>
      </c>
      <c r="K41" s="29">
        <v>108958</v>
      </c>
      <c r="L41" s="29">
        <v>201329</v>
      </c>
      <c r="M41" s="29">
        <v>149082</v>
      </c>
      <c r="N41" s="29">
        <v>845659</v>
      </c>
      <c r="O41" s="29">
        <v>135201</v>
      </c>
      <c r="P41" s="29">
        <v>76647</v>
      </c>
      <c r="Q41" s="29">
        <v>620388</v>
      </c>
      <c r="R41" s="29">
        <v>172625</v>
      </c>
      <c r="S41" s="29">
        <v>80902</v>
      </c>
      <c r="T41" s="29">
        <v>329673</v>
      </c>
      <c r="U41" s="29">
        <v>80598</v>
      </c>
      <c r="V41" s="29">
        <v>493736</v>
      </c>
      <c r="W41" s="29">
        <v>85356</v>
      </c>
      <c r="X41" s="29">
        <v>24374</v>
      </c>
      <c r="Y41" s="29">
        <v>362618</v>
      </c>
      <c r="Z41" s="29">
        <v>1857043</v>
      </c>
      <c r="AA41" s="29">
        <v>40034</v>
      </c>
      <c r="AB41" s="29">
        <v>60507</v>
      </c>
      <c r="AC41" s="17"/>
      <c r="AD41" s="49">
        <f t="shared" si="11"/>
        <v>7022082</v>
      </c>
    </row>
    <row r="42" spans="1:61">
      <c r="A42" s="58" t="s">
        <v>107</v>
      </c>
      <c r="B42" s="29">
        <v>4079</v>
      </c>
      <c r="C42" s="29">
        <v>19875</v>
      </c>
      <c r="D42" s="29">
        <v>4277</v>
      </c>
      <c r="E42" s="29">
        <v>27033</v>
      </c>
      <c r="F42" s="29">
        <v>107574</v>
      </c>
      <c r="G42" s="29">
        <v>57476</v>
      </c>
      <c r="H42" s="29">
        <v>79712</v>
      </c>
      <c r="I42" s="29">
        <v>54499</v>
      </c>
      <c r="J42" s="29">
        <v>91252</v>
      </c>
      <c r="K42" s="29">
        <v>22368</v>
      </c>
      <c r="L42" s="29">
        <v>38489</v>
      </c>
      <c r="M42" s="29">
        <v>37212</v>
      </c>
      <c r="N42" s="29">
        <v>298934</v>
      </c>
      <c r="O42" s="29">
        <v>37460</v>
      </c>
      <c r="P42" s="29">
        <v>26134</v>
      </c>
      <c r="Q42" s="29">
        <v>224512</v>
      </c>
      <c r="R42" s="29">
        <v>86962</v>
      </c>
      <c r="S42" s="29">
        <v>16369</v>
      </c>
      <c r="T42" s="29">
        <v>286963</v>
      </c>
      <c r="U42" s="29">
        <v>27510</v>
      </c>
      <c r="V42" s="29">
        <v>241396</v>
      </c>
      <c r="W42" s="29">
        <v>11723</v>
      </c>
      <c r="X42" s="29">
        <v>4708</v>
      </c>
      <c r="Y42" s="29">
        <v>162329</v>
      </c>
      <c r="Z42" s="29">
        <v>1128337</v>
      </c>
      <c r="AA42" s="29">
        <v>14663</v>
      </c>
      <c r="AB42" s="29">
        <v>10136</v>
      </c>
      <c r="AC42" s="17"/>
      <c r="AD42" s="49">
        <f t="shared" si="11"/>
        <v>3121982</v>
      </c>
    </row>
    <row r="43" spans="1:61">
      <c r="A43" s="58" t="s">
        <v>108</v>
      </c>
      <c r="B43" s="29">
        <v>354</v>
      </c>
      <c r="C43" s="29">
        <v>6305</v>
      </c>
      <c r="D43" s="29">
        <v>464</v>
      </c>
      <c r="E43" s="29">
        <v>3522</v>
      </c>
      <c r="F43" s="29">
        <v>28031</v>
      </c>
      <c r="G43" s="29">
        <v>11751</v>
      </c>
      <c r="H43" s="29">
        <v>5593</v>
      </c>
      <c r="I43" s="29">
        <v>7934</v>
      </c>
      <c r="J43" s="29">
        <v>9410</v>
      </c>
      <c r="K43" s="29">
        <v>4703</v>
      </c>
      <c r="L43" s="29">
        <v>3464</v>
      </c>
      <c r="M43" s="29">
        <v>3695</v>
      </c>
      <c r="N43" s="29">
        <v>45163</v>
      </c>
      <c r="O43" s="29">
        <v>6639</v>
      </c>
      <c r="P43" s="29">
        <v>4597</v>
      </c>
      <c r="Q43" s="29">
        <v>21848</v>
      </c>
      <c r="R43" s="29">
        <v>18384</v>
      </c>
      <c r="S43" s="29">
        <v>3562</v>
      </c>
      <c r="T43" s="29">
        <v>38393</v>
      </c>
      <c r="U43" s="29">
        <v>4978</v>
      </c>
      <c r="V43" s="29">
        <v>20563</v>
      </c>
      <c r="W43" s="29">
        <v>1204</v>
      </c>
      <c r="X43" s="29">
        <v>664</v>
      </c>
      <c r="Y43" s="29">
        <v>11783</v>
      </c>
      <c r="Z43" s="29">
        <v>118690</v>
      </c>
      <c r="AA43" s="29">
        <v>3405</v>
      </c>
      <c r="AB43" s="29">
        <v>1613</v>
      </c>
      <c r="AC43" s="17"/>
      <c r="AD43" s="49">
        <f t="shared" si="11"/>
        <v>386712</v>
      </c>
    </row>
    <row r="44" spans="1:61">
      <c r="A44" s="58" t="s">
        <v>109</v>
      </c>
      <c r="B44" s="29">
        <v>108435</v>
      </c>
      <c r="C44" s="29">
        <v>266062</v>
      </c>
      <c r="D44" s="29">
        <v>60740</v>
      </c>
      <c r="E44" s="29">
        <v>238443</v>
      </c>
      <c r="F44" s="29">
        <v>1227807</v>
      </c>
      <c r="G44" s="29">
        <v>1303762</v>
      </c>
      <c r="H44" s="29">
        <v>179543</v>
      </c>
      <c r="I44" s="29">
        <v>427080</v>
      </c>
      <c r="J44" s="29">
        <v>843872</v>
      </c>
      <c r="K44" s="29">
        <v>802002</v>
      </c>
      <c r="L44" s="29">
        <v>587815</v>
      </c>
      <c r="M44" s="29">
        <v>353983</v>
      </c>
      <c r="N44" s="29">
        <v>2414506</v>
      </c>
      <c r="O44" s="29">
        <v>813144</v>
      </c>
      <c r="P44" s="29">
        <v>459299</v>
      </c>
      <c r="Q44" s="29">
        <v>1114362</v>
      </c>
      <c r="R44" s="29">
        <v>989618</v>
      </c>
      <c r="S44" s="29">
        <v>525982</v>
      </c>
      <c r="T44" s="29">
        <v>905028</v>
      </c>
      <c r="U44" s="29">
        <v>415590</v>
      </c>
      <c r="V44" s="29">
        <v>1049003</v>
      </c>
      <c r="W44" s="29">
        <v>376146</v>
      </c>
      <c r="X44" s="29">
        <v>76729</v>
      </c>
      <c r="Y44" s="29">
        <v>842131</v>
      </c>
      <c r="Z44" s="29">
        <v>4436111</v>
      </c>
      <c r="AA44" s="29">
        <v>236637</v>
      </c>
      <c r="AB44" s="29">
        <v>222075</v>
      </c>
      <c r="AC44" s="17"/>
      <c r="AD44" s="49">
        <f t="shared" si="11"/>
        <v>21275905</v>
      </c>
    </row>
    <row r="45" spans="1:61">
      <c r="A45" s="56" t="s">
        <v>110</v>
      </c>
      <c r="B45" s="29">
        <v>22881</v>
      </c>
      <c r="C45" s="29">
        <v>37497</v>
      </c>
      <c r="D45" s="29">
        <v>11760</v>
      </c>
      <c r="E45" s="29">
        <v>53093</v>
      </c>
      <c r="F45" s="29">
        <v>178506</v>
      </c>
      <c r="G45" s="29">
        <v>154193</v>
      </c>
      <c r="H45" s="29">
        <v>18143</v>
      </c>
      <c r="I45" s="29">
        <v>101259</v>
      </c>
      <c r="J45" s="29">
        <v>264549</v>
      </c>
      <c r="K45" s="29">
        <v>146968</v>
      </c>
      <c r="L45" s="29">
        <v>207804</v>
      </c>
      <c r="M45" s="29">
        <v>105030</v>
      </c>
      <c r="N45" s="29">
        <v>273778</v>
      </c>
      <c r="O45" s="29">
        <v>178160</v>
      </c>
      <c r="P45" s="29">
        <v>63565</v>
      </c>
      <c r="Q45" s="29">
        <v>282147</v>
      </c>
      <c r="R45" s="29">
        <v>101404</v>
      </c>
      <c r="S45" s="29">
        <v>93112</v>
      </c>
      <c r="T45" s="29">
        <v>159950</v>
      </c>
      <c r="U45" s="29">
        <v>57898</v>
      </c>
      <c r="V45" s="29">
        <v>183014</v>
      </c>
      <c r="W45" s="29">
        <v>114701</v>
      </c>
      <c r="X45" s="29">
        <v>19533</v>
      </c>
      <c r="Y45" s="29">
        <v>262647</v>
      </c>
      <c r="Z45" s="29">
        <v>846112</v>
      </c>
      <c r="AA45" s="29">
        <v>40685</v>
      </c>
      <c r="AB45" s="29">
        <v>90597</v>
      </c>
      <c r="AC45" s="17"/>
      <c r="AD45" s="49">
        <f t="shared" si="11"/>
        <v>4068986</v>
      </c>
    </row>
    <row r="46" spans="1:61">
      <c r="A46" s="56" t="s">
        <v>111</v>
      </c>
      <c r="B46" s="29">
        <v>1100</v>
      </c>
      <c r="C46" s="29">
        <v>7245</v>
      </c>
      <c r="D46" s="29">
        <v>1181</v>
      </c>
      <c r="E46" s="29">
        <v>8796</v>
      </c>
      <c r="F46" s="29">
        <v>38707</v>
      </c>
      <c r="G46" s="29">
        <v>16940</v>
      </c>
      <c r="H46" s="29">
        <v>12217</v>
      </c>
      <c r="I46" s="29">
        <v>14515</v>
      </c>
      <c r="J46" s="29">
        <v>22380</v>
      </c>
      <c r="K46" s="29">
        <v>8627</v>
      </c>
      <c r="L46" s="29">
        <v>11286</v>
      </c>
      <c r="M46" s="29">
        <v>9304</v>
      </c>
      <c r="N46" s="29">
        <v>74532</v>
      </c>
      <c r="O46" s="29">
        <v>17664</v>
      </c>
      <c r="P46" s="29">
        <v>7181</v>
      </c>
      <c r="Q46" s="29">
        <v>41627</v>
      </c>
      <c r="R46" s="29">
        <v>19330</v>
      </c>
      <c r="S46" s="29">
        <v>6736</v>
      </c>
      <c r="T46" s="29">
        <v>46353</v>
      </c>
      <c r="U46" s="29">
        <v>6641</v>
      </c>
      <c r="V46" s="29">
        <v>40180</v>
      </c>
      <c r="W46" s="29">
        <v>5844</v>
      </c>
      <c r="X46" s="29">
        <v>1046</v>
      </c>
      <c r="Y46" s="29">
        <v>19178</v>
      </c>
      <c r="Z46" s="29">
        <v>155410</v>
      </c>
      <c r="AA46" s="29">
        <v>6772</v>
      </c>
      <c r="AB46" s="29">
        <v>5282</v>
      </c>
      <c r="AC46" s="17"/>
      <c r="AD46" s="49">
        <f t="shared" si="11"/>
        <v>606074</v>
      </c>
    </row>
    <row r="47" spans="1:61">
      <c r="A47" s="56" t="s">
        <v>112</v>
      </c>
      <c r="B47" s="29">
        <v>1175</v>
      </c>
      <c r="C47" s="29">
        <v>5363</v>
      </c>
      <c r="D47" s="29">
        <v>872</v>
      </c>
      <c r="E47" s="29">
        <v>4954</v>
      </c>
      <c r="F47" s="29">
        <v>26107</v>
      </c>
      <c r="G47" s="29">
        <v>28914</v>
      </c>
      <c r="H47" s="29">
        <v>24483</v>
      </c>
      <c r="I47" s="29">
        <v>16779</v>
      </c>
      <c r="J47" s="29">
        <v>22493</v>
      </c>
      <c r="K47" s="29">
        <v>8916</v>
      </c>
      <c r="L47" s="29">
        <v>13500</v>
      </c>
      <c r="M47" s="29">
        <v>11330</v>
      </c>
      <c r="N47" s="29">
        <v>61860</v>
      </c>
      <c r="O47" s="29">
        <v>12599</v>
      </c>
      <c r="P47" s="29">
        <v>8988</v>
      </c>
      <c r="Q47" s="29">
        <v>51959</v>
      </c>
      <c r="R47" s="29">
        <v>17993</v>
      </c>
      <c r="S47" s="29">
        <v>6214</v>
      </c>
      <c r="T47" s="29">
        <v>56028</v>
      </c>
      <c r="U47" s="29">
        <v>14367</v>
      </c>
      <c r="V47" s="29">
        <v>51393</v>
      </c>
      <c r="W47" s="29">
        <v>3248</v>
      </c>
      <c r="X47" s="29">
        <v>1168</v>
      </c>
      <c r="Y47" s="29">
        <v>49578</v>
      </c>
      <c r="Z47" s="29">
        <v>239048</v>
      </c>
      <c r="AA47" s="29">
        <v>4088</v>
      </c>
      <c r="AB47" s="29">
        <v>3193</v>
      </c>
      <c r="AC47" s="17"/>
      <c r="AD47" s="49">
        <f t="shared" si="11"/>
        <v>746610</v>
      </c>
    </row>
    <row r="48" spans="1:61">
      <c r="A48" s="57"/>
      <c r="B48" s="17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7"/>
      <c r="AD48" s="53"/>
    </row>
    <row r="49" spans="1:62">
      <c r="A49" s="1" t="s">
        <v>99</v>
      </c>
      <c r="B49" s="49">
        <f t="shared" ref="B49:AB49" si="12">SUM(B38:B47)</f>
        <v>252394</v>
      </c>
      <c r="C49" s="49">
        <f t="shared" si="12"/>
        <v>748490</v>
      </c>
      <c r="D49" s="49">
        <f t="shared" si="12"/>
        <v>179090</v>
      </c>
      <c r="E49" s="49">
        <f t="shared" si="12"/>
        <v>812753</v>
      </c>
      <c r="F49" s="49">
        <f t="shared" si="12"/>
        <v>3788373</v>
      </c>
      <c r="G49" s="49">
        <f t="shared" si="12"/>
        <v>2908682</v>
      </c>
      <c r="H49" s="49">
        <f t="shared" si="12"/>
        <v>1695202</v>
      </c>
      <c r="I49" s="49">
        <f t="shared" si="12"/>
        <v>1779204</v>
      </c>
      <c r="J49" s="49">
        <f t="shared" si="12"/>
        <v>3479627</v>
      </c>
      <c r="K49" s="49">
        <f t="shared" si="12"/>
        <v>1552155</v>
      </c>
      <c r="L49" s="49">
        <f t="shared" si="12"/>
        <v>1827015</v>
      </c>
      <c r="M49" s="49">
        <f t="shared" si="12"/>
        <v>1425580</v>
      </c>
      <c r="N49" s="49">
        <f t="shared" si="12"/>
        <v>10167270</v>
      </c>
      <c r="O49" s="49">
        <f t="shared" si="12"/>
        <v>1827226</v>
      </c>
      <c r="P49" s="49">
        <f t="shared" si="12"/>
        <v>1171099</v>
      </c>
      <c r="Q49" s="49">
        <f t="shared" si="12"/>
        <v>6960136</v>
      </c>
      <c r="R49" s="49">
        <f t="shared" si="12"/>
        <v>2764477</v>
      </c>
      <c r="S49" s="49">
        <f t="shared" si="12"/>
        <v>1094605</v>
      </c>
      <c r="T49" s="49">
        <f t="shared" si="12"/>
        <v>6334946</v>
      </c>
      <c r="U49" s="49">
        <f t="shared" si="12"/>
        <v>1163577</v>
      </c>
      <c r="V49" s="49">
        <f t="shared" si="12"/>
        <v>6480839</v>
      </c>
      <c r="W49" s="49">
        <f t="shared" si="12"/>
        <v>895241</v>
      </c>
      <c r="X49" s="49">
        <f t="shared" si="12"/>
        <v>201783</v>
      </c>
      <c r="Y49" s="49">
        <f t="shared" si="12"/>
        <v>4682162</v>
      </c>
      <c r="Z49" s="49">
        <f t="shared" si="12"/>
        <v>27086627</v>
      </c>
      <c r="AA49" s="49">
        <f t="shared" si="12"/>
        <v>682010</v>
      </c>
      <c r="AB49" s="49">
        <f t="shared" si="12"/>
        <v>618313</v>
      </c>
      <c r="AC49" s="12"/>
      <c r="AD49" s="51">
        <f>IF((SUM(AD38:AD47)=SUM(B49:AB49)),(SUM(B49:AB49)),"erro")</f>
        <v>92578876</v>
      </c>
    </row>
    <row r="51" spans="1:62">
      <c r="J51" t="s">
        <v>113</v>
      </c>
      <c r="L51" s="86">
        <f>ROUND(AD34/AD49,7)</f>
        <v>1.0018126999999999</v>
      </c>
    </row>
    <row r="54" spans="1:62">
      <c r="A54" s="97" t="s">
        <v>117</v>
      </c>
    </row>
    <row r="55" spans="1:62" s="5" customFormat="1">
      <c r="A55" s="98"/>
      <c r="B55" s="16" t="s">
        <v>53</v>
      </c>
      <c r="C55" s="16" t="s">
        <v>54</v>
      </c>
      <c r="D55" s="16" t="s">
        <v>55</v>
      </c>
      <c r="E55" s="16" t="s">
        <v>56</v>
      </c>
      <c r="F55" s="16" t="s">
        <v>57</v>
      </c>
      <c r="G55" s="16" t="s">
        <v>58</v>
      </c>
      <c r="H55" s="16" t="s">
        <v>59</v>
      </c>
      <c r="I55" s="16" t="s">
        <v>60</v>
      </c>
      <c r="J55" s="16" t="s">
        <v>61</v>
      </c>
      <c r="K55" s="16" t="s">
        <v>62</v>
      </c>
      <c r="L55" s="16" t="s">
        <v>63</v>
      </c>
      <c r="M55" s="16" t="s">
        <v>64</v>
      </c>
      <c r="N55" s="16" t="s">
        <v>65</v>
      </c>
      <c r="O55" s="16" t="s">
        <v>66</v>
      </c>
      <c r="P55" s="16" t="s">
        <v>67</v>
      </c>
      <c r="Q55" s="16" t="s">
        <v>68</v>
      </c>
      <c r="R55" s="16" t="s">
        <v>69</v>
      </c>
      <c r="S55" s="16" t="s">
        <v>70</v>
      </c>
      <c r="T55" s="16" t="s">
        <v>71</v>
      </c>
      <c r="U55" s="16" t="s">
        <v>72</v>
      </c>
      <c r="V55" s="16" t="s">
        <v>73</v>
      </c>
      <c r="W55" s="16" t="s">
        <v>74</v>
      </c>
      <c r="X55" s="16" t="s">
        <v>75</v>
      </c>
      <c r="Y55" s="16" t="s">
        <v>76</v>
      </c>
      <c r="Z55" s="16" t="s">
        <v>77</v>
      </c>
      <c r="AA55" s="16" t="s">
        <v>78</v>
      </c>
      <c r="AB55" s="16" t="s">
        <v>79</v>
      </c>
      <c r="AD55" s="6" t="s">
        <v>80</v>
      </c>
    </row>
    <row r="56" spans="1:62">
      <c r="A56" s="85" t="s">
        <v>103</v>
      </c>
      <c r="B56" s="47">
        <f t="shared" ref="B56:AB56" si="13">ROUND(B38*$L$51,0)</f>
        <v>81930</v>
      </c>
      <c r="C56" s="47">
        <f t="shared" si="13"/>
        <v>332910</v>
      </c>
      <c r="D56" s="47">
        <f t="shared" si="13"/>
        <v>75442</v>
      </c>
      <c r="E56" s="47">
        <f t="shared" si="13"/>
        <v>371674</v>
      </c>
      <c r="F56" s="47">
        <f t="shared" si="13"/>
        <v>1720181</v>
      </c>
      <c r="G56" s="47">
        <f t="shared" si="13"/>
        <v>1077305</v>
      </c>
      <c r="H56" s="47">
        <f t="shared" si="13"/>
        <v>1232328</v>
      </c>
      <c r="I56" s="47">
        <f t="shared" si="13"/>
        <v>913895</v>
      </c>
      <c r="J56" s="47">
        <f t="shared" si="13"/>
        <v>1757214</v>
      </c>
      <c r="K56" s="47">
        <f t="shared" si="13"/>
        <v>406658</v>
      </c>
      <c r="L56" s="47">
        <f t="shared" si="13"/>
        <v>665624</v>
      </c>
      <c r="M56" s="47">
        <f t="shared" si="13"/>
        <v>690876</v>
      </c>
      <c r="N56" s="47">
        <f t="shared" si="13"/>
        <v>5771752</v>
      </c>
      <c r="O56" s="47">
        <f t="shared" si="13"/>
        <v>560195</v>
      </c>
      <c r="P56" s="47">
        <f t="shared" si="13"/>
        <v>494349</v>
      </c>
      <c r="Q56" s="47">
        <f t="shared" si="13"/>
        <v>4257785</v>
      </c>
      <c r="R56" s="47">
        <f t="shared" si="13"/>
        <v>1257021</v>
      </c>
      <c r="S56" s="47">
        <f t="shared" si="13"/>
        <v>331911</v>
      </c>
      <c r="T56" s="47">
        <f t="shared" si="13"/>
        <v>4360366</v>
      </c>
      <c r="U56" s="47">
        <f t="shared" si="13"/>
        <v>521728</v>
      </c>
      <c r="V56" s="47">
        <f t="shared" si="13"/>
        <v>4128567</v>
      </c>
      <c r="W56" s="47">
        <f t="shared" si="13"/>
        <v>261001</v>
      </c>
      <c r="X56" s="47">
        <f t="shared" si="13"/>
        <v>68280</v>
      </c>
      <c r="Y56" s="47">
        <f t="shared" si="13"/>
        <v>2778770</v>
      </c>
      <c r="Z56" s="47">
        <f t="shared" si="13"/>
        <v>17502849</v>
      </c>
      <c r="AA56" s="47">
        <f t="shared" si="13"/>
        <v>313028</v>
      </c>
      <c r="AB56" s="47">
        <f t="shared" si="13"/>
        <v>198429</v>
      </c>
      <c r="AC56" s="48"/>
      <c r="AD56" s="49">
        <f>SUM(B56:AB56)</f>
        <v>52132068</v>
      </c>
      <c r="AH56" s="7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</row>
    <row r="57" spans="1:62" s="14" customFormat="1">
      <c r="A57" s="85" t="s">
        <v>104</v>
      </c>
      <c r="B57" s="47">
        <f t="shared" ref="B57:AB57" si="14">ROUND(B39*$L$51,0)</f>
        <v>7008</v>
      </c>
      <c r="C57" s="47">
        <f t="shared" si="14"/>
        <v>20814</v>
      </c>
      <c r="D57" s="47">
        <f t="shared" si="14"/>
        <v>4018</v>
      </c>
      <c r="E57" s="47">
        <f t="shared" si="14"/>
        <v>19915</v>
      </c>
      <c r="F57" s="47">
        <f t="shared" si="14"/>
        <v>116036</v>
      </c>
      <c r="G57" s="47">
        <f t="shared" si="14"/>
        <v>71409</v>
      </c>
      <c r="H57" s="47">
        <f t="shared" si="14"/>
        <v>23615</v>
      </c>
      <c r="I57" s="47">
        <f t="shared" si="14"/>
        <v>71447</v>
      </c>
      <c r="J57" s="47">
        <f t="shared" si="14"/>
        <v>109317</v>
      </c>
      <c r="K57" s="47">
        <f t="shared" si="14"/>
        <v>39518</v>
      </c>
      <c r="L57" s="47">
        <f t="shared" si="14"/>
        <v>68979</v>
      </c>
      <c r="M57" s="47">
        <f t="shared" si="14"/>
        <v>50584</v>
      </c>
      <c r="N57" s="47">
        <f t="shared" si="14"/>
        <v>326296</v>
      </c>
      <c r="O57" s="47">
        <f t="shared" si="14"/>
        <v>59623</v>
      </c>
      <c r="P57" s="47">
        <f t="shared" si="14"/>
        <v>28645</v>
      </c>
      <c r="Q57" s="47">
        <f t="shared" si="14"/>
        <v>266688</v>
      </c>
      <c r="R57" s="47">
        <f t="shared" si="14"/>
        <v>92019</v>
      </c>
      <c r="S57" s="47">
        <f t="shared" si="14"/>
        <v>28037</v>
      </c>
      <c r="T57" s="47">
        <f t="shared" si="14"/>
        <v>144087</v>
      </c>
      <c r="U57" s="47">
        <f t="shared" si="14"/>
        <v>32103</v>
      </c>
      <c r="V57" s="47">
        <f t="shared" si="14"/>
        <v>224808</v>
      </c>
      <c r="W57" s="47">
        <f t="shared" si="14"/>
        <v>30300</v>
      </c>
      <c r="X57" s="47">
        <f t="shared" si="14"/>
        <v>4741</v>
      </c>
      <c r="Y57" s="47">
        <f t="shared" si="14"/>
        <v>149503</v>
      </c>
      <c r="Z57" s="47">
        <f t="shared" si="14"/>
        <v>671880</v>
      </c>
      <c r="AA57" s="47">
        <f t="shared" si="14"/>
        <v>20896</v>
      </c>
      <c r="AB57" s="47">
        <f t="shared" si="14"/>
        <v>22245</v>
      </c>
      <c r="AC57" s="54"/>
      <c r="AD57" s="49">
        <f t="shared" ref="AD57:AD65" si="15">SUM(B57:AB57)</f>
        <v>2704531</v>
      </c>
      <c r="AH57" s="15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</row>
    <row r="58" spans="1:62" s="14" customFormat="1">
      <c r="A58" s="85" t="s">
        <v>105</v>
      </c>
      <c r="B58" s="47">
        <f t="shared" ref="B58:AB58" si="16">ROUND(B40*$L$51,0)</f>
        <v>811</v>
      </c>
      <c r="C58" s="47">
        <f t="shared" si="16"/>
        <v>2311</v>
      </c>
      <c r="D58" s="47">
        <f t="shared" si="16"/>
        <v>315</v>
      </c>
      <c r="E58" s="47">
        <f t="shared" si="16"/>
        <v>3026</v>
      </c>
      <c r="F58" s="47">
        <f t="shared" si="16"/>
        <v>20061</v>
      </c>
      <c r="G58" s="47">
        <f t="shared" si="16"/>
        <v>8077</v>
      </c>
      <c r="H58" s="47">
        <f t="shared" si="16"/>
        <v>3192</v>
      </c>
      <c r="I58" s="47">
        <f t="shared" si="16"/>
        <v>17061</v>
      </c>
      <c r="J58" s="47">
        <f t="shared" si="16"/>
        <v>28804</v>
      </c>
      <c r="K58" s="47">
        <f t="shared" si="16"/>
        <v>4253</v>
      </c>
      <c r="L58" s="47">
        <f t="shared" si="16"/>
        <v>30108</v>
      </c>
      <c r="M58" s="47">
        <f t="shared" si="16"/>
        <v>15855</v>
      </c>
      <c r="N58" s="47">
        <f t="shared" si="16"/>
        <v>65943</v>
      </c>
      <c r="O58" s="47">
        <f t="shared" si="16"/>
        <v>7677</v>
      </c>
      <c r="P58" s="47">
        <f t="shared" si="16"/>
        <v>2645</v>
      </c>
      <c r="Q58" s="47">
        <f t="shared" si="16"/>
        <v>87165</v>
      </c>
      <c r="R58" s="47">
        <f t="shared" si="16"/>
        <v>11583</v>
      </c>
      <c r="S58" s="47">
        <f t="shared" si="16"/>
        <v>2436</v>
      </c>
      <c r="T58" s="47">
        <f t="shared" si="16"/>
        <v>16285</v>
      </c>
      <c r="U58" s="47">
        <f t="shared" si="16"/>
        <v>3172</v>
      </c>
      <c r="V58" s="47">
        <f t="shared" si="16"/>
        <v>56158</v>
      </c>
      <c r="W58" s="47">
        <f t="shared" si="16"/>
        <v>6256</v>
      </c>
      <c r="X58" s="47">
        <f t="shared" si="16"/>
        <v>674</v>
      </c>
      <c r="Y58" s="47">
        <f t="shared" si="16"/>
        <v>49013</v>
      </c>
      <c r="Z58" s="47">
        <f t="shared" si="16"/>
        <v>164330</v>
      </c>
      <c r="AA58" s="47">
        <f t="shared" si="16"/>
        <v>2410</v>
      </c>
      <c r="AB58" s="47">
        <f t="shared" si="16"/>
        <v>4643</v>
      </c>
      <c r="AC58" s="54"/>
      <c r="AD58" s="49">
        <f t="shared" si="15"/>
        <v>614264</v>
      </c>
      <c r="AH58" s="15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</row>
    <row r="59" spans="1:62">
      <c r="A59" s="85" t="s">
        <v>106</v>
      </c>
      <c r="B59" s="47">
        <f t="shared" ref="B59:AB59" si="17">ROUND(B41*$L$51,0)</f>
        <v>24828</v>
      </c>
      <c r="C59" s="47">
        <f t="shared" si="17"/>
        <v>50844</v>
      </c>
      <c r="D59" s="47">
        <f t="shared" si="17"/>
        <v>20203</v>
      </c>
      <c r="E59" s="47">
        <f t="shared" si="17"/>
        <v>83161</v>
      </c>
      <c r="F59" s="47">
        <f t="shared" si="17"/>
        <v>329318</v>
      </c>
      <c r="G59" s="47">
        <f t="shared" si="17"/>
        <v>181276</v>
      </c>
      <c r="H59" s="47">
        <f t="shared" si="17"/>
        <v>118870</v>
      </c>
      <c r="I59" s="47">
        <f t="shared" si="17"/>
        <v>156833</v>
      </c>
      <c r="J59" s="47">
        <f t="shared" si="17"/>
        <v>334371</v>
      </c>
      <c r="K59" s="47">
        <f t="shared" si="17"/>
        <v>109156</v>
      </c>
      <c r="L59" s="47">
        <f t="shared" si="17"/>
        <v>201694</v>
      </c>
      <c r="M59" s="47">
        <f t="shared" si="17"/>
        <v>149352</v>
      </c>
      <c r="N59" s="47">
        <f t="shared" si="17"/>
        <v>847192</v>
      </c>
      <c r="O59" s="47">
        <f t="shared" si="17"/>
        <v>135446</v>
      </c>
      <c r="P59" s="47">
        <f t="shared" si="17"/>
        <v>76786</v>
      </c>
      <c r="Q59" s="47">
        <f t="shared" si="17"/>
        <v>621513</v>
      </c>
      <c r="R59" s="47">
        <f t="shared" si="17"/>
        <v>172938</v>
      </c>
      <c r="S59" s="47">
        <f t="shared" si="17"/>
        <v>81049</v>
      </c>
      <c r="T59" s="47">
        <f t="shared" si="17"/>
        <v>330271</v>
      </c>
      <c r="U59" s="47">
        <f t="shared" si="17"/>
        <v>80744</v>
      </c>
      <c r="V59" s="47">
        <f t="shared" si="17"/>
        <v>494631</v>
      </c>
      <c r="W59" s="47">
        <f t="shared" si="17"/>
        <v>85511</v>
      </c>
      <c r="X59" s="47">
        <f t="shared" si="17"/>
        <v>24418</v>
      </c>
      <c r="Y59" s="47">
        <f t="shared" si="17"/>
        <v>363275</v>
      </c>
      <c r="Z59" s="47">
        <f t="shared" si="17"/>
        <v>1860409</v>
      </c>
      <c r="AA59" s="47">
        <f t="shared" si="17"/>
        <v>40107</v>
      </c>
      <c r="AB59" s="47">
        <f t="shared" si="17"/>
        <v>60617</v>
      </c>
      <c r="AC59" s="48"/>
      <c r="AD59" s="49">
        <f t="shared" si="15"/>
        <v>7034813</v>
      </c>
      <c r="AH59" s="7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</row>
    <row r="60" spans="1:62">
      <c r="A60" s="85" t="s">
        <v>107</v>
      </c>
      <c r="B60" s="47">
        <f t="shared" ref="B60:AB60" si="18">ROUND(B42*$L$51,0)</f>
        <v>4086</v>
      </c>
      <c r="C60" s="47">
        <f t="shared" si="18"/>
        <v>19911</v>
      </c>
      <c r="D60" s="47">
        <f t="shared" si="18"/>
        <v>4285</v>
      </c>
      <c r="E60" s="47">
        <f t="shared" si="18"/>
        <v>27082</v>
      </c>
      <c r="F60" s="47">
        <f t="shared" si="18"/>
        <v>107769</v>
      </c>
      <c r="G60" s="47">
        <f t="shared" si="18"/>
        <v>57580</v>
      </c>
      <c r="H60" s="47">
        <f t="shared" si="18"/>
        <v>79856</v>
      </c>
      <c r="I60" s="47">
        <f t="shared" si="18"/>
        <v>54598</v>
      </c>
      <c r="J60" s="47">
        <f t="shared" si="18"/>
        <v>91417</v>
      </c>
      <c r="K60" s="47">
        <f t="shared" si="18"/>
        <v>22409</v>
      </c>
      <c r="L60" s="47">
        <f t="shared" si="18"/>
        <v>38559</v>
      </c>
      <c r="M60" s="47">
        <f t="shared" si="18"/>
        <v>37279</v>
      </c>
      <c r="N60" s="47">
        <f t="shared" si="18"/>
        <v>299476</v>
      </c>
      <c r="O60" s="47">
        <f t="shared" si="18"/>
        <v>37528</v>
      </c>
      <c r="P60" s="47">
        <f t="shared" si="18"/>
        <v>26181</v>
      </c>
      <c r="Q60" s="47">
        <f t="shared" si="18"/>
        <v>224919</v>
      </c>
      <c r="R60" s="47">
        <f t="shared" si="18"/>
        <v>87120</v>
      </c>
      <c r="S60" s="47">
        <f t="shared" si="18"/>
        <v>16399</v>
      </c>
      <c r="T60" s="47">
        <f t="shared" si="18"/>
        <v>287483</v>
      </c>
      <c r="U60" s="47">
        <f t="shared" si="18"/>
        <v>27560</v>
      </c>
      <c r="V60" s="47">
        <f t="shared" si="18"/>
        <v>241834</v>
      </c>
      <c r="W60" s="47">
        <f t="shared" si="18"/>
        <v>11744</v>
      </c>
      <c r="X60" s="47">
        <f t="shared" si="18"/>
        <v>4717</v>
      </c>
      <c r="Y60" s="47">
        <f t="shared" si="18"/>
        <v>162623</v>
      </c>
      <c r="Z60" s="47">
        <f t="shared" si="18"/>
        <v>1130382</v>
      </c>
      <c r="AA60" s="47">
        <f t="shared" si="18"/>
        <v>14690</v>
      </c>
      <c r="AB60" s="47">
        <f t="shared" si="18"/>
        <v>10154</v>
      </c>
      <c r="AC60" s="48"/>
      <c r="AD60" s="49">
        <f t="shared" si="15"/>
        <v>3127641</v>
      </c>
      <c r="AH60" s="7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</row>
    <row r="61" spans="1:62" s="14" customFormat="1">
      <c r="A61" s="85" t="s">
        <v>108</v>
      </c>
      <c r="B61" s="47">
        <f t="shared" ref="B61:AB61" si="19">ROUND(B43*$L$51,0)</f>
        <v>355</v>
      </c>
      <c r="C61" s="47">
        <f t="shared" si="19"/>
        <v>6316</v>
      </c>
      <c r="D61" s="47">
        <f t="shared" si="19"/>
        <v>465</v>
      </c>
      <c r="E61" s="47">
        <f t="shared" si="19"/>
        <v>3528</v>
      </c>
      <c r="F61" s="47">
        <f t="shared" si="19"/>
        <v>28082</v>
      </c>
      <c r="G61" s="47">
        <f t="shared" si="19"/>
        <v>11772</v>
      </c>
      <c r="H61" s="47">
        <f t="shared" si="19"/>
        <v>5603</v>
      </c>
      <c r="I61" s="47">
        <f t="shared" si="19"/>
        <v>7948</v>
      </c>
      <c r="J61" s="47">
        <f t="shared" si="19"/>
        <v>9427</v>
      </c>
      <c r="K61" s="47">
        <f t="shared" si="19"/>
        <v>4712</v>
      </c>
      <c r="L61" s="47">
        <f t="shared" si="19"/>
        <v>3470</v>
      </c>
      <c r="M61" s="47">
        <f t="shared" si="19"/>
        <v>3702</v>
      </c>
      <c r="N61" s="47">
        <f t="shared" si="19"/>
        <v>45245</v>
      </c>
      <c r="O61" s="47">
        <f t="shared" si="19"/>
        <v>6651</v>
      </c>
      <c r="P61" s="47">
        <f t="shared" si="19"/>
        <v>4605</v>
      </c>
      <c r="Q61" s="47">
        <f t="shared" si="19"/>
        <v>21888</v>
      </c>
      <c r="R61" s="47">
        <f t="shared" si="19"/>
        <v>18417</v>
      </c>
      <c r="S61" s="47">
        <f t="shared" si="19"/>
        <v>3568</v>
      </c>
      <c r="T61" s="47">
        <f t="shared" si="19"/>
        <v>38463</v>
      </c>
      <c r="U61" s="47">
        <f t="shared" si="19"/>
        <v>4987</v>
      </c>
      <c r="V61" s="47">
        <f t="shared" si="19"/>
        <v>20600</v>
      </c>
      <c r="W61" s="47">
        <f t="shared" si="19"/>
        <v>1206</v>
      </c>
      <c r="X61" s="47">
        <f t="shared" si="19"/>
        <v>665</v>
      </c>
      <c r="Y61" s="47">
        <f t="shared" si="19"/>
        <v>11804</v>
      </c>
      <c r="Z61" s="47">
        <f t="shared" si="19"/>
        <v>118905</v>
      </c>
      <c r="AA61" s="47">
        <f t="shared" si="19"/>
        <v>3411</v>
      </c>
      <c r="AB61" s="47">
        <f t="shared" si="19"/>
        <v>1616</v>
      </c>
      <c r="AC61" s="54"/>
      <c r="AD61" s="49">
        <f t="shared" si="15"/>
        <v>387411</v>
      </c>
      <c r="AH61" s="15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</row>
    <row r="62" spans="1:62" s="14" customFormat="1">
      <c r="A62" s="85" t="s">
        <v>109</v>
      </c>
      <c r="B62" s="47">
        <f t="shared" ref="B62:AB62" si="20">ROUND(B44*$L$51,0)</f>
        <v>108632</v>
      </c>
      <c r="C62" s="47">
        <f t="shared" si="20"/>
        <v>266544</v>
      </c>
      <c r="D62" s="47">
        <f t="shared" si="20"/>
        <v>60850</v>
      </c>
      <c r="E62" s="47">
        <f t="shared" si="20"/>
        <v>238875</v>
      </c>
      <c r="F62" s="47">
        <f t="shared" si="20"/>
        <v>1230033</v>
      </c>
      <c r="G62" s="47">
        <f t="shared" si="20"/>
        <v>1306125</v>
      </c>
      <c r="H62" s="47">
        <f t="shared" si="20"/>
        <v>179868</v>
      </c>
      <c r="I62" s="47">
        <f t="shared" si="20"/>
        <v>427854</v>
      </c>
      <c r="J62" s="47">
        <f t="shared" si="20"/>
        <v>845402</v>
      </c>
      <c r="K62" s="47">
        <f t="shared" si="20"/>
        <v>803456</v>
      </c>
      <c r="L62" s="47">
        <f t="shared" si="20"/>
        <v>588881</v>
      </c>
      <c r="M62" s="47">
        <f t="shared" si="20"/>
        <v>354625</v>
      </c>
      <c r="N62" s="47">
        <f t="shared" si="20"/>
        <v>2418883</v>
      </c>
      <c r="O62" s="47">
        <f t="shared" si="20"/>
        <v>814618</v>
      </c>
      <c r="P62" s="47">
        <f t="shared" si="20"/>
        <v>460132</v>
      </c>
      <c r="Q62" s="47">
        <f t="shared" si="20"/>
        <v>1116382</v>
      </c>
      <c r="R62" s="47">
        <f t="shared" si="20"/>
        <v>991412</v>
      </c>
      <c r="S62" s="47">
        <f t="shared" si="20"/>
        <v>526935</v>
      </c>
      <c r="T62" s="47">
        <f t="shared" si="20"/>
        <v>906669</v>
      </c>
      <c r="U62" s="47">
        <f t="shared" si="20"/>
        <v>416343</v>
      </c>
      <c r="V62" s="47">
        <f t="shared" si="20"/>
        <v>1050905</v>
      </c>
      <c r="W62" s="47">
        <f t="shared" si="20"/>
        <v>376828</v>
      </c>
      <c r="X62" s="47">
        <f t="shared" si="20"/>
        <v>76868</v>
      </c>
      <c r="Y62" s="47">
        <f t="shared" si="20"/>
        <v>843658</v>
      </c>
      <c r="Z62" s="47">
        <f t="shared" si="20"/>
        <v>4444152</v>
      </c>
      <c r="AA62" s="47">
        <f t="shared" si="20"/>
        <v>237066</v>
      </c>
      <c r="AB62" s="47">
        <f t="shared" si="20"/>
        <v>222478</v>
      </c>
      <c r="AC62" s="54"/>
      <c r="AD62" s="49">
        <f t="shared" si="15"/>
        <v>21314474</v>
      </c>
      <c r="AH62" s="15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</row>
    <row r="63" spans="1:62" s="14" customFormat="1">
      <c r="A63" s="85" t="s">
        <v>110</v>
      </c>
      <c r="B63" s="47">
        <f t="shared" ref="B63:AB63" si="21">ROUND(B45*$L$51,0)</f>
        <v>22922</v>
      </c>
      <c r="C63" s="47">
        <f t="shared" si="21"/>
        <v>37565</v>
      </c>
      <c r="D63" s="47">
        <f t="shared" si="21"/>
        <v>11781</v>
      </c>
      <c r="E63" s="47">
        <f t="shared" si="21"/>
        <v>53189</v>
      </c>
      <c r="F63" s="47">
        <f t="shared" si="21"/>
        <v>178830</v>
      </c>
      <c r="G63" s="47">
        <f t="shared" si="21"/>
        <v>154473</v>
      </c>
      <c r="H63" s="47">
        <f t="shared" si="21"/>
        <v>18176</v>
      </c>
      <c r="I63" s="47">
        <f t="shared" si="21"/>
        <v>101443</v>
      </c>
      <c r="J63" s="47">
        <f t="shared" si="21"/>
        <v>265029</v>
      </c>
      <c r="K63" s="47">
        <f t="shared" si="21"/>
        <v>147234</v>
      </c>
      <c r="L63" s="47">
        <f t="shared" si="21"/>
        <v>208181</v>
      </c>
      <c r="M63" s="47">
        <f t="shared" si="21"/>
        <v>105220</v>
      </c>
      <c r="N63" s="47">
        <f t="shared" si="21"/>
        <v>274274</v>
      </c>
      <c r="O63" s="47">
        <f t="shared" si="21"/>
        <v>178483</v>
      </c>
      <c r="P63" s="47">
        <f t="shared" si="21"/>
        <v>63680</v>
      </c>
      <c r="Q63" s="47">
        <f t="shared" si="21"/>
        <v>282658</v>
      </c>
      <c r="R63" s="47">
        <f t="shared" si="21"/>
        <v>101588</v>
      </c>
      <c r="S63" s="47">
        <f t="shared" si="21"/>
        <v>93281</v>
      </c>
      <c r="T63" s="47">
        <f t="shared" si="21"/>
        <v>160240</v>
      </c>
      <c r="U63" s="47">
        <f t="shared" si="21"/>
        <v>58003</v>
      </c>
      <c r="V63" s="47">
        <f t="shared" si="21"/>
        <v>183346</v>
      </c>
      <c r="W63" s="47">
        <f t="shared" si="21"/>
        <v>114909</v>
      </c>
      <c r="X63" s="47">
        <f t="shared" si="21"/>
        <v>19568</v>
      </c>
      <c r="Y63" s="47">
        <f t="shared" si="21"/>
        <v>263123</v>
      </c>
      <c r="Z63" s="47">
        <f t="shared" si="21"/>
        <v>847646</v>
      </c>
      <c r="AA63" s="47">
        <f t="shared" si="21"/>
        <v>40759</v>
      </c>
      <c r="AB63" s="47">
        <f t="shared" si="21"/>
        <v>90761</v>
      </c>
      <c r="AC63" s="54"/>
      <c r="AD63" s="49">
        <f t="shared" si="15"/>
        <v>4076362</v>
      </c>
      <c r="AH63" s="15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</row>
    <row r="64" spans="1:62" s="14" customFormat="1">
      <c r="A64" s="85" t="s">
        <v>111</v>
      </c>
      <c r="B64" s="47">
        <f t="shared" ref="B64:AB64" si="22">ROUND(B46*$L$51,0)</f>
        <v>1102</v>
      </c>
      <c r="C64" s="47">
        <f t="shared" si="22"/>
        <v>7258</v>
      </c>
      <c r="D64" s="47">
        <f t="shared" si="22"/>
        <v>1183</v>
      </c>
      <c r="E64" s="47">
        <f t="shared" si="22"/>
        <v>8812</v>
      </c>
      <c r="F64" s="47">
        <f t="shared" si="22"/>
        <v>38777</v>
      </c>
      <c r="G64" s="47">
        <f t="shared" si="22"/>
        <v>16971</v>
      </c>
      <c r="H64" s="47">
        <f t="shared" si="22"/>
        <v>12239</v>
      </c>
      <c r="I64" s="47">
        <f t="shared" si="22"/>
        <v>14541</v>
      </c>
      <c r="J64" s="47">
        <f t="shared" si="22"/>
        <v>22421</v>
      </c>
      <c r="K64" s="47">
        <f t="shared" si="22"/>
        <v>8643</v>
      </c>
      <c r="L64" s="47">
        <f t="shared" si="22"/>
        <v>11306</v>
      </c>
      <c r="M64" s="47">
        <f t="shared" si="22"/>
        <v>9321</v>
      </c>
      <c r="N64" s="47">
        <f t="shared" si="22"/>
        <v>74667</v>
      </c>
      <c r="O64" s="47">
        <f t="shared" si="22"/>
        <v>17696</v>
      </c>
      <c r="P64" s="47">
        <f t="shared" si="22"/>
        <v>7194</v>
      </c>
      <c r="Q64" s="47">
        <f t="shared" si="22"/>
        <v>41702</v>
      </c>
      <c r="R64" s="47">
        <f t="shared" si="22"/>
        <v>19365</v>
      </c>
      <c r="S64" s="47">
        <f t="shared" si="22"/>
        <v>6748</v>
      </c>
      <c r="T64" s="47">
        <f t="shared" si="22"/>
        <v>46437</v>
      </c>
      <c r="U64" s="47">
        <f t="shared" si="22"/>
        <v>6653</v>
      </c>
      <c r="V64" s="47">
        <f t="shared" si="22"/>
        <v>40253</v>
      </c>
      <c r="W64" s="47">
        <f t="shared" si="22"/>
        <v>5855</v>
      </c>
      <c r="X64" s="47">
        <f t="shared" si="22"/>
        <v>1048</v>
      </c>
      <c r="Y64" s="47">
        <f t="shared" si="22"/>
        <v>19213</v>
      </c>
      <c r="Z64" s="47">
        <f t="shared" si="22"/>
        <v>155692</v>
      </c>
      <c r="AA64" s="47">
        <f t="shared" si="22"/>
        <v>6784</v>
      </c>
      <c r="AB64" s="47">
        <f t="shared" si="22"/>
        <v>5292</v>
      </c>
      <c r="AC64" s="54"/>
      <c r="AD64" s="49">
        <f t="shared" si="15"/>
        <v>607173</v>
      </c>
      <c r="AH64" s="15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</row>
    <row r="65" spans="1:62">
      <c r="A65" s="85" t="s">
        <v>112</v>
      </c>
      <c r="B65" s="47">
        <f t="shared" ref="B65:AB65" si="23">ROUND(B47*$L$51,0)</f>
        <v>1177</v>
      </c>
      <c r="C65" s="47">
        <f t="shared" si="23"/>
        <v>5373</v>
      </c>
      <c r="D65" s="47">
        <f t="shared" si="23"/>
        <v>874</v>
      </c>
      <c r="E65" s="47">
        <f t="shared" si="23"/>
        <v>4963</v>
      </c>
      <c r="F65" s="47">
        <f t="shared" si="23"/>
        <v>26154</v>
      </c>
      <c r="G65" s="47">
        <f t="shared" si="23"/>
        <v>28966</v>
      </c>
      <c r="H65" s="47">
        <f t="shared" si="23"/>
        <v>24527</v>
      </c>
      <c r="I65" s="47">
        <f t="shared" si="23"/>
        <v>16809</v>
      </c>
      <c r="J65" s="47">
        <f t="shared" si="23"/>
        <v>22534</v>
      </c>
      <c r="K65" s="47">
        <f t="shared" si="23"/>
        <v>8932</v>
      </c>
      <c r="L65" s="47">
        <f t="shared" si="23"/>
        <v>13524</v>
      </c>
      <c r="M65" s="47">
        <f t="shared" si="23"/>
        <v>11351</v>
      </c>
      <c r="N65" s="47">
        <f t="shared" si="23"/>
        <v>61972</v>
      </c>
      <c r="O65" s="47">
        <f t="shared" si="23"/>
        <v>12622</v>
      </c>
      <c r="P65" s="47">
        <f t="shared" si="23"/>
        <v>9004</v>
      </c>
      <c r="Q65" s="47">
        <f t="shared" si="23"/>
        <v>52053</v>
      </c>
      <c r="R65" s="47">
        <f t="shared" si="23"/>
        <v>18026</v>
      </c>
      <c r="S65" s="47">
        <f t="shared" si="23"/>
        <v>6225</v>
      </c>
      <c r="T65" s="47">
        <f t="shared" si="23"/>
        <v>56130</v>
      </c>
      <c r="U65" s="47">
        <f t="shared" si="23"/>
        <v>14393</v>
      </c>
      <c r="V65" s="47">
        <f t="shared" si="23"/>
        <v>51486</v>
      </c>
      <c r="W65" s="47">
        <f t="shared" si="23"/>
        <v>3254</v>
      </c>
      <c r="X65" s="47">
        <f t="shared" si="23"/>
        <v>1170</v>
      </c>
      <c r="Y65" s="47">
        <f t="shared" si="23"/>
        <v>49668</v>
      </c>
      <c r="Z65" s="47">
        <f t="shared" si="23"/>
        <v>239481</v>
      </c>
      <c r="AA65" s="47">
        <f t="shared" si="23"/>
        <v>4095</v>
      </c>
      <c r="AB65" s="47">
        <f t="shared" si="23"/>
        <v>3199</v>
      </c>
      <c r="AC65" s="48"/>
      <c r="AD65" s="49">
        <f t="shared" si="15"/>
        <v>747962</v>
      </c>
      <c r="AH65" s="7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</row>
    <row r="66" spans="1:62">
      <c r="A66" s="57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50"/>
      <c r="AH66" s="7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</row>
    <row r="67" spans="1:62" s="5" customFormat="1">
      <c r="A67" s="1" t="s">
        <v>99</v>
      </c>
      <c r="B67" s="49">
        <f>SUM(B56:B65)</f>
        <v>252851</v>
      </c>
      <c r="C67" s="49">
        <f t="shared" ref="C67:AB67" si="24">SUM(C56:C65)</f>
        <v>749846</v>
      </c>
      <c r="D67" s="49">
        <f t="shared" si="24"/>
        <v>179416</v>
      </c>
      <c r="E67" s="49">
        <f t="shared" si="24"/>
        <v>814225</v>
      </c>
      <c r="F67" s="49">
        <f t="shared" si="24"/>
        <v>3795241</v>
      </c>
      <c r="G67" s="49">
        <f t="shared" si="24"/>
        <v>2913954</v>
      </c>
      <c r="H67" s="49">
        <f t="shared" si="24"/>
        <v>1698274</v>
      </c>
      <c r="I67" s="49">
        <f t="shared" si="24"/>
        <v>1782429</v>
      </c>
      <c r="J67" s="49">
        <f t="shared" si="24"/>
        <v>3485936</v>
      </c>
      <c r="K67" s="49">
        <f t="shared" si="24"/>
        <v>1554971</v>
      </c>
      <c r="L67" s="49">
        <f t="shared" si="24"/>
        <v>1830326</v>
      </c>
      <c r="M67" s="49">
        <f t="shared" si="24"/>
        <v>1428165</v>
      </c>
      <c r="N67" s="49">
        <f t="shared" si="24"/>
        <v>10185700</v>
      </c>
      <c r="O67" s="49">
        <f t="shared" si="24"/>
        <v>1830539</v>
      </c>
      <c r="P67" s="49">
        <f t="shared" si="24"/>
        <v>1173221</v>
      </c>
      <c r="Q67" s="49">
        <f t="shared" si="24"/>
        <v>6972753</v>
      </c>
      <c r="R67" s="49">
        <f t="shared" si="24"/>
        <v>2769489</v>
      </c>
      <c r="S67" s="49">
        <f t="shared" si="24"/>
        <v>1096589</v>
      </c>
      <c r="T67" s="49">
        <f t="shared" si="24"/>
        <v>6346431</v>
      </c>
      <c r="U67" s="49">
        <f t="shared" si="24"/>
        <v>1165686</v>
      </c>
      <c r="V67" s="49">
        <f t="shared" si="24"/>
        <v>6492588</v>
      </c>
      <c r="W67" s="49">
        <f t="shared" si="24"/>
        <v>896864</v>
      </c>
      <c r="X67" s="49">
        <f t="shared" si="24"/>
        <v>202149</v>
      </c>
      <c r="Y67" s="49">
        <f t="shared" si="24"/>
        <v>4690650</v>
      </c>
      <c r="Z67" s="49">
        <f t="shared" si="24"/>
        <v>27135726</v>
      </c>
      <c r="AA67" s="49">
        <f t="shared" si="24"/>
        <v>683246</v>
      </c>
      <c r="AB67" s="49">
        <f t="shared" si="24"/>
        <v>619434</v>
      </c>
      <c r="AC67" s="50"/>
      <c r="AD67" s="84">
        <f>IF((SUM(AD56:AD65)=SUM(B67:AB67)),(SUM(B67:AB67)),"erro")</f>
        <v>92746699</v>
      </c>
      <c r="AH67" s="7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</row>
    <row r="72" spans="1:62" s="5" customFormat="1"/>
    <row r="73" spans="1:62" s="5" customFormat="1"/>
    <row r="74" spans="1:62" s="5" customFormat="1"/>
    <row r="75" spans="1:62" s="5" customFormat="1"/>
    <row r="76" spans="1:62" s="5" customFormat="1"/>
    <row r="77" spans="1:62" s="5" customFormat="1"/>
    <row r="78" spans="1:62" s="5" customFormat="1"/>
    <row r="79" spans="1:62" s="5" customFormat="1"/>
    <row r="80" spans="1:62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 ht="15" customHeigh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</sheetData>
  <mergeCells count="4">
    <mergeCell ref="A2:A3"/>
    <mergeCell ref="A54:A55"/>
    <mergeCell ref="A36:A37"/>
    <mergeCell ref="A25:A26"/>
  </mergeCells>
  <pageMargins left="0.75" right="0.75" top="1" bottom="1" header="0.5" footer="0.5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8CBAD"/>
  </sheetPr>
  <dimension ref="A1:BJ166"/>
  <sheetViews>
    <sheetView showGridLines="0" topLeftCell="A30" zoomScale="90" zoomScaleNormal="90" workbookViewId="0">
      <pane xSplit="1" topLeftCell="R1" activePane="topRight" state="frozen"/>
      <selection pane="topRight" activeCell="AD34" sqref="AD34"/>
    </sheetView>
  </sheetViews>
  <sheetFormatPr defaultColWidth="10.85546875" defaultRowHeight="15.75"/>
  <cols>
    <col min="1" max="1" width="35.42578125" style="5" customWidth="1"/>
    <col min="2" max="2" width="11.42578125" bestFit="1" customWidth="1"/>
    <col min="11" max="11" width="13.5703125" customWidth="1"/>
    <col min="12" max="12" width="15.7109375" customWidth="1"/>
    <col min="13" max="13" width="19.42578125" customWidth="1"/>
    <col min="14" max="14" width="13.7109375" customWidth="1"/>
    <col min="26" max="26" width="12.42578125" bestFit="1" customWidth="1"/>
    <col min="28" max="28" width="12.140625" customWidth="1"/>
    <col min="30" max="30" width="13.28515625" style="5" bestFit="1" customWidth="1"/>
  </cols>
  <sheetData>
    <row r="1" spans="1:30">
      <c r="A1" s="83">
        <v>2016</v>
      </c>
    </row>
    <row r="2" spans="1:30">
      <c r="A2" s="97" t="s">
        <v>52</v>
      </c>
    </row>
    <row r="3" spans="1:30">
      <c r="A3" s="98"/>
      <c r="B3" s="6" t="s">
        <v>53</v>
      </c>
      <c r="C3" s="6" t="s">
        <v>54</v>
      </c>
      <c r="D3" s="6" t="s">
        <v>55</v>
      </c>
      <c r="E3" s="6" t="s">
        <v>56</v>
      </c>
      <c r="F3" s="6" t="s">
        <v>57</v>
      </c>
      <c r="G3" s="6" t="s">
        <v>58</v>
      </c>
      <c r="H3" s="6" t="s">
        <v>59</v>
      </c>
      <c r="I3" s="6" t="s">
        <v>60</v>
      </c>
      <c r="J3" s="6" t="s">
        <v>61</v>
      </c>
      <c r="K3" s="6" t="s">
        <v>62</v>
      </c>
      <c r="L3" s="6" t="s">
        <v>63</v>
      </c>
      <c r="M3" s="6" t="s">
        <v>64</v>
      </c>
      <c r="N3" s="6" t="s">
        <v>65</v>
      </c>
      <c r="O3" s="6" t="s">
        <v>66</v>
      </c>
      <c r="P3" s="6" t="s">
        <v>67</v>
      </c>
      <c r="Q3" s="6" t="s">
        <v>68</v>
      </c>
      <c r="R3" s="6" t="s">
        <v>69</v>
      </c>
      <c r="S3" s="6" t="s">
        <v>70</v>
      </c>
      <c r="T3" s="6" t="s">
        <v>71</v>
      </c>
      <c r="U3" s="6" t="s">
        <v>72</v>
      </c>
      <c r="V3" s="6" t="s">
        <v>73</v>
      </c>
      <c r="W3" s="6" t="s">
        <v>74</v>
      </c>
      <c r="X3" s="6" t="s">
        <v>75</v>
      </c>
      <c r="Y3" s="6" t="s">
        <v>76</v>
      </c>
      <c r="Z3" s="6" t="s">
        <v>77</v>
      </c>
      <c r="AA3" s="6" t="s">
        <v>78</v>
      </c>
      <c r="AB3" s="6" t="s">
        <v>79</v>
      </c>
      <c r="AD3" s="30" t="s">
        <v>80</v>
      </c>
    </row>
    <row r="4" spans="1:30" ht="15">
      <c r="A4" s="55" t="s">
        <v>81</v>
      </c>
      <c r="B4" s="29">
        <v>3604</v>
      </c>
      <c r="C4" s="29">
        <v>24004</v>
      </c>
      <c r="D4" s="29">
        <v>1433</v>
      </c>
      <c r="E4" s="29">
        <v>16201</v>
      </c>
      <c r="F4" s="29">
        <v>98274</v>
      </c>
      <c r="G4" s="29">
        <v>62576</v>
      </c>
      <c r="H4" s="29">
        <v>58034</v>
      </c>
      <c r="I4" s="29">
        <v>52820</v>
      </c>
      <c r="J4" s="29">
        <v>159245</v>
      </c>
      <c r="K4" s="29">
        <v>13705</v>
      </c>
      <c r="L4" s="29">
        <v>47479</v>
      </c>
      <c r="M4" s="29">
        <v>53304</v>
      </c>
      <c r="N4" s="29">
        <v>433457</v>
      </c>
      <c r="O4" s="29">
        <v>23759</v>
      </c>
      <c r="P4" s="29">
        <v>29234</v>
      </c>
      <c r="Q4" s="29">
        <v>419274</v>
      </c>
      <c r="R4" s="29">
        <v>93915</v>
      </c>
      <c r="S4" s="29">
        <v>18301</v>
      </c>
      <c r="T4" s="29">
        <v>308885</v>
      </c>
      <c r="U4" s="29">
        <v>30013</v>
      </c>
      <c r="V4" s="29">
        <v>197351</v>
      </c>
      <c r="W4" s="29">
        <v>10311</v>
      </c>
      <c r="X4" s="29">
        <v>1440</v>
      </c>
      <c r="Y4" s="29">
        <v>132779</v>
      </c>
      <c r="Z4" s="29">
        <v>1835338</v>
      </c>
      <c r="AA4" s="29">
        <v>18424</v>
      </c>
      <c r="AB4" s="29">
        <v>10861</v>
      </c>
      <c r="AD4" s="49">
        <f t="shared" ref="AD4:AD21" si="0">SUM(B4:AB4)</f>
        <v>4154021</v>
      </c>
    </row>
    <row r="5" spans="1:30" ht="15">
      <c r="A5" s="55" t="s">
        <v>82</v>
      </c>
      <c r="B5" s="29">
        <v>1</v>
      </c>
      <c r="C5" s="29">
        <v>1</v>
      </c>
      <c r="D5" s="29"/>
      <c r="E5" s="29"/>
      <c r="F5" s="29">
        <v>17</v>
      </c>
      <c r="G5" s="29">
        <v>133</v>
      </c>
      <c r="H5" s="29">
        <v>1</v>
      </c>
      <c r="I5" s="29">
        <v>857</v>
      </c>
      <c r="J5" s="29">
        <v>27</v>
      </c>
      <c r="K5" s="29">
        <v>7</v>
      </c>
      <c r="L5" s="29">
        <v>294</v>
      </c>
      <c r="M5" s="29">
        <v>19</v>
      </c>
      <c r="N5" s="29">
        <v>487</v>
      </c>
      <c r="O5" s="29">
        <v>13</v>
      </c>
      <c r="P5" s="29">
        <v>16</v>
      </c>
      <c r="Q5" s="29"/>
      <c r="R5" s="29"/>
      <c r="S5" s="29">
        <v>5</v>
      </c>
      <c r="T5" s="29"/>
      <c r="U5" s="29">
        <v>9</v>
      </c>
      <c r="V5" s="29"/>
      <c r="W5" s="29">
        <v>1</v>
      </c>
      <c r="X5" s="29"/>
      <c r="Y5" s="29">
        <v>3</v>
      </c>
      <c r="Z5" s="29">
        <v>1075</v>
      </c>
      <c r="AA5" s="29">
        <v>1</v>
      </c>
      <c r="AB5" s="29">
        <v>2</v>
      </c>
      <c r="AC5" s="17"/>
      <c r="AD5" s="49">
        <f t="shared" si="0"/>
        <v>2969</v>
      </c>
    </row>
    <row r="6" spans="1:30" ht="15">
      <c r="A6" s="55" t="s">
        <v>83</v>
      </c>
      <c r="B6" s="29"/>
      <c r="C6" s="29">
        <v>978</v>
      </c>
      <c r="D6" s="29">
        <v>1</v>
      </c>
      <c r="E6" s="29">
        <v>46</v>
      </c>
      <c r="F6" s="29">
        <v>1626</v>
      </c>
      <c r="G6" s="29">
        <v>2432</v>
      </c>
      <c r="H6" s="29">
        <v>27</v>
      </c>
      <c r="I6" s="29">
        <v>1382</v>
      </c>
      <c r="J6" s="29">
        <v>198</v>
      </c>
      <c r="K6" s="29">
        <v>10</v>
      </c>
      <c r="L6" s="29">
        <v>80</v>
      </c>
      <c r="M6" s="29">
        <v>223</v>
      </c>
      <c r="N6" s="29">
        <v>2567</v>
      </c>
      <c r="O6" s="29">
        <v>12</v>
      </c>
      <c r="P6" s="29">
        <v>1880</v>
      </c>
      <c r="Q6" s="29">
        <v>1618</v>
      </c>
      <c r="R6" s="29">
        <v>2083</v>
      </c>
      <c r="S6" s="29">
        <v>25</v>
      </c>
      <c r="T6" s="29">
        <v>52538</v>
      </c>
      <c r="U6" s="29">
        <v>4801</v>
      </c>
      <c r="V6" s="29">
        <v>2110</v>
      </c>
      <c r="W6" s="29">
        <v>2</v>
      </c>
      <c r="X6" s="29">
        <v>1</v>
      </c>
      <c r="Y6" s="29">
        <v>3864</v>
      </c>
      <c r="Z6" s="29">
        <v>13339</v>
      </c>
      <c r="AA6" s="29">
        <v>1509</v>
      </c>
      <c r="AB6" s="29">
        <v>7</v>
      </c>
      <c r="AC6" s="17"/>
      <c r="AD6" s="49">
        <f t="shared" si="0"/>
        <v>93359</v>
      </c>
    </row>
    <row r="7" spans="1:30" ht="15">
      <c r="A7" s="55" t="s">
        <v>84</v>
      </c>
      <c r="B7" s="29">
        <v>84303</v>
      </c>
      <c r="C7" s="29">
        <v>297078</v>
      </c>
      <c r="D7" s="29">
        <v>78472</v>
      </c>
      <c r="E7" s="29">
        <v>334305</v>
      </c>
      <c r="F7" s="29">
        <v>1427554</v>
      </c>
      <c r="G7" s="29">
        <v>1033278</v>
      </c>
      <c r="H7" s="29">
        <v>827957</v>
      </c>
      <c r="I7" s="29">
        <v>655778</v>
      </c>
      <c r="J7" s="29">
        <v>1211647</v>
      </c>
      <c r="K7" s="29">
        <v>599384</v>
      </c>
      <c r="L7" s="29">
        <v>631172</v>
      </c>
      <c r="M7" s="29">
        <v>469588</v>
      </c>
      <c r="N7" s="29">
        <v>3532778</v>
      </c>
      <c r="O7" s="29">
        <v>673142</v>
      </c>
      <c r="P7" s="29">
        <v>437806</v>
      </c>
      <c r="Q7" s="29">
        <v>2257420</v>
      </c>
      <c r="R7" s="29">
        <v>1068772</v>
      </c>
      <c r="S7" s="29">
        <v>359676</v>
      </c>
      <c r="T7" s="29">
        <v>1893574</v>
      </c>
      <c r="U7" s="29">
        <v>392314</v>
      </c>
      <c r="V7" s="29">
        <v>1902986</v>
      </c>
      <c r="W7" s="29">
        <v>309949</v>
      </c>
      <c r="X7" s="29">
        <v>67846</v>
      </c>
      <c r="Y7" s="29">
        <v>1652710</v>
      </c>
      <c r="Z7" s="29">
        <v>9165189</v>
      </c>
      <c r="AA7" s="29">
        <v>260375</v>
      </c>
      <c r="AB7" s="29">
        <v>214747</v>
      </c>
      <c r="AC7" s="17"/>
      <c r="AD7" s="49">
        <f t="shared" si="0"/>
        <v>31839800</v>
      </c>
    </row>
    <row r="8" spans="1:30" ht="15">
      <c r="A8" s="55" t="s">
        <v>85</v>
      </c>
      <c r="B8" s="29">
        <v>23292</v>
      </c>
      <c r="C8" s="29">
        <v>59223</v>
      </c>
      <c r="D8" s="29">
        <v>12865</v>
      </c>
      <c r="E8" s="29">
        <v>62686</v>
      </c>
      <c r="F8" s="29">
        <v>319789</v>
      </c>
      <c r="G8" s="29">
        <v>212474</v>
      </c>
      <c r="H8" s="29">
        <v>98152</v>
      </c>
      <c r="I8" s="29">
        <v>173836</v>
      </c>
      <c r="J8" s="29">
        <v>303695</v>
      </c>
      <c r="K8" s="29">
        <v>110454</v>
      </c>
      <c r="L8" s="29">
        <v>206779</v>
      </c>
      <c r="M8" s="29">
        <v>148963</v>
      </c>
      <c r="N8" s="29">
        <v>757684</v>
      </c>
      <c r="O8" s="29">
        <v>164210</v>
      </c>
      <c r="P8" s="29">
        <v>79555</v>
      </c>
      <c r="Q8" s="29">
        <v>649436</v>
      </c>
      <c r="R8" s="29">
        <v>218390</v>
      </c>
      <c r="S8" s="29">
        <v>81840</v>
      </c>
      <c r="T8" s="29">
        <v>342737</v>
      </c>
      <c r="U8" s="29">
        <v>83816</v>
      </c>
      <c r="V8" s="29">
        <v>547129</v>
      </c>
      <c r="W8" s="29">
        <v>83146</v>
      </c>
      <c r="X8" s="29">
        <v>16390</v>
      </c>
      <c r="Y8" s="29">
        <v>369818</v>
      </c>
      <c r="Z8" s="29">
        <v>1651983</v>
      </c>
      <c r="AA8" s="29">
        <v>50769</v>
      </c>
      <c r="AB8" s="29">
        <v>65573</v>
      </c>
      <c r="AC8" s="17"/>
      <c r="AD8" s="49">
        <f t="shared" si="0"/>
        <v>6894684</v>
      </c>
    </row>
    <row r="9" spans="1:30" ht="15">
      <c r="A9" s="81" t="s">
        <v>86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17"/>
      <c r="AD9" s="49">
        <f t="shared" si="0"/>
        <v>0</v>
      </c>
    </row>
    <row r="10" spans="1:30" ht="15">
      <c r="A10" s="55" t="s">
        <v>87</v>
      </c>
      <c r="B10" s="29"/>
      <c r="C10" s="29"/>
      <c r="D10" s="29"/>
      <c r="E10" s="29"/>
      <c r="F10" s="29">
        <v>4</v>
      </c>
      <c r="G10" s="29"/>
      <c r="H10" s="29">
        <v>2</v>
      </c>
      <c r="I10" s="29">
        <v>2</v>
      </c>
      <c r="J10" s="29">
        <v>1</v>
      </c>
      <c r="K10" s="29"/>
      <c r="L10" s="29"/>
      <c r="M10" s="29">
        <v>1</v>
      </c>
      <c r="N10" s="29">
        <v>1</v>
      </c>
      <c r="O10" s="29"/>
      <c r="P10" s="29"/>
      <c r="Q10" s="29"/>
      <c r="R10" s="29"/>
      <c r="S10" s="29"/>
      <c r="T10" s="29"/>
      <c r="U10" s="29"/>
      <c r="V10" s="29">
        <v>5</v>
      </c>
      <c r="W10" s="29">
        <v>1</v>
      </c>
      <c r="X10" s="29">
        <v>2</v>
      </c>
      <c r="Y10" s="29"/>
      <c r="Z10" s="29">
        <v>14</v>
      </c>
      <c r="AA10" s="29"/>
      <c r="AB10" s="29"/>
      <c r="AC10" s="17"/>
      <c r="AD10" s="49">
        <f t="shared" si="0"/>
        <v>33</v>
      </c>
    </row>
    <row r="11" spans="1:30" ht="15">
      <c r="A11" s="55" t="s">
        <v>88</v>
      </c>
      <c r="B11" s="29"/>
      <c r="C11" s="29"/>
      <c r="D11" s="29"/>
      <c r="E11" s="29">
        <v>1</v>
      </c>
      <c r="F11" s="29"/>
      <c r="G11" s="29">
        <v>1</v>
      </c>
      <c r="H11" s="29">
        <v>4</v>
      </c>
      <c r="I11" s="29">
        <v>2</v>
      </c>
      <c r="J11" s="29"/>
      <c r="K11" s="29"/>
      <c r="L11" s="29"/>
      <c r="M11" s="29"/>
      <c r="N11" s="29"/>
      <c r="O11" s="29">
        <v>1</v>
      </c>
      <c r="P11" s="29"/>
      <c r="Q11" s="29">
        <v>8</v>
      </c>
      <c r="R11" s="29"/>
      <c r="S11" s="29"/>
      <c r="T11" s="29">
        <v>7</v>
      </c>
      <c r="U11" s="29">
        <v>2</v>
      </c>
      <c r="V11" s="29"/>
      <c r="W11" s="29"/>
      <c r="X11" s="29"/>
      <c r="Y11" s="29"/>
      <c r="Z11" s="29">
        <v>12</v>
      </c>
      <c r="AA11" s="29">
        <v>1</v>
      </c>
      <c r="AB11" s="29"/>
      <c r="AC11" s="17"/>
      <c r="AD11" s="49">
        <f t="shared" si="0"/>
        <v>39</v>
      </c>
    </row>
    <row r="12" spans="1:30" ht="15">
      <c r="A12" s="55" t="s">
        <v>89</v>
      </c>
      <c r="B12" s="29"/>
      <c r="C12" s="29"/>
      <c r="D12" s="29"/>
      <c r="E12" s="29">
        <v>3</v>
      </c>
      <c r="F12" s="29">
        <v>3</v>
      </c>
      <c r="G12" s="29">
        <v>5</v>
      </c>
      <c r="H12" s="29">
        <v>5</v>
      </c>
      <c r="I12" s="29">
        <v>19</v>
      </c>
      <c r="J12" s="29"/>
      <c r="K12" s="29">
        <v>3</v>
      </c>
      <c r="L12" s="29"/>
      <c r="M12" s="29"/>
      <c r="N12" s="29">
        <v>21</v>
      </c>
      <c r="O12" s="29"/>
      <c r="P12" s="29">
        <v>1</v>
      </c>
      <c r="Q12" s="29">
        <v>7</v>
      </c>
      <c r="R12" s="29">
        <v>66</v>
      </c>
      <c r="S12" s="29"/>
      <c r="T12" s="29">
        <v>16</v>
      </c>
      <c r="U12" s="29"/>
      <c r="V12" s="29">
        <v>20</v>
      </c>
      <c r="W12" s="29"/>
      <c r="X12" s="29"/>
      <c r="Y12" s="29">
        <v>24</v>
      </c>
      <c r="Z12" s="29">
        <v>881</v>
      </c>
      <c r="AA12" s="29"/>
      <c r="AB12" s="29">
        <v>1</v>
      </c>
      <c r="AC12" s="17"/>
      <c r="AD12" s="49">
        <f t="shared" si="0"/>
        <v>1075</v>
      </c>
    </row>
    <row r="13" spans="1:30" ht="15">
      <c r="A13" s="55" t="s">
        <v>90</v>
      </c>
      <c r="B13" s="29">
        <v>13</v>
      </c>
      <c r="C13" s="29"/>
      <c r="D13" s="29">
        <v>9</v>
      </c>
      <c r="E13" s="29">
        <v>39</v>
      </c>
      <c r="F13" s="29">
        <v>14</v>
      </c>
      <c r="G13" s="29">
        <v>9</v>
      </c>
      <c r="H13" s="29">
        <v>29</v>
      </c>
      <c r="I13" s="29">
        <v>10</v>
      </c>
      <c r="J13" s="29">
        <v>43</v>
      </c>
      <c r="K13" s="29">
        <v>75</v>
      </c>
      <c r="L13" s="29">
        <v>216</v>
      </c>
      <c r="M13" s="29">
        <v>30</v>
      </c>
      <c r="N13" s="29">
        <v>86</v>
      </c>
      <c r="O13" s="29">
        <v>44</v>
      </c>
      <c r="P13" s="29"/>
      <c r="Q13" s="29">
        <v>219</v>
      </c>
      <c r="R13" s="29">
        <v>23</v>
      </c>
      <c r="S13" s="29">
        <v>28</v>
      </c>
      <c r="T13" s="29">
        <v>52</v>
      </c>
      <c r="U13" s="29"/>
      <c r="V13" s="29">
        <v>93</v>
      </c>
      <c r="W13" s="29">
        <v>30</v>
      </c>
      <c r="X13" s="29">
        <v>20</v>
      </c>
      <c r="Y13" s="29">
        <v>66</v>
      </c>
      <c r="Z13" s="29">
        <v>639</v>
      </c>
      <c r="AA13" s="29"/>
      <c r="AB13" s="29">
        <v>19</v>
      </c>
      <c r="AC13" s="17"/>
      <c r="AD13" s="49">
        <f t="shared" si="0"/>
        <v>1806</v>
      </c>
    </row>
    <row r="14" spans="1:30" ht="15">
      <c r="A14" s="81" t="s">
        <v>91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17"/>
      <c r="AD14" s="49">
        <f t="shared" si="0"/>
        <v>0</v>
      </c>
    </row>
    <row r="15" spans="1:30" ht="15">
      <c r="A15" s="55" t="s">
        <v>92</v>
      </c>
      <c r="B15" s="29"/>
      <c r="C15" s="29"/>
      <c r="D15" s="29"/>
      <c r="E15" s="29">
        <v>9</v>
      </c>
      <c r="F15" s="29">
        <v>18</v>
      </c>
      <c r="G15" s="29"/>
      <c r="H15" s="29">
        <v>2</v>
      </c>
      <c r="I15" s="29">
        <v>13</v>
      </c>
      <c r="J15" s="29">
        <v>26</v>
      </c>
      <c r="K15" s="29">
        <v>2</v>
      </c>
      <c r="L15" s="29">
        <v>5</v>
      </c>
      <c r="M15" s="29">
        <v>3</v>
      </c>
      <c r="N15" s="29">
        <v>11</v>
      </c>
      <c r="O15" s="29"/>
      <c r="P15" s="29">
        <v>3</v>
      </c>
      <c r="Q15" s="29">
        <v>24</v>
      </c>
      <c r="R15" s="29"/>
      <c r="S15" s="29">
        <v>2</v>
      </c>
      <c r="T15" s="29">
        <v>4</v>
      </c>
      <c r="U15" s="29">
        <v>2</v>
      </c>
      <c r="V15" s="29">
        <v>4</v>
      </c>
      <c r="W15" s="29"/>
      <c r="X15" s="29"/>
      <c r="Y15" s="29">
        <v>13</v>
      </c>
      <c r="Z15" s="29">
        <v>54</v>
      </c>
      <c r="AA15" s="29">
        <v>6</v>
      </c>
      <c r="AB15" s="29">
        <v>5</v>
      </c>
      <c r="AC15" s="17"/>
      <c r="AD15" s="49">
        <f t="shared" si="0"/>
        <v>206</v>
      </c>
    </row>
    <row r="16" spans="1:30" ht="15">
      <c r="A16" s="55" t="s">
        <v>93</v>
      </c>
      <c r="B16" s="29">
        <v>7</v>
      </c>
      <c r="C16" s="29">
        <v>4</v>
      </c>
      <c r="D16" s="29">
        <v>2</v>
      </c>
      <c r="E16" s="29"/>
      <c r="F16" s="29">
        <v>59</v>
      </c>
      <c r="G16" s="29">
        <v>381</v>
      </c>
      <c r="H16" s="29">
        <v>2</v>
      </c>
      <c r="I16" s="29">
        <v>4799</v>
      </c>
      <c r="J16" s="29">
        <v>90</v>
      </c>
      <c r="K16" s="29">
        <v>7</v>
      </c>
      <c r="L16" s="29">
        <v>13</v>
      </c>
      <c r="M16" s="29">
        <v>36</v>
      </c>
      <c r="N16" s="29">
        <v>73</v>
      </c>
      <c r="O16" s="29"/>
      <c r="P16" s="29">
        <v>35</v>
      </c>
      <c r="Q16" s="29"/>
      <c r="R16" s="29">
        <v>18</v>
      </c>
      <c r="S16" s="29">
        <v>17</v>
      </c>
      <c r="T16" s="29">
        <v>17</v>
      </c>
      <c r="U16" s="29">
        <v>48</v>
      </c>
      <c r="V16" s="29"/>
      <c r="W16" s="29">
        <v>2</v>
      </c>
      <c r="X16" s="29">
        <v>3</v>
      </c>
      <c r="Y16" s="29">
        <v>32</v>
      </c>
      <c r="Z16" s="29">
        <v>8126</v>
      </c>
      <c r="AA16" s="29"/>
      <c r="AB16" s="29">
        <v>181</v>
      </c>
      <c r="AC16" s="17"/>
      <c r="AD16" s="49">
        <f t="shared" si="0"/>
        <v>13952</v>
      </c>
    </row>
    <row r="17" spans="1:61" ht="15">
      <c r="A17" s="55" t="s">
        <v>94</v>
      </c>
      <c r="B17" s="29">
        <v>130392</v>
      </c>
      <c r="C17" s="29">
        <v>315360</v>
      </c>
      <c r="D17" s="29">
        <v>82136</v>
      </c>
      <c r="E17" s="29">
        <v>377736</v>
      </c>
      <c r="F17" s="29">
        <v>1748483</v>
      </c>
      <c r="G17" s="29">
        <v>1442890</v>
      </c>
      <c r="H17" s="29">
        <v>655817</v>
      </c>
      <c r="I17" s="29">
        <v>813774</v>
      </c>
      <c r="J17" s="29">
        <v>1718378</v>
      </c>
      <c r="K17" s="29">
        <v>761809</v>
      </c>
      <c r="L17" s="29">
        <v>864650</v>
      </c>
      <c r="M17" s="29">
        <v>698383</v>
      </c>
      <c r="N17" s="29">
        <v>5043377</v>
      </c>
      <c r="O17" s="29">
        <v>877825</v>
      </c>
      <c r="P17" s="29">
        <v>575967</v>
      </c>
      <c r="Q17" s="29">
        <v>3395164</v>
      </c>
      <c r="R17" s="29">
        <v>1288836</v>
      </c>
      <c r="S17" s="29">
        <v>584991</v>
      </c>
      <c r="T17" s="29">
        <v>2557683</v>
      </c>
      <c r="U17" s="29">
        <v>581230</v>
      </c>
      <c r="V17" s="29">
        <v>3574545</v>
      </c>
      <c r="W17" s="29">
        <v>458997</v>
      </c>
      <c r="X17" s="29">
        <v>107479</v>
      </c>
      <c r="Y17" s="29">
        <v>2280405</v>
      </c>
      <c r="Z17" s="29">
        <v>13411071</v>
      </c>
      <c r="AA17" s="29">
        <v>321640</v>
      </c>
      <c r="AB17" s="29">
        <v>306212</v>
      </c>
      <c r="AC17" s="17"/>
      <c r="AD17" s="49">
        <f t="shared" si="0"/>
        <v>44975230</v>
      </c>
    </row>
    <row r="18" spans="1:61" ht="15">
      <c r="A18" s="81" t="s">
        <v>95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17"/>
      <c r="AD18" s="49">
        <f t="shared" si="0"/>
        <v>0</v>
      </c>
    </row>
    <row r="19" spans="1:61" ht="15">
      <c r="A19" s="55" t="s">
        <v>96</v>
      </c>
      <c r="B19" s="29">
        <v>5</v>
      </c>
      <c r="C19" s="29">
        <v>7360</v>
      </c>
      <c r="D19" s="29">
        <v>1</v>
      </c>
      <c r="E19" s="29">
        <v>1550</v>
      </c>
      <c r="F19" s="29">
        <v>21285</v>
      </c>
      <c r="G19" s="29">
        <v>13824</v>
      </c>
      <c r="H19" s="29">
        <v>836</v>
      </c>
      <c r="I19" s="29">
        <v>8349</v>
      </c>
      <c r="J19" s="29">
        <v>951</v>
      </c>
      <c r="K19" s="29">
        <v>61</v>
      </c>
      <c r="L19" s="29">
        <v>491</v>
      </c>
      <c r="M19" s="29">
        <v>716</v>
      </c>
      <c r="N19" s="29">
        <v>6323</v>
      </c>
      <c r="O19" s="29">
        <v>65</v>
      </c>
      <c r="P19" s="29">
        <v>6100</v>
      </c>
      <c r="Q19" s="29">
        <v>10371</v>
      </c>
      <c r="R19" s="29">
        <v>14020</v>
      </c>
      <c r="S19" s="29">
        <v>238</v>
      </c>
      <c r="T19" s="29">
        <v>384826</v>
      </c>
      <c r="U19" s="29">
        <v>10275</v>
      </c>
      <c r="V19" s="29">
        <v>17288</v>
      </c>
      <c r="W19" s="29">
        <v>20</v>
      </c>
      <c r="X19" s="29">
        <v>15</v>
      </c>
      <c r="Y19" s="29">
        <v>23846</v>
      </c>
      <c r="Z19" s="29">
        <v>40679</v>
      </c>
      <c r="AA19" s="29">
        <v>7320</v>
      </c>
      <c r="AB19" s="29">
        <v>84</v>
      </c>
      <c r="AC19" s="17"/>
      <c r="AD19" s="49">
        <f t="shared" si="0"/>
        <v>576899</v>
      </c>
    </row>
    <row r="20" spans="1:61" ht="15">
      <c r="A20" s="55" t="s">
        <v>97</v>
      </c>
      <c r="B20" s="29">
        <v>3</v>
      </c>
      <c r="C20" s="29">
        <v>2</v>
      </c>
      <c r="D20" s="29">
        <v>3</v>
      </c>
      <c r="E20" s="29">
        <v>27</v>
      </c>
      <c r="F20" s="29">
        <v>153</v>
      </c>
      <c r="G20" s="29">
        <v>30</v>
      </c>
      <c r="H20" s="29">
        <v>146</v>
      </c>
      <c r="I20" s="29">
        <v>59</v>
      </c>
      <c r="J20" s="29">
        <v>74</v>
      </c>
      <c r="K20" s="29">
        <v>16</v>
      </c>
      <c r="L20" s="29">
        <v>11</v>
      </c>
      <c r="M20" s="29">
        <v>28</v>
      </c>
      <c r="N20" s="29">
        <v>181</v>
      </c>
      <c r="O20" s="29">
        <v>35</v>
      </c>
      <c r="P20" s="29">
        <v>7</v>
      </c>
      <c r="Q20" s="29">
        <v>237</v>
      </c>
      <c r="R20" s="29">
        <v>29</v>
      </c>
      <c r="S20" s="29">
        <v>13</v>
      </c>
      <c r="T20" s="29">
        <v>228</v>
      </c>
      <c r="U20" s="29">
        <v>11</v>
      </c>
      <c r="V20" s="29">
        <v>225</v>
      </c>
      <c r="W20" s="29">
        <v>4</v>
      </c>
      <c r="X20" s="29">
        <v>1</v>
      </c>
      <c r="Y20" s="29">
        <v>224</v>
      </c>
      <c r="Z20" s="29">
        <v>995</v>
      </c>
      <c r="AA20" s="29">
        <v>23</v>
      </c>
      <c r="AB20" s="29">
        <v>5</v>
      </c>
      <c r="AC20" s="17"/>
      <c r="AD20" s="49">
        <f t="shared" si="0"/>
        <v>2770</v>
      </c>
    </row>
    <row r="21" spans="1:61" ht="15">
      <c r="A21" s="55" t="s">
        <v>98</v>
      </c>
      <c r="B21" s="29">
        <v>9</v>
      </c>
      <c r="C21" s="29">
        <v>10164</v>
      </c>
      <c r="D21" s="29">
        <v>4</v>
      </c>
      <c r="E21" s="29">
        <v>508</v>
      </c>
      <c r="F21" s="29">
        <v>25806</v>
      </c>
      <c r="G21" s="29">
        <v>22335</v>
      </c>
      <c r="H21" s="29">
        <v>807</v>
      </c>
      <c r="I21" s="29">
        <v>19184</v>
      </c>
      <c r="J21" s="29">
        <v>3035</v>
      </c>
      <c r="K21" s="29">
        <v>150</v>
      </c>
      <c r="L21" s="29">
        <v>878</v>
      </c>
      <c r="M21" s="29">
        <v>4546</v>
      </c>
      <c r="N21" s="29">
        <v>23274</v>
      </c>
      <c r="O21" s="29">
        <v>222</v>
      </c>
      <c r="P21" s="29">
        <v>14140</v>
      </c>
      <c r="Q21" s="29">
        <v>24272</v>
      </c>
      <c r="R21" s="29">
        <v>29570</v>
      </c>
      <c r="S21" s="29">
        <v>376</v>
      </c>
      <c r="T21" s="29">
        <v>663934</v>
      </c>
      <c r="U21" s="29">
        <v>31657</v>
      </c>
      <c r="V21" s="29">
        <v>42751</v>
      </c>
      <c r="W21" s="29">
        <v>61</v>
      </c>
      <c r="X21" s="29">
        <v>22</v>
      </c>
      <c r="Y21" s="29">
        <v>63074</v>
      </c>
      <c r="Z21" s="29">
        <v>223712</v>
      </c>
      <c r="AA21" s="29">
        <v>11895</v>
      </c>
      <c r="AB21" s="29">
        <v>144</v>
      </c>
      <c r="AC21" s="17"/>
      <c r="AD21" s="49">
        <f t="shared" si="0"/>
        <v>1216530</v>
      </c>
    </row>
    <row r="22" spans="1:61">
      <c r="A22" s="7"/>
      <c r="B22" s="17"/>
      <c r="C22" s="17"/>
      <c r="AC22" s="17"/>
      <c r="AD22" s="48"/>
    </row>
    <row r="23" spans="1:61">
      <c r="A23" s="1" t="s">
        <v>99</v>
      </c>
      <c r="B23" s="52">
        <f t="shared" ref="B23:AB23" si="1">SUM(B4:B21)</f>
        <v>241629</v>
      </c>
      <c r="C23" s="52">
        <f t="shared" si="1"/>
        <v>714174</v>
      </c>
      <c r="D23" s="52">
        <f t="shared" si="1"/>
        <v>174926</v>
      </c>
      <c r="E23" s="52">
        <f t="shared" si="1"/>
        <v>793111</v>
      </c>
      <c r="F23" s="52">
        <f t="shared" si="1"/>
        <v>3643085</v>
      </c>
      <c r="G23" s="52">
        <f t="shared" si="1"/>
        <v>2790368</v>
      </c>
      <c r="H23" s="52">
        <f t="shared" si="1"/>
        <v>1641821</v>
      </c>
      <c r="I23" s="52">
        <f t="shared" si="1"/>
        <v>1730884</v>
      </c>
      <c r="J23" s="52">
        <f t="shared" si="1"/>
        <v>3397410</v>
      </c>
      <c r="K23" s="52">
        <f t="shared" si="1"/>
        <v>1485683</v>
      </c>
      <c r="L23" s="52">
        <f t="shared" si="1"/>
        <v>1752068</v>
      </c>
      <c r="M23" s="52">
        <f t="shared" si="1"/>
        <v>1375840</v>
      </c>
      <c r="N23" s="52">
        <f t="shared" si="1"/>
        <v>9800320</v>
      </c>
      <c r="O23" s="52">
        <f t="shared" si="1"/>
        <v>1739328</v>
      </c>
      <c r="P23" s="52">
        <f t="shared" si="1"/>
        <v>1144744</v>
      </c>
      <c r="Q23" s="52">
        <f t="shared" si="1"/>
        <v>6758050</v>
      </c>
      <c r="R23" s="52">
        <f t="shared" si="1"/>
        <v>2715722</v>
      </c>
      <c r="S23" s="52">
        <f t="shared" si="1"/>
        <v>1045512</v>
      </c>
      <c r="T23" s="52">
        <f t="shared" si="1"/>
        <v>6204501</v>
      </c>
      <c r="U23" s="52">
        <f t="shared" si="1"/>
        <v>1134178</v>
      </c>
      <c r="V23" s="52">
        <f t="shared" si="1"/>
        <v>6284507</v>
      </c>
      <c r="W23" s="52">
        <f t="shared" si="1"/>
        <v>862524</v>
      </c>
      <c r="X23" s="52">
        <f t="shared" si="1"/>
        <v>193219</v>
      </c>
      <c r="Y23" s="52">
        <f t="shared" si="1"/>
        <v>4526858</v>
      </c>
      <c r="Z23" s="52">
        <f t="shared" si="1"/>
        <v>26353107</v>
      </c>
      <c r="AA23" s="52">
        <f t="shared" si="1"/>
        <v>671963</v>
      </c>
      <c r="AB23" s="52">
        <f t="shared" si="1"/>
        <v>597841</v>
      </c>
      <c r="AC23" s="8"/>
      <c r="AD23" s="49">
        <f>IF((SUM(AD4:AD21)=SUM(B23:AB23)),(SUM(B23:AB23)),"erro")</f>
        <v>89773373</v>
      </c>
    </row>
    <row r="24" spans="1:6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61">
      <c r="A25" s="99" t="s">
        <v>100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61" s="5" customFormat="1">
      <c r="A26" s="100"/>
      <c r="B26" s="6" t="s">
        <v>53</v>
      </c>
      <c r="C26" s="6" t="s">
        <v>54</v>
      </c>
      <c r="D26" s="6" t="s">
        <v>55</v>
      </c>
      <c r="E26" s="6" t="s">
        <v>56</v>
      </c>
      <c r="F26" s="6" t="s">
        <v>57</v>
      </c>
      <c r="G26" s="6" t="s">
        <v>58</v>
      </c>
      <c r="H26" s="6" t="s">
        <v>59</v>
      </c>
      <c r="I26" s="6" t="s">
        <v>60</v>
      </c>
      <c r="J26" s="6" t="s">
        <v>61</v>
      </c>
      <c r="K26" s="6" t="s">
        <v>62</v>
      </c>
      <c r="L26" s="6" t="s">
        <v>63</v>
      </c>
      <c r="M26" s="6" t="s">
        <v>64</v>
      </c>
      <c r="N26" s="6" t="s">
        <v>65</v>
      </c>
      <c r="O26" s="6" t="s">
        <v>66</v>
      </c>
      <c r="P26" s="6" t="s">
        <v>67</v>
      </c>
      <c r="Q26" s="6" t="s">
        <v>68</v>
      </c>
      <c r="R26" s="6" t="s">
        <v>69</v>
      </c>
      <c r="S26" s="6" t="s">
        <v>70</v>
      </c>
      <c r="T26" s="6" t="s">
        <v>71</v>
      </c>
      <c r="U26" s="6" t="s">
        <v>72</v>
      </c>
      <c r="V26" s="6" t="s">
        <v>73</v>
      </c>
      <c r="W26" s="6" t="s">
        <v>74</v>
      </c>
      <c r="X26" s="6" t="s">
        <v>75</v>
      </c>
      <c r="Y26" s="6" t="s">
        <v>76</v>
      </c>
      <c r="Z26" s="6" t="s">
        <v>77</v>
      </c>
      <c r="AA26" s="6" t="s">
        <v>78</v>
      </c>
      <c r="AB26" s="6" t="s">
        <v>79</v>
      </c>
      <c r="AD26" s="6" t="s">
        <v>80</v>
      </c>
    </row>
    <row r="27" spans="1:61">
      <c r="A27" s="56" t="s">
        <v>81</v>
      </c>
      <c r="B27" s="47">
        <f t="shared" ref="B27:AB27" si="2">B4+B5</f>
        <v>3605</v>
      </c>
      <c r="C27" s="47">
        <f t="shared" si="2"/>
        <v>24005</v>
      </c>
      <c r="D27" s="47">
        <f t="shared" si="2"/>
        <v>1433</v>
      </c>
      <c r="E27" s="47">
        <f t="shared" si="2"/>
        <v>16201</v>
      </c>
      <c r="F27" s="47">
        <f t="shared" si="2"/>
        <v>98291</v>
      </c>
      <c r="G27" s="47">
        <f t="shared" si="2"/>
        <v>62709</v>
      </c>
      <c r="H27" s="47">
        <f t="shared" si="2"/>
        <v>58035</v>
      </c>
      <c r="I27" s="47">
        <f t="shared" si="2"/>
        <v>53677</v>
      </c>
      <c r="J27" s="47">
        <f t="shared" si="2"/>
        <v>159272</v>
      </c>
      <c r="K27" s="47">
        <f t="shared" si="2"/>
        <v>13712</v>
      </c>
      <c r="L27" s="47">
        <f t="shared" si="2"/>
        <v>47773</v>
      </c>
      <c r="M27" s="47">
        <f t="shared" si="2"/>
        <v>53323</v>
      </c>
      <c r="N27" s="47">
        <f t="shared" si="2"/>
        <v>433944</v>
      </c>
      <c r="O27" s="47">
        <f t="shared" si="2"/>
        <v>23772</v>
      </c>
      <c r="P27" s="47">
        <f t="shared" si="2"/>
        <v>29250</v>
      </c>
      <c r="Q27" s="47">
        <f t="shared" si="2"/>
        <v>419274</v>
      </c>
      <c r="R27" s="47">
        <f t="shared" si="2"/>
        <v>93915</v>
      </c>
      <c r="S27" s="47">
        <f t="shared" si="2"/>
        <v>18306</v>
      </c>
      <c r="T27" s="47">
        <f t="shared" si="2"/>
        <v>308885</v>
      </c>
      <c r="U27" s="47">
        <f t="shared" si="2"/>
        <v>30022</v>
      </c>
      <c r="V27" s="47">
        <f t="shared" si="2"/>
        <v>197351</v>
      </c>
      <c r="W27" s="47">
        <f t="shared" si="2"/>
        <v>10312</v>
      </c>
      <c r="X27" s="47">
        <f t="shared" si="2"/>
        <v>1440</v>
      </c>
      <c r="Y27" s="47">
        <f t="shared" si="2"/>
        <v>132782</v>
      </c>
      <c r="Z27" s="47">
        <f t="shared" si="2"/>
        <v>1836413</v>
      </c>
      <c r="AA27" s="47">
        <f t="shared" si="2"/>
        <v>18425</v>
      </c>
      <c r="AB27" s="47">
        <f t="shared" si="2"/>
        <v>10863</v>
      </c>
      <c r="AC27" s="48"/>
      <c r="AD27" s="49">
        <f t="shared" ref="AD27:AD32" si="3">SUM(B27:AB27)</f>
        <v>4156990</v>
      </c>
      <c r="AH27" s="7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</row>
    <row r="28" spans="1:61">
      <c r="A28" s="56" t="s">
        <v>84</v>
      </c>
      <c r="B28" s="47">
        <f t="shared" ref="B28:AB28" si="4">B7</f>
        <v>84303</v>
      </c>
      <c r="C28" s="47">
        <f t="shared" si="4"/>
        <v>297078</v>
      </c>
      <c r="D28" s="47">
        <f t="shared" si="4"/>
        <v>78472</v>
      </c>
      <c r="E28" s="47">
        <f t="shared" si="4"/>
        <v>334305</v>
      </c>
      <c r="F28" s="47">
        <f t="shared" si="4"/>
        <v>1427554</v>
      </c>
      <c r="G28" s="47">
        <f t="shared" si="4"/>
        <v>1033278</v>
      </c>
      <c r="H28" s="47">
        <f t="shared" si="4"/>
        <v>827957</v>
      </c>
      <c r="I28" s="47">
        <f t="shared" si="4"/>
        <v>655778</v>
      </c>
      <c r="J28" s="47">
        <f t="shared" si="4"/>
        <v>1211647</v>
      </c>
      <c r="K28" s="47">
        <f t="shared" si="4"/>
        <v>599384</v>
      </c>
      <c r="L28" s="47">
        <f t="shared" si="4"/>
        <v>631172</v>
      </c>
      <c r="M28" s="47">
        <f t="shared" si="4"/>
        <v>469588</v>
      </c>
      <c r="N28" s="47">
        <f t="shared" si="4"/>
        <v>3532778</v>
      </c>
      <c r="O28" s="47">
        <f t="shared" si="4"/>
        <v>673142</v>
      </c>
      <c r="P28" s="47">
        <f t="shared" si="4"/>
        <v>437806</v>
      </c>
      <c r="Q28" s="47">
        <f t="shared" si="4"/>
        <v>2257420</v>
      </c>
      <c r="R28" s="47">
        <f t="shared" si="4"/>
        <v>1068772</v>
      </c>
      <c r="S28" s="47">
        <f t="shared" si="4"/>
        <v>359676</v>
      </c>
      <c r="T28" s="47">
        <f t="shared" si="4"/>
        <v>1893574</v>
      </c>
      <c r="U28" s="47">
        <f t="shared" si="4"/>
        <v>392314</v>
      </c>
      <c r="V28" s="47">
        <f t="shared" si="4"/>
        <v>1902986</v>
      </c>
      <c r="W28" s="47">
        <f t="shared" si="4"/>
        <v>309949</v>
      </c>
      <c r="X28" s="47">
        <f t="shared" si="4"/>
        <v>67846</v>
      </c>
      <c r="Y28" s="47">
        <f t="shared" si="4"/>
        <v>1652710</v>
      </c>
      <c r="Z28" s="47">
        <f t="shared" si="4"/>
        <v>9165189</v>
      </c>
      <c r="AA28" s="47">
        <f t="shared" si="4"/>
        <v>260375</v>
      </c>
      <c r="AB28" s="47">
        <f t="shared" si="4"/>
        <v>214747</v>
      </c>
      <c r="AC28" s="48"/>
      <c r="AD28" s="49">
        <f t="shared" si="3"/>
        <v>31839800</v>
      </c>
      <c r="AH28" s="7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</row>
    <row r="29" spans="1:61">
      <c r="A29" s="56" t="s">
        <v>85</v>
      </c>
      <c r="B29" s="47">
        <f t="shared" ref="B29:AB29" si="5">B8++B10</f>
        <v>23292</v>
      </c>
      <c r="C29" s="47">
        <f t="shared" si="5"/>
        <v>59223</v>
      </c>
      <c r="D29" s="47">
        <f t="shared" si="5"/>
        <v>12865</v>
      </c>
      <c r="E29" s="47">
        <f t="shared" si="5"/>
        <v>62686</v>
      </c>
      <c r="F29" s="47">
        <f t="shared" si="5"/>
        <v>319793</v>
      </c>
      <c r="G29" s="47">
        <f t="shared" si="5"/>
        <v>212474</v>
      </c>
      <c r="H29" s="47">
        <f t="shared" si="5"/>
        <v>98154</v>
      </c>
      <c r="I29" s="47">
        <f t="shared" si="5"/>
        <v>173838</v>
      </c>
      <c r="J29" s="47">
        <f t="shared" si="5"/>
        <v>303696</v>
      </c>
      <c r="K29" s="47">
        <f t="shared" si="5"/>
        <v>110454</v>
      </c>
      <c r="L29" s="47">
        <f t="shared" si="5"/>
        <v>206779</v>
      </c>
      <c r="M29" s="47">
        <f t="shared" si="5"/>
        <v>148964</v>
      </c>
      <c r="N29" s="47">
        <f t="shared" si="5"/>
        <v>757685</v>
      </c>
      <c r="O29" s="47">
        <f t="shared" si="5"/>
        <v>164210</v>
      </c>
      <c r="P29" s="47">
        <f t="shared" si="5"/>
        <v>79555</v>
      </c>
      <c r="Q29" s="47">
        <f t="shared" si="5"/>
        <v>649436</v>
      </c>
      <c r="R29" s="47">
        <f t="shared" si="5"/>
        <v>218390</v>
      </c>
      <c r="S29" s="47">
        <f t="shared" si="5"/>
        <v>81840</v>
      </c>
      <c r="T29" s="47">
        <f t="shared" si="5"/>
        <v>342737</v>
      </c>
      <c r="U29" s="47">
        <f t="shared" si="5"/>
        <v>83816</v>
      </c>
      <c r="V29" s="47">
        <f t="shared" si="5"/>
        <v>547134</v>
      </c>
      <c r="W29" s="47">
        <f t="shared" si="5"/>
        <v>83147</v>
      </c>
      <c r="X29" s="47">
        <f t="shared" si="5"/>
        <v>16392</v>
      </c>
      <c r="Y29" s="47">
        <f t="shared" si="5"/>
        <v>369818</v>
      </c>
      <c r="Z29" s="47">
        <f t="shared" si="5"/>
        <v>1651997</v>
      </c>
      <c r="AA29" s="47">
        <f t="shared" si="5"/>
        <v>50769</v>
      </c>
      <c r="AB29" s="47">
        <f t="shared" si="5"/>
        <v>65573</v>
      </c>
      <c r="AC29" s="48"/>
      <c r="AD29" s="49">
        <f t="shared" si="3"/>
        <v>6894717</v>
      </c>
      <c r="AH29" s="7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</row>
    <row r="30" spans="1:61">
      <c r="A30" s="56" t="s">
        <v>101</v>
      </c>
      <c r="B30" s="47">
        <f t="shared" ref="B30:AB30" si="6">B9+B12+B13+B14+B18+B20</f>
        <v>16</v>
      </c>
      <c r="C30" s="47">
        <f t="shared" si="6"/>
        <v>2</v>
      </c>
      <c r="D30" s="47">
        <f t="shared" si="6"/>
        <v>12</v>
      </c>
      <c r="E30" s="47">
        <f t="shared" si="6"/>
        <v>69</v>
      </c>
      <c r="F30" s="47">
        <f t="shared" si="6"/>
        <v>170</v>
      </c>
      <c r="G30" s="47">
        <f t="shared" si="6"/>
        <v>44</v>
      </c>
      <c r="H30" s="47">
        <f t="shared" si="6"/>
        <v>180</v>
      </c>
      <c r="I30" s="47">
        <f t="shared" si="6"/>
        <v>88</v>
      </c>
      <c r="J30" s="47">
        <f t="shared" si="6"/>
        <v>117</v>
      </c>
      <c r="K30" s="47">
        <f t="shared" si="6"/>
        <v>94</v>
      </c>
      <c r="L30" s="47">
        <f t="shared" si="6"/>
        <v>227</v>
      </c>
      <c r="M30" s="47">
        <f t="shared" si="6"/>
        <v>58</v>
      </c>
      <c r="N30" s="47">
        <f t="shared" si="6"/>
        <v>288</v>
      </c>
      <c r="O30" s="47">
        <f t="shared" si="6"/>
        <v>79</v>
      </c>
      <c r="P30" s="47">
        <f t="shared" si="6"/>
        <v>8</v>
      </c>
      <c r="Q30" s="47">
        <f t="shared" si="6"/>
        <v>463</v>
      </c>
      <c r="R30" s="47">
        <f t="shared" si="6"/>
        <v>118</v>
      </c>
      <c r="S30" s="47">
        <f t="shared" si="6"/>
        <v>41</v>
      </c>
      <c r="T30" s="47">
        <f t="shared" si="6"/>
        <v>296</v>
      </c>
      <c r="U30" s="47">
        <f t="shared" si="6"/>
        <v>11</v>
      </c>
      <c r="V30" s="47">
        <f t="shared" si="6"/>
        <v>338</v>
      </c>
      <c r="W30" s="47">
        <f t="shared" si="6"/>
        <v>34</v>
      </c>
      <c r="X30" s="47">
        <f t="shared" si="6"/>
        <v>21</v>
      </c>
      <c r="Y30" s="47">
        <f t="shared" si="6"/>
        <v>314</v>
      </c>
      <c r="Z30" s="47">
        <f t="shared" si="6"/>
        <v>2515</v>
      </c>
      <c r="AA30" s="47">
        <f t="shared" si="6"/>
        <v>23</v>
      </c>
      <c r="AB30" s="47">
        <f t="shared" si="6"/>
        <v>25</v>
      </c>
      <c r="AC30" s="48"/>
      <c r="AD30" s="49">
        <f t="shared" si="3"/>
        <v>5651</v>
      </c>
      <c r="AH30" s="7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</row>
    <row r="31" spans="1:61">
      <c r="A31" s="56" t="s">
        <v>16</v>
      </c>
      <c r="B31" s="47">
        <f t="shared" ref="B31:AB31" si="7">B6+B11+B15+B19+B21</f>
        <v>14</v>
      </c>
      <c r="C31" s="47">
        <f t="shared" si="7"/>
        <v>18502</v>
      </c>
      <c r="D31" s="47">
        <f t="shared" si="7"/>
        <v>6</v>
      </c>
      <c r="E31" s="47">
        <f t="shared" si="7"/>
        <v>2114</v>
      </c>
      <c r="F31" s="47">
        <f t="shared" si="7"/>
        <v>48735</v>
      </c>
      <c r="G31" s="47">
        <f t="shared" si="7"/>
        <v>38592</v>
      </c>
      <c r="H31" s="47">
        <f t="shared" si="7"/>
        <v>1676</v>
      </c>
      <c r="I31" s="47">
        <f t="shared" si="7"/>
        <v>28930</v>
      </c>
      <c r="J31" s="47">
        <f t="shared" si="7"/>
        <v>4210</v>
      </c>
      <c r="K31" s="47">
        <f t="shared" si="7"/>
        <v>223</v>
      </c>
      <c r="L31" s="47">
        <f t="shared" si="7"/>
        <v>1454</v>
      </c>
      <c r="M31" s="47">
        <f t="shared" si="7"/>
        <v>5488</v>
      </c>
      <c r="N31" s="47">
        <f t="shared" si="7"/>
        <v>32175</v>
      </c>
      <c r="O31" s="47">
        <f t="shared" si="7"/>
        <v>300</v>
      </c>
      <c r="P31" s="47">
        <f t="shared" si="7"/>
        <v>22123</v>
      </c>
      <c r="Q31" s="47">
        <f t="shared" si="7"/>
        <v>36293</v>
      </c>
      <c r="R31" s="47">
        <f t="shared" si="7"/>
        <v>45673</v>
      </c>
      <c r="S31" s="47">
        <f t="shared" si="7"/>
        <v>641</v>
      </c>
      <c r="T31" s="47">
        <f t="shared" si="7"/>
        <v>1101309</v>
      </c>
      <c r="U31" s="47">
        <f t="shared" si="7"/>
        <v>46737</v>
      </c>
      <c r="V31" s="47">
        <f t="shared" si="7"/>
        <v>62153</v>
      </c>
      <c r="W31" s="47">
        <f t="shared" si="7"/>
        <v>83</v>
      </c>
      <c r="X31" s="47">
        <f t="shared" si="7"/>
        <v>38</v>
      </c>
      <c r="Y31" s="47">
        <f t="shared" si="7"/>
        <v>90797</v>
      </c>
      <c r="Z31" s="47">
        <f t="shared" si="7"/>
        <v>277796</v>
      </c>
      <c r="AA31" s="47">
        <f t="shared" si="7"/>
        <v>20731</v>
      </c>
      <c r="AB31" s="47">
        <f t="shared" si="7"/>
        <v>240</v>
      </c>
      <c r="AC31" s="48"/>
      <c r="AD31" s="49">
        <f t="shared" si="3"/>
        <v>1887033</v>
      </c>
      <c r="AH31" s="7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</row>
    <row r="32" spans="1:61">
      <c r="A32" s="56" t="s">
        <v>94</v>
      </c>
      <c r="B32" s="47">
        <f t="shared" ref="B32:AB32" si="8">B16+B17</f>
        <v>130399</v>
      </c>
      <c r="C32" s="47">
        <f t="shared" si="8"/>
        <v>315364</v>
      </c>
      <c r="D32" s="47">
        <f t="shared" si="8"/>
        <v>82138</v>
      </c>
      <c r="E32" s="47">
        <f t="shared" si="8"/>
        <v>377736</v>
      </c>
      <c r="F32" s="47">
        <f t="shared" si="8"/>
        <v>1748542</v>
      </c>
      <c r="G32" s="47">
        <f t="shared" si="8"/>
        <v>1443271</v>
      </c>
      <c r="H32" s="47">
        <f t="shared" si="8"/>
        <v>655819</v>
      </c>
      <c r="I32" s="47">
        <f t="shared" si="8"/>
        <v>818573</v>
      </c>
      <c r="J32" s="47">
        <f t="shared" si="8"/>
        <v>1718468</v>
      </c>
      <c r="K32" s="47">
        <f t="shared" si="8"/>
        <v>761816</v>
      </c>
      <c r="L32" s="47">
        <f t="shared" si="8"/>
        <v>864663</v>
      </c>
      <c r="M32" s="47">
        <f t="shared" si="8"/>
        <v>698419</v>
      </c>
      <c r="N32" s="47">
        <f t="shared" si="8"/>
        <v>5043450</v>
      </c>
      <c r="O32" s="47">
        <f t="shared" si="8"/>
        <v>877825</v>
      </c>
      <c r="P32" s="47">
        <f t="shared" si="8"/>
        <v>576002</v>
      </c>
      <c r="Q32" s="47">
        <f t="shared" si="8"/>
        <v>3395164</v>
      </c>
      <c r="R32" s="47">
        <f t="shared" si="8"/>
        <v>1288854</v>
      </c>
      <c r="S32" s="47">
        <f t="shared" si="8"/>
        <v>585008</v>
      </c>
      <c r="T32" s="47">
        <f t="shared" si="8"/>
        <v>2557700</v>
      </c>
      <c r="U32" s="47">
        <f t="shared" si="8"/>
        <v>581278</v>
      </c>
      <c r="V32" s="47">
        <f t="shared" si="8"/>
        <v>3574545</v>
      </c>
      <c r="W32" s="47">
        <f t="shared" si="8"/>
        <v>458999</v>
      </c>
      <c r="X32" s="47">
        <f t="shared" si="8"/>
        <v>107482</v>
      </c>
      <c r="Y32" s="47">
        <f t="shared" si="8"/>
        <v>2280437</v>
      </c>
      <c r="Z32" s="47">
        <f t="shared" si="8"/>
        <v>13419197</v>
      </c>
      <c r="AA32" s="47">
        <f t="shared" si="8"/>
        <v>321640</v>
      </c>
      <c r="AB32" s="47">
        <f t="shared" si="8"/>
        <v>306393</v>
      </c>
      <c r="AC32" s="48"/>
      <c r="AD32" s="49">
        <f t="shared" si="3"/>
        <v>44989182</v>
      </c>
      <c r="AH32" s="7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</row>
    <row r="33" spans="1:61">
      <c r="A33" s="57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50"/>
      <c r="AH33" s="7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</row>
    <row r="34" spans="1:61">
      <c r="A34" s="1" t="s">
        <v>99</v>
      </c>
      <c r="B34" s="49">
        <f t="shared" ref="B34:AB34" si="9">SUM(B27:B32)</f>
        <v>241629</v>
      </c>
      <c r="C34" s="49">
        <f t="shared" si="9"/>
        <v>714174</v>
      </c>
      <c r="D34" s="49">
        <f t="shared" si="9"/>
        <v>174926</v>
      </c>
      <c r="E34" s="49">
        <f t="shared" si="9"/>
        <v>793111</v>
      </c>
      <c r="F34" s="49">
        <f t="shared" si="9"/>
        <v>3643085</v>
      </c>
      <c r="G34" s="49">
        <f t="shared" si="9"/>
        <v>2790368</v>
      </c>
      <c r="H34" s="49">
        <f t="shared" si="9"/>
        <v>1641821</v>
      </c>
      <c r="I34" s="49">
        <f t="shared" si="9"/>
        <v>1730884</v>
      </c>
      <c r="J34" s="49">
        <f t="shared" si="9"/>
        <v>3397410</v>
      </c>
      <c r="K34" s="49">
        <f t="shared" si="9"/>
        <v>1485683</v>
      </c>
      <c r="L34" s="49">
        <f t="shared" si="9"/>
        <v>1752068</v>
      </c>
      <c r="M34" s="49">
        <f t="shared" si="9"/>
        <v>1375840</v>
      </c>
      <c r="N34" s="49">
        <f t="shared" si="9"/>
        <v>9800320</v>
      </c>
      <c r="O34" s="49">
        <f t="shared" si="9"/>
        <v>1739328</v>
      </c>
      <c r="P34" s="49">
        <f t="shared" si="9"/>
        <v>1144744</v>
      </c>
      <c r="Q34" s="49">
        <f t="shared" si="9"/>
        <v>6758050</v>
      </c>
      <c r="R34" s="49">
        <f t="shared" si="9"/>
        <v>2715722</v>
      </c>
      <c r="S34" s="49">
        <f t="shared" si="9"/>
        <v>1045512</v>
      </c>
      <c r="T34" s="49">
        <f t="shared" si="9"/>
        <v>6204501</v>
      </c>
      <c r="U34" s="49">
        <f t="shared" si="9"/>
        <v>1134178</v>
      </c>
      <c r="V34" s="49">
        <f t="shared" si="9"/>
        <v>6284507</v>
      </c>
      <c r="W34" s="49">
        <f t="shared" si="9"/>
        <v>862524</v>
      </c>
      <c r="X34" s="49">
        <f t="shared" si="9"/>
        <v>193219</v>
      </c>
      <c r="Y34" s="49">
        <f t="shared" si="9"/>
        <v>4526858</v>
      </c>
      <c r="Z34" s="49">
        <f t="shared" si="9"/>
        <v>26353107</v>
      </c>
      <c r="AA34" s="49">
        <f t="shared" si="9"/>
        <v>671963</v>
      </c>
      <c r="AB34" s="49">
        <f t="shared" si="9"/>
        <v>597841</v>
      </c>
      <c r="AC34" s="48"/>
      <c r="AD34" s="51">
        <f>IF((SUM(AD27:AD32)=SUM(B34:AB34)),(SUM(B34:AB34)),"erro")</f>
        <v>89773373</v>
      </c>
      <c r="AH34" s="7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</row>
    <row r="35" spans="1:61" ht="15.75" customHeight="1">
      <c r="A35" s="7"/>
    </row>
    <row r="36" spans="1:61">
      <c r="A36" s="99" t="s">
        <v>102</v>
      </c>
    </row>
    <row r="37" spans="1:61">
      <c r="A37" s="100"/>
      <c r="B37" s="6" t="s">
        <v>53</v>
      </c>
      <c r="C37" s="6" t="s">
        <v>54</v>
      </c>
      <c r="D37" s="6" t="s">
        <v>55</v>
      </c>
      <c r="E37" s="6" t="s">
        <v>56</v>
      </c>
      <c r="F37" s="6" t="s">
        <v>57</v>
      </c>
      <c r="G37" s="6" t="s">
        <v>58</v>
      </c>
      <c r="H37" s="6" t="s">
        <v>59</v>
      </c>
      <c r="I37" s="6" t="s">
        <v>60</v>
      </c>
      <c r="J37" s="6" t="s">
        <v>61</v>
      </c>
      <c r="K37" s="6" t="s">
        <v>62</v>
      </c>
      <c r="L37" s="6" t="s">
        <v>63</v>
      </c>
      <c r="M37" s="6" t="s">
        <v>64</v>
      </c>
      <c r="N37" s="6" t="s">
        <v>65</v>
      </c>
      <c r="O37" s="6" t="s">
        <v>66</v>
      </c>
      <c r="P37" s="6" t="s">
        <v>67</v>
      </c>
      <c r="Q37" s="6" t="s">
        <v>68</v>
      </c>
      <c r="R37" s="6" t="s">
        <v>69</v>
      </c>
      <c r="S37" s="6" t="s">
        <v>70</v>
      </c>
      <c r="T37" s="6" t="s">
        <v>71</v>
      </c>
      <c r="U37" s="6" t="s">
        <v>72</v>
      </c>
      <c r="V37" s="6" t="s">
        <v>73</v>
      </c>
      <c r="W37" s="6" t="s">
        <v>74</v>
      </c>
      <c r="X37" s="6" t="s">
        <v>75</v>
      </c>
      <c r="Y37" s="6" t="s">
        <v>76</v>
      </c>
      <c r="Z37" s="6" t="s">
        <v>77</v>
      </c>
      <c r="AA37" s="6" t="s">
        <v>78</v>
      </c>
      <c r="AB37" s="6" t="s">
        <v>79</v>
      </c>
      <c r="AD37" s="6" t="s">
        <v>80</v>
      </c>
    </row>
    <row r="38" spans="1:61">
      <c r="A38" s="58" t="s">
        <v>103</v>
      </c>
      <c r="B38" s="29">
        <v>79039</v>
      </c>
      <c r="C38" s="29">
        <v>318669</v>
      </c>
      <c r="D38" s="29">
        <v>73794</v>
      </c>
      <c r="E38" s="29">
        <v>363537</v>
      </c>
      <c r="F38" s="29">
        <v>1649203</v>
      </c>
      <c r="G38" s="29">
        <v>1034882</v>
      </c>
      <c r="H38" s="29">
        <v>1199388</v>
      </c>
      <c r="I38" s="29">
        <v>887746</v>
      </c>
      <c r="J38" s="29">
        <v>1705665</v>
      </c>
      <c r="K38" s="29">
        <v>390567</v>
      </c>
      <c r="L38" s="29">
        <v>634260</v>
      </c>
      <c r="M38" s="29">
        <v>664310</v>
      </c>
      <c r="N38" s="29">
        <v>5526409</v>
      </c>
      <c r="O38" s="29">
        <v>535928</v>
      </c>
      <c r="P38" s="29">
        <v>473925</v>
      </c>
      <c r="Q38" s="29">
        <v>4155693</v>
      </c>
      <c r="R38" s="29">
        <v>1220626</v>
      </c>
      <c r="S38" s="29">
        <v>312582</v>
      </c>
      <c r="T38" s="29">
        <v>4249645</v>
      </c>
      <c r="U38" s="29">
        <v>499253</v>
      </c>
      <c r="V38" s="29">
        <v>4012502</v>
      </c>
      <c r="W38" s="29">
        <v>250259</v>
      </c>
      <c r="X38" s="29">
        <v>64793</v>
      </c>
      <c r="Y38" s="29">
        <v>2691436</v>
      </c>
      <c r="Z38" s="29">
        <v>17044302</v>
      </c>
      <c r="AA38" s="29">
        <v>302449</v>
      </c>
      <c r="AB38" s="29">
        <v>190107</v>
      </c>
      <c r="AC38" s="17"/>
      <c r="AD38" s="49">
        <f>SUM(B38:AB38)</f>
        <v>50530969</v>
      </c>
    </row>
    <row r="39" spans="1:61">
      <c r="A39" s="58" t="s">
        <v>104</v>
      </c>
      <c r="B39" s="29">
        <v>6898</v>
      </c>
      <c r="C39" s="29">
        <v>20462</v>
      </c>
      <c r="D39" s="29">
        <v>4054</v>
      </c>
      <c r="E39" s="29">
        <v>19917</v>
      </c>
      <c r="F39" s="29">
        <v>114301</v>
      </c>
      <c r="G39" s="29">
        <v>69343</v>
      </c>
      <c r="H39" s="29">
        <v>23381</v>
      </c>
      <c r="I39" s="29">
        <v>70203</v>
      </c>
      <c r="J39" s="29">
        <v>108214</v>
      </c>
      <c r="K39" s="29">
        <v>38264</v>
      </c>
      <c r="L39" s="29">
        <v>66665</v>
      </c>
      <c r="M39" s="29">
        <v>49062</v>
      </c>
      <c r="N39" s="29">
        <v>320918</v>
      </c>
      <c r="O39" s="29">
        <v>57644</v>
      </c>
      <c r="P39" s="29">
        <v>28160</v>
      </c>
      <c r="Q39" s="29">
        <v>262601</v>
      </c>
      <c r="R39" s="29">
        <v>91117</v>
      </c>
      <c r="S39" s="29">
        <v>26856</v>
      </c>
      <c r="T39" s="29">
        <v>142952</v>
      </c>
      <c r="U39" s="29">
        <v>31004</v>
      </c>
      <c r="V39" s="29">
        <v>220976</v>
      </c>
      <c r="W39" s="29">
        <v>29653</v>
      </c>
      <c r="X39" s="29">
        <v>4508</v>
      </c>
      <c r="Y39" s="29">
        <v>147560</v>
      </c>
      <c r="Z39" s="29">
        <v>667333</v>
      </c>
      <c r="AA39" s="29">
        <v>20813</v>
      </c>
      <c r="AB39" s="29">
        <v>22333</v>
      </c>
      <c r="AC39" s="17"/>
      <c r="AD39" s="49">
        <f t="shared" ref="AD39:AD47" si="10">SUM(B39:AB39)</f>
        <v>2665192</v>
      </c>
    </row>
    <row r="40" spans="1:61">
      <c r="A40" s="58" t="s">
        <v>105</v>
      </c>
      <c r="B40" s="29">
        <v>774</v>
      </c>
      <c r="C40" s="29">
        <v>2240</v>
      </c>
      <c r="D40" s="29">
        <v>301</v>
      </c>
      <c r="E40" s="29">
        <v>2986</v>
      </c>
      <c r="F40" s="29">
        <v>19932</v>
      </c>
      <c r="G40" s="29">
        <v>7757</v>
      </c>
      <c r="H40" s="29">
        <v>3150</v>
      </c>
      <c r="I40" s="29">
        <v>17228</v>
      </c>
      <c r="J40" s="29">
        <v>28132</v>
      </c>
      <c r="K40" s="29">
        <v>4025</v>
      </c>
      <c r="L40" s="29">
        <v>28973</v>
      </c>
      <c r="M40" s="29">
        <v>15070</v>
      </c>
      <c r="N40" s="29">
        <v>63889</v>
      </c>
      <c r="O40" s="29">
        <v>7237</v>
      </c>
      <c r="P40" s="29">
        <v>2641</v>
      </c>
      <c r="Q40" s="29">
        <v>85292</v>
      </c>
      <c r="R40" s="29">
        <v>11268</v>
      </c>
      <c r="S40" s="29">
        <v>2359</v>
      </c>
      <c r="T40" s="29">
        <v>16022</v>
      </c>
      <c r="U40" s="29">
        <v>2989</v>
      </c>
      <c r="V40" s="29">
        <v>55142</v>
      </c>
      <c r="W40" s="29">
        <v>6012</v>
      </c>
      <c r="X40" s="29">
        <v>602</v>
      </c>
      <c r="Y40" s="29">
        <v>48529</v>
      </c>
      <c r="Z40" s="29">
        <v>161074</v>
      </c>
      <c r="AA40" s="29">
        <v>2331</v>
      </c>
      <c r="AB40" s="29">
        <v>4536</v>
      </c>
      <c r="AC40" s="17"/>
      <c r="AD40" s="49">
        <f t="shared" si="10"/>
        <v>600491</v>
      </c>
    </row>
    <row r="41" spans="1:61">
      <c r="A41" s="58" t="s">
        <v>106</v>
      </c>
      <c r="B41" s="29">
        <v>23538</v>
      </c>
      <c r="C41" s="29">
        <v>48495</v>
      </c>
      <c r="D41" s="29">
        <v>19476</v>
      </c>
      <c r="E41" s="29">
        <v>81177</v>
      </c>
      <c r="F41" s="29">
        <v>311571</v>
      </c>
      <c r="G41" s="29">
        <v>173717</v>
      </c>
      <c r="H41" s="29">
        <v>114236</v>
      </c>
      <c r="I41" s="29">
        <v>150041</v>
      </c>
      <c r="J41" s="29">
        <v>324149</v>
      </c>
      <c r="K41" s="29">
        <v>103007</v>
      </c>
      <c r="L41" s="29">
        <v>189902</v>
      </c>
      <c r="M41" s="29">
        <v>141835</v>
      </c>
      <c r="N41" s="29">
        <v>800976</v>
      </c>
      <c r="O41" s="29">
        <v>126594</v>
      </c>
      <c r="P41" s="29">
        <v>73111</v>
      </c>
      <c r="Q41" s="29">
        <v>597643</v>
      </c>
      <c r="R41" s="29">
        <v>166847</v>
      </c>
      <c r="S41" s="29">
        <v>75332</v>
      </c>
      <c r="T41" s="29">
        <v>318962</v>
      </c>
      <c r="U41" s="29">
        <v>77176</v>
      </c>
      <c r="V41" s="29">
        <v>471452</v>
      </c>
      <c r="W41" s="29">
        <v>80509</v>
      </c>
      <c r="X41" s="29">
        <v>22400</v>
      </c>
      <c r="Y41" s="29">
        <v>344309</v>
      </c>
      <c r="Z41" s="29">
        <v>1792127</v>
      </c>
      <c r="AA41" s="29">
        <v>38224</v>
      </c>
      <c r="AB41" s="29">
        <v>58115</v>
      </c>
      <c r="AC41" s="17"/>
      <c r="AD41" s="49">
        <f t="shared" si="10"/>
        <v>6724921</v>
      </c>
    </row>
    <row r="42" spans="1:61">
      <c r="A42" s="58" t="s">
        <v>107</v>
      </c>
      <c r="B42" s="29">
        <v>3998</v>
      </c>
      <c r="C42" s="29">
        <v>18948</v>
      </c>
      <c r="D42" s="29">
        <v>4193</v>
      </c>
      <c r="E42" s="29">
        <v>26937</v>
      </c>
      <c r="F42" s="29">
        <v>101470</v>
      </c>
      <c r="G42" s="29">
        <v>55383</v>
      </c>
      <c r="H42" s="29">
        <v>75339</v>
      </c>
      <c r="I42" s="29">
        <v>52463</v>
      </c>
      <c r="J42" s="29">
        <v>87607</v>
      </c>
      <c r="K42" s="29">
        <v>21250</v>
      </c>
      <c r="L42" s="29">
        <v>35822</v>
      </c>
      <c r="M42" s="29">
        <v>35281</v>
      </c>
      <c r="N42" s="29">
        <v>279861</v>
      </c>
      <c r="O42" s="29">
        <v>36299</v>
      </c>
      <c r="P42" s="29">
        <v>24839</v>
      </c>
      <c r="Q42" s="29">
        <v>215449</v>
      </c>
      <c r="R42" s="29">
        <v>84111</v>
      </c>
      <c r="S42" s="29">
        <v>15509</v>
      </c>
      <c r="T42" s="29">
        <v>277889</v>
      </c>
      <c r="U42" s="29">
        <v>25985</v>
      </c>
      <c r="V42" s="29">
        <v>228073</v>
      </c>
      <c r="W42" s="29">
        <v>11122</v>
      </c>
      <c r="X42" s="29">
        <v>4504</v>
      </c>
      <c r="Y42" s="29">
        <v>150363</v>
      </c>
      <c r="Z42" s="29">
        <v>1080432</v>
      </c>
      <c r="AA42" s="29">
        <v>13823</v>
      </c>
      <c r="AB42" s="29">
        <v>9728</v>
      </c>
      <c r="AC42" s="17"/>
      <c r="AD42" s="49">
        <f t="shared" si="10"/>
        <v>2976678</v>
      </c>
    </row>
    <row r="43" spans="1:61">
      <c r="A43" s="58" t="s">
        <v>108</v>
      </c>
      <c r="B43" s="29">
        <v>344</v>
      </c>
      <c r="C43" s="29">
        <v>6105</v>
      </c>
      <c r="D43" s="29">
        <v>456</v>
      </c>
      <c r="E43" s="29">
        <v>3481</v>
      </c>
      <c r="F43" s="29">
        <v>26902</v>
      </c>
      <c r="G43" s="29">
        <v>11289</v>
      </c>
      <c r="H43" s="29">
        <v>5402</v>
      </c>
      <c r="I43" s="29">
        <v>7801</v>
      </c>
      <c r="J43" s="29">
        <v>9092</v>
      </c>
      <c r="K43" s="29">
        <v>4577</v>
      </c>
      <c r="L43" s="29">
        <v>3349</v>
      </c>
      <c r="M43" s="29">
        <v>3562</v>
      </c>
      <c r="N43" s="29">
        <v>43982</v>
      </c>
      <c r="O43" s="29">
        <v>6479</v>
      </c>
      <c r="P43" s="29">
        <v>4466</v>
      </c>
      <c r="Q43" s="29">
        <v>21725</v>
      </c>
      <c r="R43" s="29">
        <v>17988</v>
      </c>
      <c r="S43" s="29">
        <v>3252</v>
      </c>
      <c r="T43" s="29">
        <v>38730</v>
      </c>
      <c r="U43" s="29">
        <v>4858</v>
      </c>
      <c r="V43" s="29">
        <v>20206</v>
      </c>
      <c r="W43" s="29">
        <v>1183</v>
      </c>
      <c r="X43" s="29">
        <v>642</v>
      </c>
      <c r="Y43" s="29">
        <v>11534</v>
      </c>
      <c r="Z43" s="29">
        <v>117612</v>
      </c>
      <c r="AA43" s="29">
        <v>3392</v>
      </c>
      <c r="AB43" s="29">
        <v>1620</v>
      </c>
      <c r="AC43" s="17"/>
      <c r="AD43" s="49">
        <f t="shared" si="10"/>
        <v>380029</v>
      </c>
    </row>
    <row r="44" spans="1:61">
      <c r="A44" s="58" t="s">
        <v>109</v>
      </c>
      <c r="B44" s="29">
        <v>103053</v>
      </c>
      <c r="C44" s="29">
        <v>250988</v>
      </c>
      <c r="D44" s="29">
        <v>58390</v>
      </c>
      <c r="E44" s="29">
        <v>227524</v>
      </c>
      <c r="F44" s="29">
        <v>1183991</v>
      </c>
      <c r="G44" s="29">
        <v>1252043</v>
      </c>
      <c r="H44" s="29">
        <v>174468</v>
      </c>
      <c r="I44" s="29">
        <v>415439</v>
      </c>
      <c r="J44" s="29">
        <v>822228</v>
      </c>
      <c r="K44" s="29">
        <v>759574</v>
      </c>
      <c r="L44" s="29">
        <v>566031</v>
      </c>
      <c r="M44" s="29">
        <v>345523</v>
      </c>
      <c r="N44" s="29">
        <v>2345993</v>
      </c>
      <c r="O44" s="29">
        <v>767156</v>
      </c>
      <c r="P44" s="29">
        <v>437742</v>
      </c>
      <c r="Q44" s="29">
        <v>1089378</v>
      </c>
      <c r="R44" s="29">
        <v>959150</v>
      </c>
      <c r="S44" s="29">
        <v>501607</v>
      </c>
      <c r="T44" s="29">
        <v>875896</v>
      </c>
      <c r="U44" s="29">
        <v>398547</v>
      </c>
      <c r="V44" s="29">
        <v>1030100</v>
      </c>
      <c r="W44" s="29">
        <v>363839</v>
      </c>
      <c r="X44" s="29">
        <v>74121</v>
      </c>
      <c r="Y44" s="29">
        <v>824978</v>
      </c>
      <c r="Z44" s="29">
        <v>4325617</v>
      </c>
      <c r="AA44" s="29">
        <v>225882</v>
      </c>
      <c r="AB44" s="29">
        <v>213988</v>
      </c>
      <c r="AC44" s="17"/>
      <c r="AD44" s="49">
        <f t="shared" si="10"/>
        <v>20593246</v>
      </c>
    </row>
    <row r="45" spans="1:61">
      <c r="A45" s="56" t="s">
        <v>110</v>
      </c>
      <c r="B45" s="29">
        <v>21561</v>
      </c>
      <c r="C45" s="29">
        <v>35945</v>
      </c>
      <c r="D45" s="29">
        <v>11322</v>
      </c>
      <c r="E45" s="29">
        <v>51040</v>
      </c>
      <c r="F45" s="29">
        <v>171074</v>
      </c>
      <c r="G45" s="29">
        <v>146487</v>
      </c>
      <c r="H45" s="29">
        <v>17565</v>
      </c>
      <c r="I45" s="29">
        <v>97621</v>
      </c>
      <c r="J45" s="29">
        <v>255673</v>
      </c>
      <c r="K45" s="29">
        <v>138546</v>
      </c>
      <c r="L45" s="29">
        <v>196774</v>
      </c>
      <c r="M45" s="29">
        <v>101945</v>
      </c>
      <c r="N45" s="29">
        <v>263529</v>
      </c>
      <c r="O45" s="29">
        <v>169035</v>
      </c>
      <c r="P45" s="29">
        <v>61083</v>
      </c>
      <c r="Q45" s="29">
        <v>274756</v>
      </c>
      <c r="R45" s="29">
        <v>97962</v>
      </c>
      <c r="S45" s="29">
        <v>88942</v>
      </c>
      <c r="T45" s="29">
        <v>154625</v>
      </c>
      <c r="U45" s="29">
        <v>55099</v>
      </c>
      <c r="V45" s="29">
        <v>179373</v>
      </c>
      <c r="W45" s="29">
        <v>110221</v>
      </c>
      <c r="X45" s="29">
        <v>18810</v>
      </c>
      <c r="Y45" s="29">
        <v>257366</v>
      </c>
      <c r="Z45" s="29">
        <v>813227</v>
      </c>
      <c r="AA45" s="29">
        <v>39052</v>
      </c>
      <c r="AB45" s="29">
        <v>87414</v>
      </c>
      <c r="AC45" s="17"/>
      <c r="AD45" s="49">
        <f t="shared" si="10"/>
        <v>3916047</v>
      </c>
    </row>
    <row r="46" spans="1:61">
      <c r="A46" s="56" t="s">
        <v>111</v>
      </c>
      <c r="B46" s="29">
        <v>1029</v>
      </c>
      <c r="C46" s="29">
        <v>7033</v>
      </c>
      <c r="D46" s="29">
        <v>1169</v>
      </c>
      <c r="E46" s="29">
        <v>8763</v>
      </c>
      <c r="F46" s="29">
        <v>38051</v>
      </c>
      <c r="G46" s="29">
        <v>16305</v>
      </c>
      <c r="H46" s="29">
        <v>12080</v>
      </c>
      <c r="I46" s="29">
        <v>14525</v>
      </c>
      <c r="J46" s="29">
        <v>21819</v>
      </c>
      <c r="K46" s="29">
        <v>8189</v>
      </c>
      <c r="L46" s="29">
        <v>10929</v>
      </c>
      <c r="M46" s="29">
        <v>8956</v>
      </c>
      <c r="N46" s="29">
        <v>72496</v>
      </c>
      <c r="O46" s="29">
        <v>17247</v>
      </c>
      <c r="P46" s="29">
        <v>7034</v>
      </c>
      <c r="Q46" s="29">
        <v>40747</v>
      </c>
      <c r="R46" s="29">
        <v>19027</v>
      </c>
      <c r="S46" s="29">
        <v>6302</v>
      </c>
      <c r="T46" s="29">
        <v>47042</v>
      </c>
      <c r="U46" s="29">
        <v>6478</v>
      </c>
      <c r="V46" s="29">
        <v>39844</v>
      </c>
      <c r="W46" s="29">
        <v>5608</v>
      </c>
      <c r="X46" s="29">
        <v>1008</v>
      </c>
      <c r="Y46" s="29">
        <v>18850</v>
      </c>
      <c r="Z46" s="29">
        <v>154043</v>
      </c>
      <c r="AA46" s="29">
        <v>6516</v>
      </c>
      <c r="AB46" s="29">
        <v>5229</v>
      </c>
      <c r="AC46" s="17"/>
      <c r="AD46" s="49">
        <f t="shared" si="10"/>
        <v>596319</v>
      </c>
    </row>
    <row r="47" spans="1:61">
      <c r="A47" s="56" t="s">
        <v>112</v>
      </c>
      <c r="B47" s="29">
        <v>1093</v>
      </c>
      <c r="C47" s="29">
        <v>4997</v>
      </c>
      <c r="D47" s="29">
        <v>843</v>
      </c>
      <c r="E47" s="29">
        <v>4825</v>
      </c>
      <c r="F47" s="29">
        <v>23847</v>
      </c>
      <c r="G47" s="29">
        <v>26573</v>
      </c>
      <c r="H47" s="29">
        <v>22260</v>
      </c>
      <c r="I47" s="29">
        <v>14946</v>
      </c>
      <c r="J47" s="29">
        <v>20563</v>
      </c>
      <c r="K47" s="29">
        <v>8007</v>
      </c>
      <c r="L47" s="29">
        <v>11854</v>
      </c>
      <c r="M47" s="29">
        <v>10023</v>
      </c>
      <c r="N47" s="29">
        <v>54595</v>
      </c>
      <c r="O47" s="29">
        <v>11829</v>
      </c>
      <c r="P47" s="29">
        <v>7903</v>
      </c>
      <c r="Q47" s="29">
        <v>46533</v>
      </c>
      <c r="R47" s="29">
        <v>16442</v>
      </c>
      <c r="S47" s="29">
        <v>5461</v>
      </c>
      <c r="T47" s="29">
        <v>52574</v>
      </c>
      <c r="U47" s="29">
        <v>13214</v>
      </c>
      <c r="V47" s="29">
        <v>45887</v>
      </c>
      <c r="W47" s="29">
        <v>2890</v>
      </c>
      <c r="X47" s="29">
        <v>1082</v>
      </c>
      <c r="Y47" s="29">
        <v>42850</v>
      </c>
      <c r="Z47" s="29">
        <v>214317</v>
      </c>
      <c r="AA47" s="29">
        <v>3798</v>
      </c>
      <c r="AB47" s="29">
        <v>2869</v>
      </c>
      <c r="AC47" s="17"/>
      <c r="AD47" s="49">
        <f t="shared" si="10"/>
        <v>672075</v>
      </c>
    </row>
    <row r="48" spans="1:61">
      <c r="A48" s="57"/>
      <c r="B48" s="17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7"/>
      <c r="AD48" s="53"/>
    </row>
    <row r="49" spans="1:62">
      <c r="A49" s="1" t="s">
        <v>99</v>
      </c>
      <c r="B49" s="49">
        <f t="shared" ref="B49:AB49" si="11">SUM(B38:B47)</f>
        <v>241327</v>
      </c>
      <c r="C49" s="49">
        <f t="shared" si="11"/>
        <v>713882</v>
      </c>
      <c r="D49" s="49">
        <f t="shared" si="11"/>
        <v>173998</v>
      </c>
      <c r="E49" s="49">
        <f t="shared" si="11"/>
        <v>790187</v>
      </c>
      <c r="F49" s="49">
        <f t="shared" si="11"/>
        <v>3640342</v>
      </c>
      <c r="G49" s="49">
        <f t="shared" si="11"/>
        <v>2793779</v>
      </c>
      <c r="H49" s="49">
        <f t="shared" si="11"/>
        <v>1647269</v>
      </c>
      <c r="I49" s="49">
        <f t="shared" si="11"/>
        <v>1728013</v>
      </c>
      <c r="J49" s="49">
        <f t="shared" si="11"/>
        <v>3383142</v>
      </c>
      <c r="K49" s="49">
        <f t="shared" si="11"/>
        <v>1476006</v>
      </c>
      <c r="L49" s="49">
        <f t="shared" si="11"/>
        <v>1744559</v>
      </c>
      <c r="M49" s="49">
        <f t="shared" si="11"/>
        <v>1375567</v>
      </c>
      <c r="N49" s="49">
        <f t="shared" si="11"/>
        <v>9772648</v>
      </c>
      <c r="O49" s="49">
        <f t="shared" si="11"/>
        <v>1735448</v>
      </c>
      <c r="P49" s="49">
        <f t="shared" si="11"/>
        <v>1120904</v>
      </c>
      <c r="Q49" s="49">
        <f t="shared" si="11"/>
        <v>6789817</v>
      </c>
      <c r="R49" s="49">
        <f t="shared" si="11"/>
        <v>2684538</v>
      </c>
      <c r="S49" s="49">
        <f t="shared" si="11"/>
        <v>1038202</v>
      </c>
      <c r="T49" s="49">
        <f t="shared" si="11"/>
        <v>6174337</v>
      </c>
      <c r="U49" s="49">
        <f t="shared" si="11"/>
        <v>1114603</v>
      </c>
      <c r="V49" s="49">
        <f t="shared" si="11"/>
        <v>6303555</v>
      </c>
      <c r="W49" s="49">
        <f t="shared" si="11"/>
        <v>861296</v>
      </c>
      <c r="X49" s="49">
        <f t="shared" si="11"/>
        <v>192470</v>
      </c>
      <c r="Y49" s="49">
        <f t="shared" si="11"/>
        <v>4537775</v>
      </c>
      <c r="Z49" s="49">
        <f t="shared" si="11"/>
        <v>26370084</v>
      </c>
      <c r="AA49" s="49">
        <f t="shared" si="11"/>
        <v>656280</v>
      </c>
      <c r="AB49" s="49">
        <f t="shared" si="11"/>
        <v>595939</v>
      </c>
      <c r="AC49" s="12"/>
      <c r="AD49" s="51">
        <f>IF((SUM(AD38:AD47)=SUM(B49:AB49)),(SUM(B49:AB49)),"erro")</f>
        <v>89655967</v>
      </c>
    </row>
    <row r="51" spans="1:62">
      <c r="J51" t="s">
        <v>113</v>
      </c>
      <c r="L51" s="86">
        <f>ROUND(AD34/AD49,7)</f>
        <v>1.0013095000000001</v>
      </c>
    </row>
    <row r="54" spans="1:62">
      <c r="A54" s="97" t="s">
        <v>117</v>
      </c>
    </row>
    <row r="55" spans="1:62" s="5" customFormat="1">
      <c r="A55" s="98"/>
      <c r="B55" s="16" t="s">
        <v>53</v>
      </c>
      <c r="C55" s="16" t="s">
        <v>54</v>
      </c>
      <c r="D55" s="16" t="s">
        <v>55</v>
      </c>
      <c r="E55" s="16" t="s">
        <v>56</v>
      </c>
      <c r="F55" s="16" t="s">
        <v>57</v>
      </c>
      <c r="G55" s="16" t="s">
        <v>58</v>
      </c>
      <c r="H55" s="16" t="s">
        <v>59</v>
      </c>
      <c r="I55" s="16" t="s">
        <v>60</v>
      </c>
      <c r="J55" s="16" t="s">
        <v>61</v>
      </c>
      <c r="K55" s="16" t="s">
        <v>62</v>
      </c>
      <c r="L55" s="16" t="s">
        <v>63</v>
      </c>
      <c r="M55" s="16" t="s">
        <v>64</v>
      </c>
      <c r="N55" s="16" t="s">
        <v>65</v>
      </c>
      <c r="O55" s="16" t="s">
        <v>66</v>
      </c>
      <c r="P55" s="16" t="s">
        <v>67</v>
      </c>
      <c r="Q55" s="16" t="s">
        <v>68</v>
      </c>
      <c r="R55" s="16" t="s">
        <v>69</v>
      </c>
      <c r="S55" s="16" t="s">
        <v>70</v>
      </c>
      <c r="T55" s="16" t="s">
        <v>71</v>
      </c>
      <c r="U55" s="16" t="s">
        <v>72</v>
      </c>
      <c r="V55" s="16" t="s">
        <v>73</v>
      </c>
      <c r="W55" s="16" t="s">
        <v>74</v>
      </c>
      <c r="X55" s="16" t="s">
        <v>75</v>
      </c>
      <c r="Y55" s="16" t="s">
        <v>76</v>
      </c>
      <c r="Z55" s="16" t="s">
        <v>77</v>
      </c>
      <c r="AA55" s="16" t="s">
        <v>78</v>
      </c>
      <c r="AB55" s="16" t="s">
        <v>79</v>
      </c>
      <c r="AD55" s="6" t="s">
        <v>80</v>
      </c>
    </row>
    <row r="56" spans="1:62">
      <c r="A56" s="85" t="s">
        <v>103</v>
      </c>
      <c r="B56" s="47">
        <f t="shared" ref="B56:AB56" si="12">ROUND(B38*$L$51,0)</f>
        <v>79143</v>
      </c>
      <c r="C56" s="47">
        <f t="shared" si="12"/>
        <v>319086</v>
      </c>
      <c r="D56" s="47">
        <f t="shared" si="12"/>
        <v>73891</v>
      </c>
      <c r="E56" s="47">
        <f t="shared" si="12"/>
        <v>364013</v>
      </c>
      <c r="F56" s="47">
        <f t="shared" si="12"/>
        <v>1651363</v>
      </c>
      <c r="G56" s="47">
        <f t="shared" si="12"/>
        <v>1036237</v>
      </c>
      <c r="H56" s="47">
        <f t="shared" si="12"/>
        <v>1200959</v>
      </c>
      <c r="I56" s="47">
        <f t="shared" si="12"/>
        <v>888909</v>
      </c>
      <c r="J56" s="47">
        <f t="shared" si="12"/>
        <v>1707899</v>
      </c>
      <c r="K56" s="47">
        <f t="shared" si="12"/>
        <v>391078</v>
      </c>
      <c r="L56" s="47">
        <f t="shared" si="12"/>
        <v>635091</v>
      </c>
      <c r="M56" s="47">
        <f t="shared" si="12"/>
        <v>665180</v>
      </c>
      <c r="N56" s="47">
        <f t="shared" si="12"/>
        <v>5533646</v>
      </c>
      <c r="O56" s="47">
        <f t="shared" si="12"/>
        <v>536630</v>
      </c>
      <c r="P56" s="47">
        <f t="shared" si="12"/>
        <v>474546</v>
      </c>
      <c r="Q56" s="47">
        <f t="shared" si="12"/>
        <v>4161135</v>
      </c>
      <c r="R56" s="47">
        <f t="shared" si="12"/>
        <v>1222224</v>
      </c>
      <c r="S56" s="47">
        <f t="shared" si="12"/>
        <v>312991</v>
      </c>
      <c r="T56" s="47">
        <f t="shared" si="12"/>
        <v>4255210</v>
      </c>
      <c r="U56" s="47">
        <f t="shared" si="12"/>
        <v>499907</v>
      </c>
      <c r="V56" s="47">
        <f t="shared" si="12"/>
        <v>4017756</v>
      </c>
      <c r="W56" s="47">
        <f t="shared" si="12"/>
        <v>250587</v>
      </c>
      <c r="X56" s="47">
        <f t="shared" si="12"/>
        <v>64878</v>
      </c>
      <c r="Y56" s="47">
        <f t="shared" si="12"/>
        <v>2694960</v>
      </c>
      <c r="Z56" s="47">
        <f t="shared" si="12"/>
        <v>17066622</v>
      </c>
      <c r="AA56" s="47">
        <f t="shared" si="12"/>
        <v>302845</v>
      </c>
      <c r="AB56" s="47">
        <f t="shared" si="12"/>
        <v>190356</v>
      </c>
      <c r="AC56" s="48"/>
      <c r="AD56" s="49">
        <f t="shared" ref="AD56:AD65" si="13">SUM(B56:AB56)</f>
        <v>50597142</v>
      </c>
      <c r="AH56" s="7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</row>
    <row r="57" spans="1:62" s="14" customFormat="1">
      <c r="A57" s="85" t="s">
        <v>104</v>
      </c>
      <c r="B57" s="47">
        <f t="shared" ref="B57:AB57" si="14">ROUND(B39*$L$51,0)</f>
        <v>6907</v>
      </c>
      <c r="C57" s="47">
        <f t="shared" si="14"/>
        <v>20489</v>
      </c>
      <c r="D57" s="47">
        <f t="shared" si="14"/>
        <v>4059</v>
      </c>
      <c r="E57" s="47">
        <f t="shared" si="14"/>
        <v>19943</v>
      </c>
      <c r="F57" s="47">
        <f t="shared" si="14"/>
        <v>114451</v>
      </c>
      <c r="G57" s="47">
        <f t="shared" si="14"/>
        <v>69434</v>
      </c>
      <c r="H57" s="47">
        <f t="shared" si="14"/>
        <v>23412</v>
      </c>
      <c r="I57" s="47">
        <f t="shared" si="14"/>
        <v>70295</v>
      </c>
      <c r="J57" s="47">
        <f t="shared" si="14"/>
        <v>108356</v>
      </c>
      <c r="K57" s="47">
        <f t="shared" si="14"/>
        <v>38314</v>
      </c>
      <c r="L57" s="47">
        <f t="shared" si="14"/>
        <v>66752</v>
      </c>
      <c r="M57" s="47">
        <f t="shared" si="14"/>
        <v>49126</v>
      </c>
      <c r="N57" s="47">
        <f t="shared" si="14"/>
        <v>321338</v>
      </c>
      <c r="O57" s="47">
        <f t="shared" si="14"/>
        <v>57719</v>
      </c>
      <c r="P57" s="47">
        <f t="shared" si="14"/>
        <v>28197</v>
      </c>
      <c r="Q57" s="47">
        <f t="shared" si="14"/>
        <v>262945</v>
      </c>
      <c r="R57" s="47">
        <f t="shared" si="14"/>
        <v>91236</v>
      </c>
      <c r="S57" s="47">
        <f t="shared" si="14"/>
        <v>26891</v>
      </c>
      <c r="T57" s="47">
        <f t="shared" si="14"/>
        <v>143139</v>
      </c>
      <c r="U57" s="47">
        <f t="shared" si="14"/>
        <v>31045</v>
      </c>
      <c r="V57" s="47">
        <f t="shared" si="14"/>
        <v>221265</v>
      </c>
      <c r="W57" s="47">
        <f t="shared" si="14"/>
        <v>29692</v>
      </c>
      <c r="X57" s="47">
        <f t="shared" si="14"/>
        <v>4514</v>
      </c>
      <c r="Y57" s="47">
        <f t="shared" si="14"/>
        <v>147753</v>
      </c>
      <c r="Z57" s="47">
        <f t="shared" si="14"/>
        <v>668207</v>
      </c>
      <c r="AA57" s="47">
        <f t="shared" si="14"/>
        <v>20840</v>
      </c>
      <c r="AB57" s="47">
        <f t="shared" si="14"/>
        <v>22362</v>
      </c>
      <c r="AC57" s="54"/>
      <c r="AD57" s="49">
        <f t="shared" si="13"/>
        <v>2668681</v>
      </c>
      <c r="AH57" s="15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</row>
    <row r="58" spans="1:62" s="14" customFormat="1">
      <c r="A58" s="85" t="s">
        <v>105</v>
      </c>
      <c r="B58" s="47">
        <f t="shared" ref="B58:AB58" si="15">ROUND(B40*$L$51,0)</f>
        <v>775</v>
      </c>
      <c r="C58" s="47">
        <f t="shared" si="15"/>
        <v>2243</v>
      </c>
      <c r="D58" s="47">
        <f t="shared" si="15"/>
        <v>301</v>
      </c>
      <c r="E58" s="47">
        <f t="shared" si="15"/>
        <v>2990</v>
      </c>
      <c r="F58" s="47">
        <f t="shared" si="15"/>
        <v>19958</v>
      </c>
      <c r="G58" s="47">
        <f t="shared" si="15"/>
        <v>7767</v>
      </c>
      <c r="H58" s="47">
        <f t="shared" si="15"/>
        <v>3154</v>
      </c>
      <c r="I58" s="47">
        <f t="shared" si="15"/>
        <v>17251</v>
      </c>
      <c r="J58" s="47">
        <f t="shared" si="15"/>
        <v>28169</v>
      </c>
      <c r="K58" s="47">
        <f t="shared" si="15"/>
        <v>4030</v>
      </c>
      <c r="L58" s="47">
        <f t="shared" si="15"/>
        <v>29011</v>
      </c>
      <c r="M58" s="47">
        <f t="shared" si="15"/>
        <v>15090</v>
      </c>
      <c r="N58" s="47">
        <f t="shared" si="15"/>
        <v>63973</v>
      </c>
      <c r="O58" s="47">
        <f t="shared" si="15"/>
        <v>7246</v>
      </c>
      <c r="P58" s="47">
        <f t="shared" si="15"/>
        <v>2644</v>
      </c>
      <c r="Q58" s="47">
        <f t="shared" si="15"/>
        <v>85404</v>
      </c>
      <c r="R58" s="47">
        <f t="shared" si="15"/>
        <v>11283</v>
      </c>
      <c r="S58" s="47">
        <f t="shared" si="15"/>
        <v>2362</v>
      </c>
      <c r="T58" s="47">
        <f t="shared" si="15"/>
        <v>16043</v>
      </c>
      <c r="U58" s="47">
        <f t="shared" si="15"/>
        <v>2993</v>
      </c>
      <c r="V58" s="47">
        <f t="shared" si="15"/>
        <v>55214</v>
      </c>
      <c r="W58" s="47">
        <f t="shared" si="15"/>
        <v>6020</v>
      </c>
      <c r="X58" s="47">
        <f t="shared" si="15"/>
        <v>603</v>
      </c>
      <c r="Y58" s="47">
        <f t="shared" si="15"/>
        <v>48593</v>
      </c>
      <c r="Z58" s="47">
        <f t="shared" si="15"/>
        <v>161285</v>
      </c>
      <c r="AA58" s="47">
        <f t="shared" si="15"/>
        <v>2334</v>
      </c>
      <c r="AB58" s="47">
        <f t="shared" si="15"/>
        <v>4542</v>
      </c>
      <c r="AC58" s="54"/>
      <c r="AD58" s="49">
        <f t="shared" si="13"/>
        <v>601278</v>
      </c>
      <c r="AH58" s="15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</row>
    <row r="59" spans="1:62">
      <c r="A59" s="85" t="s">
        <v>106</v>
      </c>
      <c r="B59" s="47">
        <f t="shared" ref="B59:AB59" si="16">ROUND(B41*$L$51,0)</f>
        <v>23569</v>
      </c>
      <c r="C59" s="47">
        <f t="shared" si="16"/>
        <v>48559</v>
      </c>
      <c r="D59" s="47">
        <f t="shared" si="16"/>
        <v>19502</v>
      </c>
      <c r="E59" s="47">
        <f t="shared" si="16"/>
        <v>81283</v>
      </c>
      <c r="F59" s="47">
        <f t="shared" si="16"/>
        <v>311979</v>
      </c>
      <c r="G59" s="47">
        <f t="shared" si="16"/>
        <v>173944</v>
      </c>
      <c r="H59" s="47">
        <f t="shared" si="16"/>
        <v>114386</v>
      </c>
      <c r="I59" s="47">
        <f t="shared" si="16"/>
        <v>150237</v>
      </c>
      <c r="J59" s="47">
        <f t="shared" si="16"/>
        <v>324573</v>
      </c>
      <c r="K59" s="47">
        <f t="shared" si="16"/>
        <v>103142</v>
      </c>
      <c r="L59" s="47">
        <f t="shared" si="16"/>
        <v>190151</v>
      </c>
      <c r="M59" s="47">
        <f t="shared" si="16"/>
        <v>142021</v>
      </c>
      <c r="N59" s="47">
        <f t="shared" si="16"/>
        <v>802025</v>
      </c>
      <c r="O59" s="47">
        <f t="shared" si="16"/>
        <v>126760</v>
      </c>
      <c r="P59" s="47">
        <f t="shared" si="16"/>
        <v>73207</v>
      </c>
      <c r="Q59" s="47">
        <f t="shared" si="16"/>
        <v>598426</v>
      </c>
      <c r="R59" s="47">
        <f t="shared" si="16"/>
        <v>167065</v>
      </c>
      <c r="S59" s="47">
        <f t="shared" si="16"/>
        <v>75431</v>
      </c>
      <c r="T59" s="47">
        <f t="shared" si="16"/>
        <v>319380</v>
      </c>
      <c r="U59" s="47">
        <f t="shared" si="16"/>
        <v>77277</v>
      </c>
      <c r="V59" s="47">
        <f t="shared" si="16"/>
        <v>472069</v>
      </c>
      <c r="W59" s="47">
        <f t="shared" si="16"/>
        <v>80614</v>
      </c>
      <c r="X59" s="47">
        <f t="shared" si="16"/>
        <v>22429</v>
      </c>
      <c r="Y59" s="47">
        <f t="shared" si="16"/>
        <v>344760</v>
      </c>
      <c r="Z59" s="47">
        <f t="shared" si="16"/>
        <v>1794474</v>
      </c>
      <c r="AA59" s="47">
        <f t="shared" si="16"/>
        <v>38274</v>
      </c>
      <c r="AB59" s="47">
        <f t="shared" si="16"/>
        <v>58191</v>
      </c>
      <c r="AC59" s="48"/>
      <c r="AD59" s="49">
        <f t="shared" si="13"/>
        <v>6733728</v>
      </c>
      <c r="AH59" s="7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</row>
    <row r="60" spans="1:62">
      <c r="A60" s="85" t="s">
        <v>107</v>
      </c>
      <c r="B60" s="47">
        <f t="shared" ref="B60:AB60" si="17">ROUND(B42*$L$51,0)</f>
        <v>4003</v>
      </c>
      <c r="C60" s="47">
        <f t="shared" si="17"/>
        <v>18973</v>
      </c>
      <c r="D60" s="47">
        <f t="shared" si="17"/>
        <v>4198</v>
      </c>
      <c r="E60" s="47">
        <f t="shared" si="17"/>
        <v>26972</v>
      </c>
      <c r="F60" s="47">
        <f t="shared" si="17"/>
        <v>101603</v>
      </c>
      <c r="G60" s="47">
        <f t="shared" si="17"/>
        <v>55456</v>
      </c>
      <c r="H60" s="47">
        <f t="shared" si="17"/>
        <v>75438</v>
      </c>
      <c r="I60" s="47">
        <f t="shared" si="17"/>
        <v>52532</v>
      </c>
      <c r="J60" s="47">
        <f t="shared" si="17"/>
        <v>87722</v>
      </c>
      <c r="K60" s="47">
        <f t="shared" si="17"/>
        <v>21278</v>
      </c>
      <c r="L60" s="47">
        <f t="shared" si="17"/>
        <v>35869</v>
      </c>
      <c r="M60" s="47">
        <f t="shared" si="17"/>
        <v>35327</v>
      </c>
      <c r="N60" s="47">
        <f t="shared" si="17"/>
        <v>280227</v>
      </c>
      <c r="O60" s="47">
        <f t="shared" si="17"/>
        <v>36347</v>
      </c>
      <c r="P60" s="47">
        <f t="shared" si="17"/>
        <v>24872</v>
      </c>
      <c r="Q60" s="47">
        <f t="shared" si="17"/>
        <v>215731</v>
      </c>
      <c r="R60" s="47">
        <f t="shared" si="17"/>
        <v>84221</v>
      </c>
      <c r="S60" s="47">
        <f t="shared" si="17"/>
        <v>15529</v>
      </c>
      <c r="T60" s="47">
        <f t="shared" si="17"/>
        <v>278253</v>
      </c>
      <c r="U60" s="47">
        <f t="shared" si="17"/>
        <v>26019</v>
      </c>
      <c r="V60" s="47">
        <f t="shared" si="17"/>
        <v>228372</v>
      </c>
      <c r="W60" s="47">
        <f t="shared" si="17"/>
        <v>11137</v>
      </c>
      <c r="X60" s="47">
        <f t="shared" si="17"/>
        <v>4510</v>
      </c>
      <c r="Y60" s="47">
        <f t="shared" si="17"/>
        <v>150560</v>
      </c>
      <c r="Z60" s="47">
        <f t="shared" si="17"/>
        <v>1081847</v>
      </c>
      <c r="AA60" s="47">
        <f t="shared" si="17"/>
        <v>13841</v>
      </c>
      <c r="AB60" s="47">
        <f t="shared" si="17"/>
        <v>9741</v>
      </c>
      <c r="AC60" s="48"/>
      <c r="AD60" s="49">
        <f t="shared" si="13"/>
        <v>2980578</v>
      </c>
      <c r="AH60" s="7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</row>
    <row r="61" spans="1:62" s="14" customFormat="1">
      <c r="A61" s="85" t="s">
        <v>108</v>
      </c>
      <c r="B61" s="47">
        <f t="shared" ref="B61:AB61" si="18">ROUND(B43*$L$51,0)</f>
        <v>344</v>
      </c>
      <c r="C61" s="47">
        <f t="shared" si="18"/>
        <v>6113</v>
      </c>
      <c r="D61" s="47">
        <f t="shared" si="18"/>
        <v>457</v>
      </c>
      <c r="E61" s="47">
        <f t="shared" si="18"/>
        <v>3486</v>
      </c>
      <c r="F61" s="47">
        <f t="shared" si="18"/>
        <v>26937</v>
      </c>
      <c r="G61" s="47">
        <f t="shared" si="18"/>
        <v>11304</v>
      </c>
      <c r="H61" s="47">
        <f t="shared" si="18"/>
        <v>5409</v>
      </c>
      <c r="I61" s="47">
        <f t="shared" si="18"/>
        <v>7811</v>
      </c>
      <c r="J61" s="47">
        <f t="shared" si="18"/>
        <v>9104</v>
      </c>
      <c r="K61" s="47">
        <f t="shared" si="18"/>
        <v>4583</v>
      </c>
      <c r="L61" s="47">
        <f t="shared" si="18"/>
        <v>3353</v>
      </c>
      <c r="M61" s="47">
        <f t="shared" si="18"/>
        <v>3567</v>
      </c>
      <c r="N61" s="47">
        <f t="shared" si="18"/>
        <v>44040</v>
      </c>
      <c r="O61" s="47">
        <f t="shared" si="18"/>
        <v>6487</v>
      </c>
      <c r="P61" s="47">
        <f t="shared" si="18"/>
        <v>4472</v>
      </c>
      <c r="Q61" s="47">
        <f t="shared" si="18"/>
        <v>21753</v>
      </c>
      <c r="R61" s="47">
        <f t="shared" si="18"/>
        <v>18012</v>
      </c>
      <c r="S61" s="47">
        <f t="shared" si="18"/>
        <v>3256</v>
      </c>
      <c r="T61" s="47">
        <f t="shared" si="18"/>
        <v>38781</v>
      </c>
      <c r="U61" s="47">
        <f t="shared" si="18"/>
        <v>4864</v>
      </c>
      <c r="V61" s="47">
        <f t="shared" si="18"/>
        <v>20232</v>
      </c>
      <c r="W61" s="47">
        <f t="shared" si="18"/>
        <v>1185</v>
      </c>
      <c r="X61" s="47">
        <f t="shared" si="18"/>
        <v>643</v>
      </c>
      <c r="Y61" s="47">
        <f t="shared" si="18"/>
        <v>11549</v>
      </c>
      <c r="Z61" s="47">
        <f t="shared" si="18"/>
        <v>117766</v>
      </c>
      <c r="AA61" s="47">
        <f t="shared" si="18"/>
        <v>3396</v>
      </c>
      <c r="AB61" s="47">
        <f t="shared" si="18"/>
        <v>1622</v>
      </c>
      <c r="AC61" s="54"/>
      <c r="AD61" s="49">
        <f t="shared" si="13"/>
        <v>380526</v>
      </c>
      <c r="AH61" s="15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</row>
    <row r="62" spans="1:62" s="14" customFormat="1">
      <c r="A62" s="85" t="s">
        <v>109</v>
      </c>
      <c r="B62" s="47">
        <f t="shared" ref="B62:AB62" si="19">ROUND(B44*$L$51,0)</f>
        <v>103188</v>
      </c>
      <c r="C62" s="47">
        <f t="shared" si="19"/>
        <v>251317</v>
      </c>
      <c r="D62" s="47">
        <f t="shared" si="19"/>
        <v>58466</v>
      </c>
      <c r="E62" s="47">
        <f t="shared" si="19"/>
        <v>227822</v>
      </c>
      <c r="F62" s="47">
        <f t="shared" si="19"/>
        <v>1185541</v>
      </c>
      <c r="G62" s="47">
        <f t="shared" si="19"/>
        <v>1253683</v>
      </c>
      <c r="H62" s="47">
        <f t="shared" si="19"/>
        <v>174696</v>
      </c>
      <c r="I62" s="47">
        <f t="shared" si="19"/>
        <v>415983</v>
      </c>
      <c r="J62" s="47">
        <f t="shared" si="19"/>
        <v>823305</v>
      </c>
      <c r="K62" s="47">
        <f t="shared" si="19"/>
        <v>760569</v>
      </c>
      <c r="L62" s="47">
        <f t="shared" si="19"/>
        <v>566772</v>
      </c>
      <c r="M62" s="47">
        <f t="shared" si="19"/>
        <v>345975</v>
      </c>
      <c r="N62" s="47">
        <f t="shared" si="19"/>
        <v>2349065</v>
      </c>
      <c r="O62" s="47">
        <f t="shared" si="19"/>
        <v>768161</v>
      </c>
      <c r="P62" s="47">
        <f t="shared" si="19"/>
        <v>438315</v>
      </c>
      <c r="Q62" s="47">
        <f t="shared" si="19"/>
        <v>1090805</v>
      </c>
      <c r="R62" s="47">
        <f t="shared" si="19"/>
        <v>960406</v>
      </c>
      <c r="S62" s="47">
        <f t="shared" si="19"/>
        <v>502264</v>
      </c>
      <c r="T62" s="47">
        <f t="shared" si="19"/>
        <v>877043</v>
      </c>
      <c r="U62" s="47">
        <f t="shared" si="19"/>
        <v>399069</v>
      </c>
      <c r="V62" s="47">
        <f t="shared" si="19"/>
        <v>1031449</v>
      </c>
      <c r="W62" s="47">
        <f t="shared" si="19"/>
        <v>364315</v>
      </c>
      <c r="X62" s="47">
        <f t="shared" si="19"/>
        <v>74218</v>
      </c>
      <c r="Y62" s="47">
        <f t="shared" si="19"/>
        <v>826058</v>
      </c>
      <c r="Z62" s="47">
        <f t="shared" si="19"/>
        <v>4331281</v>
      </c>
      <c r="AA62" s="47">
        <f t="shared" si="19"/>
        <v>226178</v>
      </c>
      <c r="AB62" s="47">
        <f t="shared" si="19"/>
        <v>214268</v>
      </c>
      <c r="AC62" s="54"/>
      <c r="AD62" s="49">
        <f t="shared" si="13"/>
        <v>20620212</v>
      </c>
      <c r="AH62" s="15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</row>
    <row r="63" spans="1:62" s="14" customFormat="1">
      <c r="A63" s="85" t="s">
        <v>110</v>
      </c>
      <c r="B63" s="47">
        <f t="shared" ref="B63:AB63" si="20">ROUND(B45*$L$51,0)</f>
        <v>21589</v>
      </c>
      <c r="C63" s="47">
        <f t="shared" si="20"/>
        <v>35992</v>
      </c>
      <c r="D63" s="47">
        <f t="shared" si="20"/>
        <v>11337</v>
      </c>
      <c r="E63" s="47">
        <f t="shared" si="20"/>
        <v>51107</v>
      </c>
      <c r="F63" s="47">
        <f t="shared" si="20"/>
        <v>171298</v>
      </c>
      <c r="G63" s="47">
        <f t="shared" si="20"/>
        <v>146679</v>
      </c>
      <c r="H63" s="47">
        <f t="shared" si="20"/>
        <v>17588</v>
      </c>
      <c r="I63" s="47">
        <f t="shared" si="20"/>
        <v>97749</v>
      </c>
      <c r="J63" s="47">
        <f t="shared" si="20"/>
        <v>256008</v>
      </c>
      <c r="K63" s="47">
        <f t="shared" si="20"/>
        <v>138727</v>
      </c>
      <c r="L63" s="47">
        <f t="shared" si="20"/>
        <v>197032</v>
      </c>
      <c r="M63" s="47">
        <f t="shared" si="20"/>
        <v>102078</v>
      </c>
      <c r="N63" s="47">
        <f t="shared" si="20"/>
        <v>263874</v>
      </c>
      <c r="O63" s="47">
        <f t="shared" si="20"/>
        <v>169256</v>
      </c>
      <c r="P63" s="47">
        <f t="shared" si="20"/>
        <v>61163</v>
      </c>
      <c r="Q63" s="47">
        <f t="shared" si="20"/>
        <v>275116</v>
      </c>
      <c r="R63" s="47">
        <f t="shared" si="20"/>
        <v>98090</v>
      </c>
      <c r="S63" s="47">
        <f t="shared" si="20"/>
        <v>89058</v>
      </c>
      <c r="T63" s="47">
        <f t="shared" si="20"/>
        <v>154827</v>
      </c>
      <c r="U63" s="47">
        <f t="shared" si="20"/>
        <v>55171</v>
      </c>
      <c r="V63" s="47">
        <f t="shared" si="20"/>
        <v>179608</v>
      </c>
      <c r="W63" s="47">
        <f t="shared" si="20"/>
        <v>110365</v>
      </c>
      <c r="X63" s="47">
        <f t="shared" si="20"/>
        <v>18835</v>
      </c>
      <c r="Y63" s="47">
        <f t="shared" si="20"/>
        <v>257703</v>
      </c>
      <c r="Z63" s="47">
        <f t="shared" si="20"/>
        <v>814292</v>
      </c>
      <c r="AA63" s="47">
        <f t="shared" si="20"/>
        <v>39103</v>
      </c>
      <c r="AB63" s="47">
        <f t="shared" si="20"/>
        <v>87528</v>
      </c>
      <c r="AC63" s="54"/>
      <c r="AD63" s="49">
        <f t="shared" si="13"/>
        <v>3921173</v>
      </c>
      <c r="AH63" s="15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</row>
    <row r="64" spans="1:62" s="14" customFormat="1">
      <c r="A64" s="85" t="s">
        <v>111</v>
      </c>
      <c r="B64" s="47">
        <f t="shared" ref="B64:AB64" si="21">ROUND(B46*$L$51,0)</f>
        <v>1030</v>
      </c>
      <c r="C64" s="47">
        <f t="shared" si="21"/>
        <v>7042</v>
      </c>
      <c r="D64" s="47">
        <f t="shared" si="21"/>
        <v>1171</v>
      </c>
      <c r="E64" s="47">
        <f t="shared" si="21"/>
        <v>8774</v>
      </c>
      <c r="F64" s="47">
        <f t="shared" si="21"/>
        <v>38101</v>
      </c>
      <c r="G64" s="47">
        <f t="shared" si="21"/>
        <v>16326</v>
      </c>
      <c r="H64" s="47">
        <f t="shared" si="21"/>
        <v>12096</v>
      </c>
      <c r="I64" s="47">
        <f t="shared" si="21"/>
        <v>14544</v>
      </c>
      <c r="J64" s="47">
        <f t="shared" si="21"/>
        <v>21848</v>
      </c>
      <c r="K64" s="47">
        <f t="shared" si="21"/>
        <v>8200</v>
      </c>
      <c r="L64" s="47">
        <f t="shared" si="21"/>
        <v>10943</v>
      </c>
      <c r="M64" s="47">
        <f t="shared" si="21"/>
        <v>8968</v>
      </c>
      <c r="N64" s="47">
        <f t="shared" si="21"/>
        <v>72591</v>
      </c>
      <c r="O64" s="47">
        <f t="shared" si="21"/>
        <v>17270</v>
      </c>
      <c r="P64" s="47">
        <f t="shared" si="21"/>
        <v>7043</v>
      </c>
      <c r="Q64" s="47">
        <f t="shared" si="21"/>
        <v>40800</v>
      </c>
      <c r="R64" s="47">
        <f t="shared" si="21"/>
        <v>19052</v>
      </c>
      <c r="S64" s="47">
        <f t="shared" si="21"/>
        <v>6310</v>
      </c>
      <c r="T64" s="47">
        <f t="shared" si="21"/>
        <v>47104</v>
      </c>
      <c r="U64" s="47">
        <f t="shared" si="21"/>
        <v>6486</v>
      </c>
      <c r="V64" s="47">
        <f t="shared" si="21"/>
        <v>39896</v>
      </c>
      <c r="W64" s="47">
        <f t="shared" si="21"/>
        <v>5615</v>
      </c>
      <c r="X64" s="47">
        <f t="shared" si="21"/>
        <v>1009</v>
      </c>
      <c r="Y64" s="47">
        <f t="shared" si="21"/>
        <v>18875</v>
      </c>
      <c r="Z64" s="47">
        <f t="shared" si="21"/>
        <v>154245</v>
      </c>
      <c r="AA64" s="47">
        <f t="shared" si="21"/>
        <v>6525</v>
      </c>
      <c r="AB64" s="47">
        <f t="shared" si="21"/>
        <v>5236</v>
      </c>
      <c r="AC64" s="54"/>
      <c r="AD64" s="49">
        <f t="shared" si="13"/>
        <v>597100</v>
      </c>
      <c r="AH64" s="15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</row>
    <row r="65" spans="1:62">
      <c r="A65" s="85" t="s">
        <v>112</v>
      </c>
      <c r="B65" s="47">
        <f t="shared" ref="B65:AB65" si="22">ROUND(B47*$L$51,0)</f>
        <v>1094</v>
      </c>
      <c r="C65" s="47">
        <f t="shared" si="22"/>
        <v>5004</v>
      </c>
      <c r="D65" s="47">
        <f t="shared" si="22"/>
        <v>844</v>
      </c>
      <c r="E65" s="47">
        <f t="shared" si="22"/>
        <v>4831</v>
      </c>
      <c r="F65" s="47">
        <f t="shared" si="22"/>
        <v>23878</v>
      </c>
      <c r="G65" s="47">
        <f t="shared" si="22"/>
        <v>26608</v>
      </c>
      <c r="H65" s="47">
        <f t="shared" si="22"/>
        <v>22289</v>
      </c>
      <c r="I65" s="47">
        <f t="shared" si="22"/>
        <v>14966</v>
      </c>
      <c r="J65" s="47">
        <f t="shared" si="22"/>
        <v>20590</v>
      </c>
      <c r="K65" s="47">
        <f t="shared" si="22"/>
        <v>8017</v>
      </c>
      <c r="L65" s="47">
        <f t="shared" si="22"/>
        <v>11870</v>
      </c>
      <c r="M65" s="47">
        <f t="shared" si="22"/>
        <v>10036</v>
      </c>
      <c r="N65" s="47">
        <f t="shared" si="22"/>
        <v>54666</v>
      </c>
      <c r="O65" s="47">
        <f t="shared" si="22"/>
        <v>11844</v>
      </c>
      <c r="P65" s="47">
        <f t="shared" si="22"/>
        <v>7913</v>
      </c>
      <c r="Q65" s="47">
        <f t="shared" si="22"/>
        <v>46594</v>
      </c>
      <c r="R65" s="47">
        <f t="shared" si="22"/>
        <v>16464</v>
      </c>
      <c r="S65" s="47">
        <f t="shared" si="22"/>
        <v>5468</v>
      </c>
      <c r="T65" s="47">
        <f t="shared" si="22"/>
        <v>52643</v>
      </c>
      <c r="U65" s="47">
        <f t="shared" si="22"/>
        <v>13231</v>
      </c>
      <c r="V65" s="47">
        <f t="shared" si="22"/>
        <v>45947</v>
      </c>
      <c r="W65" s="47">
        <f t="shared" si="22"/>
        <v>2894</v>
      </c>
      <c r="X65" s="47">
        <f t="shared" si="22"/>
        <v>1083</v>
      </c>
      <c r="Y65" s="47">
        <f t="shared" si="22"/>
        <v>42906</v>
      </c>
      <c r="Z65" s="47">
        <f t="shared" si="22"/>
        <v>214598</v>
      </c>
      <c r="AA65" s="47">
        <f t="shared" si="22"/>
        <v>3803</v>
      </c>
      <c r="AB65" s="47">
        <f t="shared" si="22"/>
        <v>2873</v>
      </c>
      <c r="AC65" s="48"/>
      <c r="AD65" s="49">
        <f t="shared" si="13"/>
        <v>672954</v>
      </c>
      <c r="AH65" s="7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</row>
    <row r="66" spans="1:62">
      <c r="A66" s="57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50"/>
      <c r="AH66" s="7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</row>
    <row r="67" spans="1:62" s="5" customFormat="1">
      <c r="A67" s="1" t="s">
        <v>99</v>
      </c>
      <c r="B67" s="49">
        <f t="shared" ref="B67:AB67" si="23">SUM(B56:B65)</f>
        <v>241642</v>
      </c>
      <c r="C67" s="49">
        <f t="shared" si="23"/>
        <v>714818</v>
      </c>
      <c r="D67" s="49">
        <f t="shared" si="23"/>
        <v>174226</v>
      </c>
      <c r="E67" s="49">
        <f t="shared" si="23"/>
        <v>791221</v>
      </c>
      <c r="F67" s="49">
        <f t="shared" si="23"/>
        <v>3645109</v>
      </c>
      <c r="G67" s="49">
        <f t="shared" si="23"/>
        <v>2797438</v>
      </c>
      <c r="H67" s="49">
        <f t="shared" si="23"/>
        <v>1649427</v>
      </c>
      <c r="I67" s="49">
        <f t="shared" si="23"/>
        <v>1730277</v>
      </c>
      <c r="J67" s="49">
        <f t="shared" si="23"/>
        <v>3387574</v>
      </c>
      <c r="K67" s="49">
        <f t="shared" si="23"/>
        <v>1477938</v>
      </c>
      <c r="L67" s="49">
        <f t="shared" si="23"/>
        <v>1746844</v>
      </c>
      <c r="M67" s="49">
        <f t="shared" si="23"/>
        <v>1377368</v>
      </c>
      <c r="N67" s="49">
        <f t="shared" si="23"/>
        <v>9785445</v>
      </c>
      <c r="O67" s="49">
        <f t="shared" si="23"/>
        <v>1737720</v>
      </c>
      <c r="P67" s="49">
        <f t="shared" si="23"/>
        <v>1122372</v>
      </c>
      <c r="Q67" s="49">
        <f t="shared" si="23"/>
        <v>6798709</v>
      </c>
      <c r="R67" s="49">
        <f t="shared" si="23"/>
        <v>2688053</v>
      </c>
      <c r="S67" s="49">
        <f t="shared" si="23"/>
        <v>1039560</v>
      </c>
      <c r="T67" s="49">
        <f t="shared" si="23"/>
        <v>6182423</v>
      </c>
      <c r="U67" s="49">
        <f t="shared" si="23"/>
        <v>1116062</v>
      </c>
      <c r="V67" s="49">
        <f t="shared" si="23"/>
        <v>6311808</v>
      </c>
      <c r="W67" s="49">
        <f t="shared" si="23"/>
        <v>862424</v>
      </c>
      <c r="X67" s="49">
        <f t="shared" si="23"/>
        <v>192722</v>
      </c>
      <c r="Y67" s="49">
        <f t="shared" si="23"/>
        <v>4543717</v>
      </c>
      <c r="Z67" s="49">
        <f t="shared" si="23"/>
        <v>26404617</v>
      </c>
      <c r="AA67" s="49">
        <f t="shared" si="23"/>
        <v>657139</v>
      </c>
      <c r="AB67" s="49">
        <f t="shared" si="23"/>
        <v>596719</v>
      </c>
      <c r="AC67" s="50"/>
      <c r="AD67" s="84">
        <f>IF((SUM(AD56:AD65)=SUM(B67:AB67)),(SUM(B67:AB67)),"erro")</f>
        <v>89773372</v>
      </c>
      <c r="AH67" s="7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</row>
    <row r="72" spans="1:62" s="5" customFormat="1"/>
    <row r="73" spans="1:62" s="5" customFormat="1"/>
    <row r="74" spans="1:62" s="5" customFormat="1"/>
    <row r="75" spans="1:62" s="5" customFormat="1"/>
    <row r="76" spans="1:62" s="5" customFormat="1"/>
    <row r="77" spans="1:62" s="5" customFormat="1"/>
    <row r="78" spans="1:62" s="5" customFormat="1"/>
    <row r="79" spans="1:62" s="5" customFormat="1"/>
    <row r="80" spans="1:62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 ht="15" customHeigh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</sheetData>
  <mergeCells count="4">
    <mergeCell ref="A2:A3"/>
    <mergeCell ref="A54:A55"/>
    <mergeCell ref="A36:A37"/>
    <mergeCell ref="A25:A26"/>
  </mergeCells>
  <pageMargins left="0.75" right="0.75" top="1" bottom="1" header="0.5" footer="0.5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8CBAD"/>
  </sheetPr>
  <dimension ref="A1:BJ166"/>
  <sheetViews>
    <sheetView showGridLines="0" topLeftCell="A19" zoomScale="90" zoomScaleNormal="90" workbookViewId="0">
      <pane xSplit="1" topLeftCell="U1" activePane="topRight" state="frozen"/>
      <selection pane="topRight" activeCell="AD34" sqref="AD34"/>
    </sheetView>
  </sheetViews>
  <sheetFormatPr defaultColWidth="10.85546875" defaultRowHeight="15.75"/>
  <cols>
    <col min="1" max="1" width="35.42578125" style="5" customWidth="1"/>
    <col min="2" max="2" width="11.42578125" bestFit="1" customWidth="1"/>
    <col min="11" max="11" width="13.5703125" customWidth="1"/>
    <col min="12" max="12" width="15.7109375" customWidth="1"/>
    <col min="13" max="13" width="19.42578125" customWidth="1"/>
    <col min="14" max="14" width="13.7109375" customWidth="1"/>
    <col min="26" max="26" width="12.42578125" bestFit="1" customWidth="1"/>
    <col min="28" max="28" width="12.140625" customWidth="1"/>
    <col min="30" max="30" width="13.28515625" style="5" bestFit="1" customWidth="1"/>
  </cols>
  <sheetData>
    <row r="1" spans="1:30">
      <c r="A1" s="83">
        <v>2015</v>
      </c>
    </row>
    <row r="2" spans="1:30">
      <c r="A2" s="97" t="s">
        <v>52</v>
      </c>
    </row>
    <row r="3" spans="1:30">
      <c r="A3" s="98"/>
      <c r="B3" s="6" t="s">
        <v>53</v>
      </c>
      <c r="C3" s="6" t="s">
        <v>54</v>
      </c>
      <c r="D3" s="6" t="s">
        <v>55</v>
      </c>
      <c r="E3" s="6" t="s">
        <v>56</v>
      </c>
      <c r="F3" s="6" t="s">
        <v>57</v>
      </c>
      <c r="G3" s="6" t="s">
        <v>58</v>
      </c>
      <c r="H3" s="6" t="s">
        <v>59</v>
      </c>
      <c r="I3" s="6" t="s">
        <v>60</v>
      </c>
      <c r="J3" s="6" t="s">
        <v>61</v>
      </c>
      <c r="K3" s="6" t="s">
        <v>62</v>
      </c>
      <c r="L3" s="6" t="s">
        <v>63</v>
      </c>
      <c r="M3" s="6" t="s">
        <v>64</v>
      </c>
      <c r="N3" s="6" t="s">
        <v>65</v>
      </c>
      <c r="O3" s="6" t="s">
        <v>66</v>
      </c>
      <c r="P3" s="6" t="s">
        <v>67</v>
      </c>
      <c r="Q3" s="6" t="s">
        <v>68</v>
      </c>
      <c r="R3" s="6" t="s">
        <v>69</v>
      </c>
      <c r="S3" s="6" t="s">
        <v>70</v>
      </c>
      <c r="T3" s="6" t="s">
        <v>71</v>
      </c>
      <c r="U3" s="6" t="s">
        <v>72</v>
      </c>
      <c r="V3" s="6" t="s">
        <v>73</v>
      </c>
      <c r="W3" s="6" t="s">
        <v>74</v>
      </c>
      <c r="X3" s="6" t="s">
        <v>75</v>
      </c>
      <c r="Y3" s="6" t="s">
        <v>76</v>
      </c>
      <c r="Z3" s="6" t="s">
        <v>77</v>
      </c>
      <c r="AA3" s="6" t="s">
        <v>78</v>
      </c>
      <c r="AB3" s="6" t="s">
        <v>79</v>
      </c>
      <c r="AD3" s="30" t="s">
        <v>80</v>
      </c>
    </row>
    <row r="4" spans="1:30" ht="15">
      <c r="A4" s="55" t="s">
        <v>81</v>
      </c>
      <c r="B4" s="29">
        <v>3601</v>
      </c>
      <c r="C4" s="29">
        <v>23930</v>
      </c>
      <c r="D4" s="29">
        <v>1431</v>
      </c>
      <c r="E4" s="29">
        <v>16210</v>
      </c>
      <c r="F4" s="29">
        <v>97525</v>
      </c>
      <c r="G4" s="29">
        <v>62538</v>
      </c>
      <c r="H4" s="29">
        <v>58253</v>
      </c>
      <c r="I4" s="29">
        <v>52789</v>
      </c>
      <c r="J4" s="29">
        <v>158952</v>
      </c>
      <c r="K4" s="29">
        <v>13665</v>
      </c>
      <c r="L4" s="29">
        <v>47333</v>
      </c>
      <c r="M4" s="29">
        <v>53168</v>
      </c>
      <c r="N4" s="29">
        <v>432670</v>
      </c>
      <c r="O4" s="29">
        <v>23721</v>
      </c>
      <c r="P4" s="29">
        <v>29197</v>
      </c>
      <c r="Q4" s="29">
        <v>419228</v>
      </c>
      <c r="R4" s="29">
        <v>93907</v>
      </c>
      <c r="S4" s="29">
        <v>18234</v>
      </c>
      <c r="T4" s="29">
        <v>309241</v>
      </c>
      <c r="U4" s="29">
        <v>29974</v>
      </c>
      <c r="V4" s="29">
        <v>197520</v>
      </c>
      <c r="W4" s="29">
        <v>10282</v>
      </c>
      <c r="X4" s="29">
        <v>1435</v>
      </c>
      <c r="Y4" s="29">
        <v>133007</v>
      </c>
      <c r="Z4" s="29">
        <v>1836425</v>
      </c>
      <c r="AA4" s="29">
        <v>18410</v>
      </c>
      <c r="AB4" s="29">
        <v>10817</v>
      </c>
      <c r="AD4" s="49">
        <f>SUM(B4:AB4)</f>
        <v>4153463</v>
      </c>
    </row>
    <row r="5" spans="1:30" ht="15">
      <c r="A5" s="55" t="s">
        <v>82</v>
      </c>
      <c r="B5" s="29">
        <v>2</v>
      </c>
      <c r="C5" s="29">
        <v>1</v>
      </c>
      <c r="D5" s="29"/>
      <c r="E5" s="29"/>
      <c r="F5" s="29">
        <v>17</v>
      </c>
      <c r="G5" s="29">
        <v>135</v>
      </c>
      <c r="H5" s="29">
        <v>1</v>
      </c>
      <c r="I5" s="29">
        <v>863</v>
      </c>
      <c r="J5" s="29">
        <v>27</v>
      </c>
      <c r="K5" s="29">
        <v>8</v>
      </c>
      <c r="L5" s="29">
        <v>298</v>
      </c>
      <c r="M5" s="29">
        <v>18</v>
      </c>
      <c r="N5" s="29">
        <v>498</v>
      </c>
      <c r="O5" s="29">
        <v>12</v>
      </c>
      <c r="P5" s="29">
        <v>16</v>
      </c>
      <c r="Q5" s="29"/>
      <c r="R5" s="29"/>
      <c r="S5" s="29">
        <v>4</v>
      </c>
      <c r="T5" s="29"/>
      <c r="U5" s="29">
        <v>9</v>
      </c>
      <c r="V5" s="29"/>
      <c r="W5" s="29">
        <v>1</v>
      </c>
      <c r="X5" s="29"/>
      <c r="Y5" s="29">
        <v>4</v>
      </c>
      <c r="Z5" s="29">
        <v>1109</v>
      </c>
      <c r="AA5" s="29">
        <v>1</v>
      </c>
      <c r="AB5" s="29">
        <v>2</v>
      </c>
      <c r="AC5" s="17"/>
      <c r="AD5" s="49">
        <f t="shared" ref="AD5:AD21" si="0">SUM(B5:AB5)</f>
        <v>3026</v>
      </c>
    </row>
    <row r="6" spans="1:30" ht="15">
      <c r="A6" s="55" t="s">
        <v>83</v>
      </c>
      <c r="B6" s="29"/>
      <c r="C6" s="29">
        <v>996</v>
      </c>
      <c r="D6" s="29">
        <v>1</v>
      </c>
      <c r="E6" s="29">
        <v>47</v>
      </c>
      <c r="F6" s="29">
        <v>1659</v>
      </c>
      <c r="G6" s="29">
        <v>2446</v>
      </c>
      <c r="H6" s="29">
        <v>28</v>
      </c>
      <c r="I6" s="29">
        <v>1379</v>
      </c>
      <c r="J6" s="29">
        <v>201</v>
      </c>
      <c r="K6" s="29">
        <v>9</v>
      </c>
      <c r="L6" s="29">
        <v>81</v>
      </c>
      <c r="M6" s="29">
        <v>226</v>
      </c>
      <c r="N6" s="29">
        <v>2669</v>
      </c>
      <c r="O6" s="29">
        <v>12</v>
      </c>
      <c r="P6" s="29">
        <v>1894</v>
      </c>
      <c r="Q6" s="29">
        <v>1658</v>
      </c>
      <c r="R6" s="29">
        <v>2099</v>
      </c>
      <c r="S6" s="29">
        <v>23</v>
      </c>
      <c r="T6" s="29">
        <v>52290</v>
      </c>
      <c r="U6" s="29">
        <v>4790</v>
      </c>
      <c r="V6" s="29">
        <v>2113</v>
      </c>
      <c r="W6" s="29">
        <v>2</v>
      </c>
      <c r="X6" s="29">
        <v>1</v>
      </c>
      <c r="Y6" s="29">
        <v>3939</v>
      </c>
      <c r="Z6" s="29">
        <v>13685</v>
      </c>
      <c r="AA6" s="29">
        <v>1513</v>
      </c>
      <c r="AB6" s="29">
        <v>7</v>
      </c>
      <c r="AC6" s="17"/>
      <c r="AD6" s="49">
        <f t="shared" si="0"/>
        <v>93768</v>
      </c>
    </row>
    <row r="7" spans="1:30" ht="15">
      <c r="A7" s="55" t="s">
        <v>84</v>
      </c>
      <c r="B7" s="29">
        <v>74612</v>
      </c>
      <c r="C7" s="29">
        <v>270226</v>
      </c>
      <c r="D7" s="29">
        <v>72560</v>
      </c>
      <c r="E7" s="29">
        <v>309207</v>
      </c>
      <c r="F7" s="29">
        <v>1300018</v>
      </c>
      <c r="G7" s="29">
        <v>920899</v>
      </c>
      <c r="H7" s="29">
        <v>778980</v>
      </c>
      <c r="I7" s="29">
        <v>610278</v>
      </c>
      <c r="J7" s="29">
        <v>1117673</v>
      </c>
      <c r="K7" s="29">
        <v>540233</v>
      </c>
      <c r="L7" s="29">
        <v>570243</v>
      </c>
      <c r="M7" s="29">
        <v>427299</v>
      </c>
      <c r="N7" s="29">
        <v>3227814</v>
      </c>
      <c r="O7" s="29">
        <v>594913</v>
      </c>
      <c r="P7" s="29">
        <v>395308</v>
      </c>
      <c r="Q7" s="29">
        <v>2110917</v>
      </c>
      <c r="R7" s="29">
        <v>989939</v>
      </c>
      <c r="S7" s="29">
        <v>318983</v>
      </c>
      <c r="T7" s="29">
        <v>1769996</v>
      </c>
      <c r="U7" s="29">
        <v>353914</v>
      </c>
      <c r="V7" s="29">
        <v>1754013</v>
      </c>
      <c r="W7" s="29">
        <v>280040</v>
      </c>
      <c r="X7" s="29">
        <v>60411</v>
      </c>
      <c r="Y7" s="29">
        <v>1523522</v>
      </c>
      <c r="Z7" s="29">
        <v>8539599</v>
      </c>
      <c r="AA7" s="29">
        <v>237484</v>
      </c>
      <c r="AB7" s="29">
        <v>191656</v>
      </c>
      <c r="AC7" s="17"/>
      <c r="AD7" s="49">
        <f t="shared" si="0"/>
        <v>29340737</v>
      </c>
    </row>
    <row r="8" spans="1:30" ht="15">
      <c r="A8" s="55" t="s">
        <v>85</v>
      </c>
      <c r="B8" s="29">
        <v>22324</v>
      </c>
      <c r="C8" s="29">
        <v>57409</v>
      </c>
      <c r="D8" s="29">
        <v>12586</v>
      </c>
      <c r="E8" s="29">
        <v>62289</v>
      </c>
      <c r="F8" s="29">
        <v>308086</v>
      </c>
      <c r="G8" s="29">
        <v>202620</v>
      </c>
      <c r="H8" s="29">
        <v>94077</v>
      </c>
      <c r="I8" s="29">
        <v>168856</v>
      </c>
      <c r="J8" s="29">
        <v>294241</v>
      </c>
      <c r="K8" s="29">
        <v>104363</v>
      </c>
      <c r="L8" s="29">
        <v>200247</v>
      </c>
      <c r="M8" s="29">
        <v>143745</v>
      </c>
      <c r="N8" s="29">
        <v>734462</v>
      </c>
      <c r="O8" s="29">
        <v>156225</v>
      </c>
      <c r="P8" s="29">
        <v>76689</v>
      </c>
      <c r="Q8" s="29">
        <v>628468</v>
      </c>
      <c r="R8" s="29">
        <v>212702</v>
      </c>
      <c r="S8" s="29">
        <v>76867</v>
      </c>
      <c r="T8" s="29">
        <v>333503</v>
      </c>
      <c r="U8" s="29">
        <v>80138</v>
      </c>
      <c r="V8" s="29">
        <v>530299</v>
      </c>
      <c r="W8" s="29">
        <v>78924</v>
      </c>
      <c r="X8" s="29">
        <v>15456</v>
      </c>
      <c r="Y8" s="29">
        <v>358140</v>
      </c>
      <c r="Z8" s="29">
        <v>1609896</v>
      </c>
      <c r="AA8" s="29">
        <v>49121</v>
      </c>
      <c r="AB8" s="29">
        <v>63302</v>
      </c>
      <c r="AC8" s="17"/>
      <c r="AD8" s="49">
        <f t="shared" si="0"/>
        <v>6675035</v>
      </c>
    </row>
    <row r="9" spans="1:30" ht="15">
      <c r="A9" s="55" t="s">
        <v>86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17"/>
      <c r="AD9" s="49">
        <f t="shared" si="0"/>
        <v>0</v>
      </c>
    </row>
    <row r="10" spans="1:30" ht="15">
      <c r="A10" s="55" t="s">
        <v>87</v>
      </c>
      <c r="B10" s="29"/>
      <c r="C10" s="29"/>
      <c r="D10" s="29"/>
      <c r="E10" s="29"/>
      <c r="F10" s="29">
        <v>4</v>
      </c>
      <c r="G10" s="29"/>
      <c r="H10" s="29">
        <v>2</v>
      </c>
      <c r="I10" s="29">
        <v>2</v>
      </c>
      <c r="J10" s="29">
        <v>2</v>
      </c>
      <c r="K10" s="29"/>
      <c r="L10" s="29"/>
      <c r="M10" s="29">
        <v>1</v>
      </c>
      <c r="N10" s="29">
        <v>1</v>
      </c>
      <c r="O10" s="29"/>
      <c r="P10" s="29"/>
      <c r="Q10" s="29"/>
      <c r="R10" s="29"/>
      <c r="S10" s="29"/>
      <c r="T10" s="29"/>
      <c r="U10" s="29"/>
      <c r="V10" s="29">
        <v>5</v>
      </c>
      <c r="W10" s="29">
        <v>1</v>
      </c>
      <c r="X10" s="29">
        <v>2</v>
      </c>
      <c r="Y10" s="29"/>
      <c r="Z10" s="29">
        <v>14</v>
      </c>
      <c r="AA10" s="29"/>
      <c r="AB10" s="29"/>
      <c r="AC10" s="17"/>
      <c r="AD10" s="49">
        <f t="shared" si="0"/>
        <v>34</v>
      </c>
    </row>
    <row r="11" spans="1:30" ht="15">
      <c r="A11" s="55" t="s">
        <v>88</v>
      </c>
      <c r="B11" s="29"/>
      <c r="C11" s="29"/>
      <c r="D11" s="29"/>
      <c r="E11" s="29">
        <v>1</v>
      </c>
      <c r="F11" s="29">
        <v>2</v>
      </c>
      <c r="G11" s="29">
        <v>1</v>
      </c>
      <c r="H11" s="29">
        <v>4</v>
      </c>
      <c r="I11" s="29">
        <v>2</v>
      </c>
      <c r="J11" s="29"/>
      <c r="K11" s="29"/>
      <c r="L11" s="29"/>
      <c r="M11" s="29"/>
      <c r="N11" s="29"/>
      <c r="O11" s="29">
        <v>1</v>
      </c>
      <c r="P11" s="29"/>
      <c r="Q11" s="29">
        <v>6</v>
      </c>
      <c r="R11" s="29"/>
      <c r="S11" s="29"/>
      <c r="T11" s="29">
        <v>6</v>
      </c>
      <c r="U11" s="29">
        <v>2</v>
      </c>
      <c r="V11" s="29"/>
      <c r="W11" s="29"/>
      <c r="X11" s="29"/>
      <c r="Y11" s="29">
        <v>1</v>
      </c>
      <c r="Z11" s="29">
        <v>13</v>
      </c>
      <c r="AA11" s="29">
        <v>1</v>
      </c>
      <c r="AB11" s="29"/>
      <c r="AC11" s="17"/>
      <c r="AD11" s="49">
        <f t="shared" si="0"/>
        <v>40</v>
      </c>
    </row>
    <row r="12" spans="1:30" ht="15">
      <c r="A12" s="55" t="s">
        <v>89</v>
      </c>
      <c r="B12" s="29"/>
      <c r="C12" s="29"/>
      <c r="D12" s="29"/>
      <c r="E12" s="29">
        <v>1</v>
      </c>
      <c r="F12" s="29">
        <v>3</v>
      </c>
      <c r="G12" s="29">
        <v>4</v>
      </c>
      <c r="H12" s="29">
        <v>4</v>
      </c>
      <c r="I12" s="29">
        <v>11</v>
      </c>
      <c r="J12" s="29"/>
      <c r="K12" s="29">
        <v>1</v>
      </c>
      <c r="L12" s="29"/>
      <c r="M12" s="29"/>
      <c r="N12" s="29">
        <v>10</v>
      </c>
      <c r="O12" s="29"/>
      <c r="P12" s="29"/>
      <c r="Q12" s="29">
        <v>3</v>
      </c>
      <c r="R12" s="29">
        <v>65</v>
      </c>
      <c r="S12" s="29"/>
      <c r="T12" s="29">
        <v>10</v>
      </c>
      <c r="U12" s="29"/>
      <c r="V12" s="29">
        <v>18</v>
      </c>
      <c r="W12" s="29"/>
      <c r="X12" s="29"/>
      <c r="Y12" s="29">
        <v>13</v>
      </c>
      <c r="Z12" s="29">
        <v>819</v>
      </c>
      <c r="AA12" s="29"/>
      <c r="AB12" s="29">
        <v>1</v>
      </c>
      <c r="AC12" s="17"/>
      <c r="AD12" s="49">
        <f t="shared" si="0"/>
        <v>963</v>
      </c>
    </row>
    <row r="13" spans="1:30" ht="15">
      <c r="A13" s="55" t="s">
        <v>90</v>
      </c>
      <c r="B13" s="29">
        <v>13</v>
      </c>
      <c r="C13" s="29"/>
      <c r="D13" s="29">
        <v>9</v>
      </c>
      <c r="E13" s="29">
        <v>39</v>
      </c>
      <c r="F13" s="29">
        <v>16</v>
      </c>
      <c r="G13" s="29">
        <v>9</v>
      </c>
      <c r="H13" s="29">
        <v>27</v>
      </c>
      <c r="I13" s="29">
        <v>9</v>
      </c>
      <c r="J13" s="29">
        <v>41</v>
      </c>
      <c r="K13" s="29">
        <v>73</v>
      </c>
      <c r="L13" s="29">
        <v>211</v>
      </c>
      <c r="M13" s="29">
        <v>30</v>
      </c>
      <c r="N13" s="29">
        <v>85</v>
      </c>
      <c r="O13" s="29">
        <v>44</v>
      </c>
      <c r="P13" s="29"/>
      <c r="Q13" s="29">
        <v>214</v>
      </c>
      <c r="R13" s="29">
        <v>22</v>
      </c>
      <c r="S13" s="29">
        <v>28</v>
      </c>
      <c r="T13" s="29">
        <v>52</v>
      </c>
      <c r="U13" s="29">
        <v>1</v>
      </c>
      <c r="V13" s="29">
        <v>93</v>
      </c>
      <c r="W13" s="29">
        <v>29</v>
      </c>
      <c r="X13" s="29">
        <v>19</v>
      </c>
      <c r="Y13" s="29">
        <v>64</v>
      </c>
      <c r="Z13" s="29">
        <v>614</v>
      </c>
      <c r="AA13" s="29">
        <v>1</v>
      </c>
      <c r="AB13" s="29">
        <v>18</v>
      </c>
      <c r="AC13" s="17"/>
      <c r="AD13" s="49">
        <f t="shared" si="0"/>
        <v>1761</v>
      </c>
    </row>
    <row r="14" spans="1:30" ht="15">
      <c r="A14" s="55" t="s">
        <v>91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17"/>
      <c r="AD14" s="49">
        <f t="shared" si="0"/>
        <v>0</v>
      </c>
    </row>
    <row r="15" spans="1:30" ht="15">
      <c r="A15" s="55" t="s">
        <v>92</v>
      </c>
      <c r="B15" s="29"/>
      <c r="C15" s="29"/>
      <c r="D15" s="29"/>
      <c r="E15" s="29">
        <v>6</v>
      </c>
      <c r="F15" s="29">
        <v>18</v>
      </c>
      <c r="G15" s="29"/>
      <c r="H15" s="29">
        <v>2</v>
      </c>
      <c r="I15" s="29">
        <v>11</v>
      </c>
      <c r="J15" s="29">
        <v>25</v>
      </c>
      <c r="K15" s="29">
        <v>2</v>
      </c>
      <c r="L15" s="29">
        <v>5</v>
      </c>
      <c r="M15" s="29">
        <v>3</v>
      </c>
      <c r="N15" s="29">
        <v>12</v>
      </c>
      <c r="O15" s="29"/>
      <c r="P15" s="29">
        <v>4</v>
      </c>
      <c r="Q15" s="29">
        <v>23</v>
      </c>
      <c r="R15" s="29"/>
      <c r="S15" s="29">
        <v>2</v>
      </c>
      <c r="T15" s="29">
        <v>6</v>
      </c>
      <c r="U15" s="29"/>
      <c r="V15" s="29">
        <v>4</v>
      </c>
      <c r="W15" s="29"/>
      <c r="X15" s="29"/>
      <c r="Y15" s="29">
        <v>18</v>
      </c>
      <c r="Z15" s="29">
        <v>56</v>
      </c>
      <c r="AA15" s="29">
        <v>4</v>
      </c>
      <c r="AB15" s="29">
        <v>5</v>
      </c>
      <c r="AC15" s="17"/>
      <c r="AD15" s="49">
        <f t="shared" si="0"/>
        <v>206</v>
      </c>
    </row>
    <row r="16" spans="1:30" ht="15">
      <c r="A16" s="55" t="s">
        <v>93</v>
      </c>
      <c r="B16" s="29">
        <v>8</v>
      </c>
      <c r="C16" s="29">
        <v>4</v>
      </c>
      <c r="D16" s="29">
        <v>2</v>
      </c>
      <c r="E16" s="29"/>
      <c r="F16" s="29">
        <v>59</v>
      </c>
      <c r="G16" s="29">
        <v>390</v>
      </c>
      <c r="H16" s="29">
        <v>3</v>
      </c>
      <c r="I16" s="29">
        <v>4892</v>
      </c>
      <c r="J16" s="29">
        <v>86</v>
      </c>
      <c r="K16" s="29">
        <v>7</v>
      </c>
      <c r="L16" s="29">
        <v>13</v>
      </c>
      <c r="M16" s="29">
        <v>39</v>
      </c>
      <c r="N16" s="29">
        <v>73</v>
      </c>
      <c r="O16" s="29"/>
      <c r="P16" s="29">
        <v>36</v>
      </c>
      <c r="Q16" s="29"/>
      <c r="R16" s="29">
        <v>15</v>
      </c>
      <c r="S16" s="29">
        <v>17</v>
      </c>
      <c r="T16" s="29">
        <v>17</v>
      </c>
      <c r="U16" s="29">
        <v>48</v>
      </c>
      <c r="V16" s="29"/>
      <c r="W16" s="29">
        <v>2</v>
      </c>
      <c r="X16" s="29">
        <v>3</v>
      </c>
      <c r="Y16" s="29">
        <v>33</v>
      </c>
      <c r="Z16" s="29">
        <v>8388</v>
      </c>
      <c r="AA16" s="29"/>
      <c r="AB16" s="29">
        <v>181</v>
      </c>
      <c r="AC16" s="17"/>
      <c r="AD16" s="49">
        <f t="shared" si="0"/>
        <v>14316</v>
      </c>
    </row>
    <row r="17" spans="1:61" ht="15">
      <c r="A17" s="55" t="s">
        <v>94</v>
      </c>
      <c r="B17" s="29">
        <v>127738</v>
      </c>
      <c r="C17" s="29">
        <v>305596</v>
      </c>
      <c r="D17" s="29">
        <v>81135</v>
      </c>
      <c r="E17" s="29">
        <v>373372</v>
      </c>
      <c r="F17" s="29">
        <v>1709219</v>
      </c>
      <c r="G17" s="29">
        <v>1416225</v>
      </c>
      <c r="H17" s="29">
        <v>656471</v>
      </c>
      <c r="I17" s="29">
        <v>807190</v>
      </c>
      <c r="J17" s="29">
        <v>1699811</v>
      </c>
      <c r="K17" s="29">
        <v>732406</v>
      </c>
      <c r="L17" s="29">
        <v>852021</v>
      </c>
      <c r="M17" s="29">
        <v>690723</v>
      </c>
      <c r="N17" s="29">
        <v>4972561</v>
      </c>
      <c r="O17" s="29">
        <v>844122</v>
      </c>
      <c r="P17" s="29">
        <v>539572</v>
      </c>
      <c r="Q17" s="29">
        <v>3367830</v>
      </c>
      <c r="R17" s="29">
        <v>1244815</v>
      </c>
      <c r="S17" s="29">
        <v>563942</v>
      </c>
      <c r="T17" s="29">
        <v>2530882</v>
      </c>
      <c r="U17" s="29">
        <v>548865</v>
      </c>
      <c r="V17" s="29">
        <v>3541679</v>
      </c>
      <c r="W17" s="29">
        <v>450916</v>
      </c>
      <c r="X17" s="29">
        <v>105488</v>
      </c>
      <c r="Y17" s="29">
        <v>2268723</v>
      </c>
      <c r="Z17" s="29">
        <v>13313463</v>
      </c>
      <c r="AA17" s="29">
        <v>299495</v>
      </c>
      <c r="AB17" s="29">
        <v>301026</v>
      </c>
      <c r="AC17" s="17"/>
      <c r="AD17" s="49">
        <f t="shared" si="0"/>
        <v>44345286</v>
      </c>
    </row>
    <row r="18" spans="1:61" ht="15">
      <c r="A18" s="55" t="s">
        <v>95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17"/>
      <c r="AD18" s="49">
        <f t="shared" si="0"/>
        <v>0</v>
      </c>
    </row>
    <row r="19" spans="1:61" ht="15">
      <c r="A19" s="55" t="s">
        <v>96</v>
      </c>
      <c r="B19" s="29">
        <v>4</v>
      </c>
      <c r="C19" s="29">
        <v>7056</v>
      </c>
      <c r="D19" s="29">
        <v>1</v>
      </c>
      <c r="E19" s="29">
        <v>1224</v>
      </c>
      <c r="F19" s="29">
        <v>19890</v>
      </c>
      <c r="G19" s="29">
        <v>12245</v>
      </c>
      <c r="H19" s="29">
        <v>826</v>
      </c>
      <c r="I19" s="29">
        <v>7498</v>
      </c>
      <c r="J19" s="29">
        <v>856</v>
      </c>
      <c r="K19" s="29">
        <v>54</v>
      </c>
      <c r="L19" s="29">
        <v>498</v>
      </c>
      <c r="M19" s="29">
        <v>712</v>
      </c>
      <c r="N19" s="29">
        <v>5952</v>
      </c>
      <c r="O19" s="29">
        <v>43</v>
      </c>
      <c r="P19" s="29">
        <v>5635</v>
      </c>
      <c r="Q19" s="29">
        <v>9345</v>
      </c>
      <c r="R19" s="29">
        <v>12973</v>
      </c>
      <c r="S19" s="29">
        <v>233</v>
      </c>
      <c r="T19" s="29">
        <v>326324</v>
      </c>
      <c r="U19" s="29">
        <v>9022</v>
      </c>
      <c r="V19" s="29">
        <v>15781</v>
      </c>
      <c r="W19" s="29">
        <v>17</v>
      </c>
      <c r="X19" s="29">
        <v>13</v>
      </c>
      <c r="Y19" s="29">
        <v>22566</v>
      </c>
      <c r="Z19" s="29">
        <v>38568</v>
      </c>
      <c r="AA19" s="29">
        <v>6494</v>
      </c>
      <c r="AB19" s="29">
        <v>75</v>
      </c>
      <c r="AC19" s="17"/>
      <c r="AD19" s="49">
        <f t="shared" si="0"/>
        <v>503905</v>
      </c>
    </row>
    <row r="20" spans="1:61" ht="15">
      <c r="A20" s="55" t="s">
        <v>97</v>
      </c>
      <c r="B20" s="29">
        <v>2</v>
      </c>
      <c r="C20" s="29">
        <v>3</v>
      </c>
      <c r="D20" s="29">
        <v>3</v>
      </c>
      <c r="E20" s="29">
        <v>21</v>
      </c>
      <c r="F20" s="29">
        <v>142</v>
      </c>
      <c r="G20" s="29">
        <v>22</v>
      </c>
      <c r="H20" s="29">
        <v>95</v>
      </c>
      <c r="I20" s="29">
        <v>46</v>
      </c>
      <c r="J20" s="29">
        <v>64</v>
      </c>
      <c r="K20" s="29">
        <v>10</v>
      </c>
      <c r="L20" s="29">
        <v>8</v>
      </c>
      <c r="M20" s="29">
        <v>17</v>
      </c>
      <c r="N20" s="29">
        <v>137</v>
      </c>
      <c r="O20" s="29">
        <v>27</v>
      </c>
      <c r="P20" s="29">
        <v>5</v>
      </c>
      <c r="Q20" s="29">
        <v>190</v>
      </c>
      <c r="R20" s="29">
        <v>22</v>
      </c>
      <c r="S20" s="29">
        <v>10</v>
      </c>
      <c r="T20" s="29">
        <v>151</v>
      </c>
      <c r="U20" s="29">
        <v>8</v>
      </c>
      <c r="V20" s="29">
        <v>173</v>
      </c>
      <c r="W20" s="29">
        <v>3</v>
      </c>
      <c r="X20" s="29"/>
      <c r="Y20" s="29">
        <v>158</v>
      </c>
      <c r="Z20" s="29">
        <v>623</v>
      </c>
      <c r="AA20" s="29">
        <v>20</v>
      </c>
      <c r="AB20" s="29">
        <v>2</v>
      </c>
      <c r="AC20" s="17"/>
      <c r="AD20" s="49">
        <f t="shared" si="0"/>
        <v>1962</v>
      </c>
    </row>
    <row r="21" spans="1:61" ht="15">
      <c r="A21" s="55" t="s">
        <v>98</v>
      </c>
      <c r="B21" s="29">
        <v>9</v>
      </c>
      <c r="C21" s="29">
        <v>10367</v>
      </c>
      <c r="D21" s="29">
        <v>4</v>
      </c>
      <c r="E21" s="29">
        <v>489</v>
      </c>
      <c r="F21" s="29">
        <v>26529</v>
      </c>
      <c r="G21" s="29">
        <v>22520</v>
      </c>
      <c r="H21" s="29">
        <v>827</v>
      </c>
      <c r="I21" s="29">
        <v>19344</v>
      </c>
      <c r="J21" s="29">
        <v>2956</v>
      </c>
      <c r="K21" s="29">
        <v>132</v>
      </c>
      <c r="L21" s="29">
        <v>909</v>
      </c>
      <c r="M21" s="29">
        <v>4715</v>
      </c>
      <c r="N21" s="29">
        <v>24268</v>
      </c>
      <c r="O21" s="29">
        <v>210</v>
      </c>
      <c r="P21" s="29">
        <v>14226</v>
      </c>
      <c r="Q21" s="29">
        <v>24494</v>
      </c>
      <c r="R21" s="29">
        <v>29924</v>
      </c>
      <c r="S21" s="29">
        <v>350</v>
      </c>
      <c r="T21" s="29">
        <v>657483</v>
      </c>
      <c r="U21" s="29">
        <v>31726</v>
      </c>
      <c r="V21" s="29">
        <v>43142</v>
      </c>
      <c r="W21" s="29">
        <v>68</v>
      </c>
      <c r="X21" s="29">
        <v>20</v>
      </c>
      <c r="Y21" s="29">
        <v>65307</v>
      </c>
      <c r="Z21" s="29">
        <v>230579</v>
      </c>
      <c r="AA21" s="29">
        <v>12045</v>
      </c>
      <c r="AB21" s="29">
        <v>144</v>
      </c>
      <c r="AC21" s="17"/>
      <c r="AD21" s="49">
        <f t="shared" si="0"/>
        <v>1222787</v>
      </c>
    </row>
    <row r="22" spans="1:61">
      <c r="A22" s="7"/>
      <c r="B22" s="17"/>
      <c r="C22" s="17"/>
      <c r="AC22" s="17"/>
      <c r="AD22" s="48"/>
    </row>
    <row r="23" spans="1:61">
      <c r="A23" s="1" t="s">
        <v>99</v>
      </c>
      <c r="B23" s="52">
        <f>SUM(B4:B21)</f>
        <v>228313</v>
      </c>
      <c r="C23" s="52">
        <f t="shared" ref="C23:AB23" si="1">SUM(C4:C21)</f>
        <v>675588</v>
      </c>
      <c r="D23" s="52">
        <f t="shared" si="1"/>
        <v>167732</v>
      </c>
      <c r="E23" s="52">
        <f t="shared" si="1"/>
        <v>762906</v>
      </c>
      <c r="F23" s="52">
        <f t="shared" si="1"/>
        <v>3463187</v>
      </c>
      <c r="G23" s="52">
        <f t="shared" si="1"/>
        <v>2640054</v>
      </c>
      <c r="H23" s="52">
        <f t="shared" si="1"/>
        <v>1589600</v>
      </c>
      <c r="I23" s="52">
        <f t="shared" si="1"/>
        <v>1673170</v>
      </c>
      <c r="J23" s="52">
        <f t="shared" si="1"/>
        <v>3274935</v>
      </c>
      <c r="K23" s="52">
        <f t="shared" si="1"/>
        <v>1390963</v>
      </c>
      <c r="L23" s="52">
        <f t="shared" si="1"/>
        <v>1671867</v>
      </c>
      <c r="M23" s="52">
        <f t="shared" si="1"/>
        <v>1320696</v>
      </c>
      <c r="N23" s="52">
        <f t="shared" si="1"/>
        <v>9401212</v>
      </c>
      <c r="O23" s="52">
        <f t="shared" si="1"/>
        <v>1619330</v>
      </c>
      <c r="P23" s="52">
        <f t="shared" si="1"/>
        <v>1062582</v>
      </c>
      <c r="Q23" s="52">
        <f t="shared" si="1"/>
        <v>6562376</v>
      </c>
      <c r="R23" s="52">
        <f t="shared" si="1"/>
        <v>2586483</v>
      </c>
      <c r="S23" s="52">
        <f t="shared" si="1"/>
        <v>978693</v>
      </c>
      <c r="T23" s="52">
        <f t="shared" si="1"/>
        <v>5979961</v>
      </c>
      <c r="U23" s="52">
        <f t="shared" si="1"/>
        <v>1058497</v>
      </c>
      <c r="V23" s="52">
        <f t="shared" si="1"/>
        <v>6084840</v>
      </c>
      <c r="W23" s="52">
        <f t="shared" si="1"/>
        <v>820285</v>
      </c>
      <c r="X23" s="52">
        <f t="shared" si="1"/>
        <v>182848</v>
      </c>
      <c r="Y23" s="52">
        <f t="shared" si="1"/>
        <v>4375495</v>
      </c>
      <c r="Z23" s="52">
        <f t="shared" si="1"/>
        <v>25593851</v>
      </c>
      <c r="AA23" s="52">
        <f t="shared" si="1"/>
        <v>624589</v>
      </c>
      <c r="AB23" s="52">
        <f t="shared" si="1"/>
        <v>567236</v>
      </c>
      <c r="AC23" s="8"/>
      <c r="AD23" s="49">
        <f>IF((SUM(AD4:AD21)=SUM(B23:AB23)),(SUM(B23:AB23)),"erro")</f>
        <v>86357289</v>
      </c>
    </row>
    <row r="24" spans="1:6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61">
      <c r="A25" s="99" t="s">
        <v>100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61" s="5" customFormat="1">
      <c r="A26" s="100"/>
      <c r="B26" s="6" t="s">
        <v>53</v>
      </c>
      <c r="C26" s="6" t="s">
        <v>54</v>
      </c>
      <c r="D26" s="6" t="s">
        <v>55</v>
      </c>
      <c r="E26" s="6" t="s">
        <v>56</v>
      </c>
      <c r="F26" s="6" t="s">
        <v>57</v>
      </c>
      <c r="G26" s="6" t="s">
        <v>58</v>
      </c>
      <c r="H26" s="6" t="s">
        <v>59</v>
      </c>
      <c r="I26" s="6" t="s">
        <v>60</v>
      </c>
      <c r="J26" s="6" t="s">
        <v>61</v>
      </c>
      <c r="K26" s="6" t="s">
        <v>62</v>
      </c>
      <c r="L26" s="6" t="s">
        <v>63</v>
      </c>
      <c r="M26" s="6" t="s">
        <v>64</v>
      </c>
      <c r="N26" s="6" t="s">
        <v>65</v>
      </c>
      <c r="O26" s="6" t="s">
        <v>66</v>
      </c>
      <c r="P26" s="6" t="s">
        <v>67</v>
      </c>
      <c r="Q26" s="6" t="s">
        <v>68</v>
      </c>
      <c r="R26" s="6" t="s">
        <v>69</v>
      </c>
      <c r="S26" s="6" t="s">
        <v>70</v>
      </c>
      <c r="T26" s="6" t="s">
        <v>71</v>
      </c>
      <c r="U26" s="6" t="s">
        <v>72</v>
      </c>
      <c r="V26" s="6" t="s">
        <v>73</v>
      </c>
      <c r="W26" s="6" t="s">
        <v>74</v>
      </c>
      <c r="X26" s="6" t="s">
        <v>75</v>
      </c>
      <c r="Y26" s="6" t="s">
        <v>76</v>
      </c>
      <c r="Z26" s="6" t="s">
        <v>77</v>
      </c>
      <c r="AA26" s="6" t="s">
        <v>78</v>
      </c>
      <c r="AB26" s="6" t="s">
        <v>79</v>
      </c>
      <c r="AD26" s="6" t="s">
        <v>80</v>
      </c>
    </row>
    <row r="27" spans="1:61">
      <c r="A27" s="56" t="s">
        <v>81</v>
      </c>
      <c r="B27" s="47">
        <f t="shared" ref="B27:AB27" si="2">B4+B5</f>
        <v>3603</v>
      </c>
      <c r="C27" s="47">
        <f t="shared" si="2"/>
        <v>23931</v>
      </c>
      <c r="D27" s="47">
        <f t="shared" si="2"/>
        <v>1431</v>
      </c>
      <c r="E27" s="47">
        <f t="shared" si="2"/>
        <v>16210</v>
      </c>
      <c r="F27" s="47">
        <f t="shared" si="2"/>
        <v>97542</v>
      </c>
      <c r="G27" s="47">
        <f t="shared" si="2"/>
        <v>62673</v>
      </c>
      <c r="H27" s="47">
        <f t="shared" si="2"/>
        <v>58254</v>
      </c>
      <c r="I27" s="47">
        <f t="shared" si="2"/>
        <v>53652</v>
      </c>
      <c r="J27" s="47">
        <f t="shared" si="2"/>
        <v>158979</v>
      </c>
      <c r="K27" s="47">
        <f t="shared" si="2"/>
        <v>13673</v>
      </c>
      <c r="L27" s="47">
        <f t="shared" si="2"/>
        <v>47631</v>
      </c>
      <c r="M27" s="47">
        <f t="shared" si="2"/>
        <v>53186</v>
      </c>
      <c r="N27" s="47">
        <f t="shared" si="2"/>
        <v>433168</v>
      </c>
      <c r="O27" s="47">
        <f t="shared" si="2"/>
        <v>23733</v>
      </c>
      <c r="P27" s="47">
        <f t="shared" si="2"/>
        <v>29213</v>
      </c>
      <c r="Q27" s="47">
        <f t="shared" si="2"/>
        <v>419228</v>
      </c>
      <c r="R27" s="47">
        <f t="shared" si="2"/>
        <v>93907</v>
      </c>
      <c r="S27" s="47">
        <f t="shared" si="2"/>
        <v>18238</v>
      </c>
      <c r="T27" s="47">
        <f t="shared" si="2"/>
        <v>309241</v>
      </c>
      <c r="U27" s="47">
        <f t="shared" si="2"/>
        <v>29983</v>
      </c>
      <c r="V27" s="47">
        <f t="shared" si="2"/>
        <v>197520</v>
      </c>
      <c r="W27" s="47">
        <f t="shared" si="2"/>
        <v>10283</v>
      </c>
      <c r="X27" s="47">
        <f t="shared" si="2"/>
        <v>1435</v>
      </c>
      <c r="Y27" s="47">
        <f t="shared" si="2"/>
        <v>133011</v>
      </c>
      <c r="Z27" s="47">
        <f t="shared" si="2"/>
        <v>1837534</v>
      </c>
      <c r="AA27" s="47">
        <f t="shared" si="2"/>
        <v>18411</v>
      </c>
      <c r="AB27" s="47">
        <f t="shared" si="2"/>
        <v>10819</v>
      </c>
      <c r="AC27" s="48"/>
      <c r="AD27" s="49">
        <f>SUM(B27:AB27)</f>
        <v>4156489</v>
      </c>
      <c r="AH27" s="7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</row>
    <row r="28" spans="1:61">
      <c r="A28" s="56" t="s">
        <v>84</v>
      </c>
      <c r="B28" s="47">
        <f t="shared" ref="B28:AB28" si="3">B7</f>
        <v>74612</v>
      </c>
      <c r="C28" s="47">
        <f t="shared" si="3"/>
        <v>270226</v>
      </c>
      <c r="D28" s="47">
        <f t="shared" si="3"/>
        <v>72560</v>
      </c>
      <c r="E28" s="47">
        <f t="shared" si="3"/>
        <v>309207</v>
      </c>
      <c r="F28" s="47">
        <f t="shared" si="3"/>
        <v>1300018</v>
      </c>
      <c r="G28" s="47">
        <f t="shared" si="3"/>
        <v>920899</v>
      </c>
      <c r="H28" s="47">
        <f t="shared" si="3"/>
        <v>778980</v>
      </c>
      <c r="I28" s="47">
        <f t="shared" si="3"/>
        <v>610278</v>
      </c>
      <c r="J28" s="47">
        <f t="shared" si="3"/>
        <v>1117673</v>
      </c>
      <c r="K28" s="47">
        <f t="shared" si="3"/>
        <v>540233</v>
      </c>
      <c r="L28" s="47">
        <f t="shared" si="3"/>
        <v>570243</v>
      </c>
      <c r="M28" s="47">
        <f t="shared" si="3"/>
        <v>427299</v>
      </c>
      <c r="N28" s="47">
        <f t="shared" si="3"/>
        <v>3227814</v>
      </c>
      <c r="O28" s="47">
        <f t="shared" si="3"/>
        <v>594913</v>
      </c>
      <c r="P28" s="47">
        <f t="shared" si="3"/>
        <v>395308</v>
      </c>
      <c r="Q28" s="47">
        <f t="shared" si="3"/>
        <v>2110917</v>
      </c>
      <c r="R28" s="47">
        <f t="shared" si="3"/>
        <v>989939</v>
      </c>
      <c r="S28" s="47">
        <f t="shared" si="3"/>
        <v>318983</v>
      </c>
      <c r="T28" s="47">
        <f t="shared" si="3"/>
        <v>1769996</v>
      </c>
      <c r="U28" s="47">
        <f t="shared" si="3"/>
        <v>353914</v>
      </c>
      <c r="V28" s="47">
        <f t="shared" si="3"/>
        <v>1754013</v>
      </c>
      <c r="W28" s="47">
        <f t="shared" si="3"/>
        <v>280040</v>
      </c>
      <c r="X28" s="47">
        <f t="shared" si="3"/>
        <v>60411</v>
      </c>
      <c r="Y28" s="47">
        <f t="shared" si="3"/>
        <v>1523522</v>
      </c>
      <c r="Z28" s="47">
        <f t="shared" si="3"/>
        <v>8539599</v>
      </c>
      <c r="AA28" s="47">
        <f t="shared" si="3"/>
        <v>237484</v>
      </c>
      <c r="AB28" s="47">
        <f t="shared" si="3"/>
        <v>191656</v>
      </c>
      <c r="AC28" s="48"/>
      <c r="AD28" s="49">
        <f t="shared" ref="AD28:AD32" si="4">SUM(B28:AB28)</f>
        <v>29340737</v>
      </c>
      <c r="AH28" s="7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</row>
    <row r="29" spans="1:61">
      <c r="A29" s="56" t="s">
        <v>85</v>
      </c>
      <c r="B29" s="47">
        <f t="shared" ref="B29:AB29" si="5">B8++B10</f>
        <v>22324</v>
      </c>
      <c r="C29" s="47">
        <f t="shared" si="5"/>
        <v>57409</v>
      </c>
      <c r="D29" s="47">
        <f t="shared" si="5"/>
        <v>12586</v>
      </c>
      <c r="E29" s="47">
        <f t="shared" si="5"/>
        <v>62289</v>
      </c>
      <c r="F29" s="47">
        <f t="shared" si="5"/>
        <v>308090</v>
      </c>
      <c r="G29" s="47">
        <f t="shared" si="5"/>
        <v>202620</v>
      </c>
      <c r="H29" s="47">
        <f t="shared" si="5"/>
        <v>94079</v>
      </c>
      <c r="I29" s="47">
        <f t="shared" si="5"/>
        <v>168858</v>
      </c>
      <c r="J29" s="47">
        <f t="shared" si="5"/>
        <v>294243</v>
      </c>
      <c r="K29" s="47">
        <f t="shared" si="5"/>
        <v>104363</v>
      </c>
      <c r="L29" s="47">
        <f t="shared" si="5"/>
        <v>200247</v>
      </c>
      <c r="M29" s="47">
        <f t="shared" si="5"/>
        <v>143746</v>
      </c>
      <c r="N29" s="47">
        <f t="shared" si="5"/>
        <v>734463</v>
      </c>
      <c r="O29" s="47">
        <f t="shared" si="5"/>
        <v>156225</v>
      </c>
      <c r="P29" s="47">
        <f t="shared" si="5"/>
        <v>76689</v>
      </c>
      <c r="Q29" s="47">
        <f t="shared" si="5"/>
        <v>628468</v>
      </c>
      <c r="R29" s="47">
        <f t="shared" si="5"/>
        <v>212702</v>
      </c>
      <c r="S29" s="47">
        <f t="shared" si="5"/>
        <v>76867</v>
      </c>
      <c r="T29" s="47">
        <f t="shared" si="5"/>
        <v>333503</v>
      </c>
      <c r="U29" s="47">
        <f t="shared" si="5"/>
        <v>80138</v>
      </c>
      <c r="V29" s="47">
        <f t="shared" si="5"/>
        <v>530304</v>
      </c>
      <c r="W29" s="47">
        <f t="shared" si="5"/>
        <v>78925</v>
      </c>
      <c r="X29" s="47">
        <f t="shared" si="5"/>
        <v>15458</v>
      </c>
      <c r="Y29" s="47">
        <f t="shared" si="5"/>
        <v>358140</v>
      </c>
      <c r="Z29" s="47">
        <f t="shared" si="5"/>
        <v>1609910</v>
      </c>
      <c r="AA29" s="47">
        <f t="shared" si="5"/>
        <v>49121</v>
      </c>
      <c r="AB29" s="47">
        <f t="shared" si="5"/>
        <v>63302</v>
      </c>
      <c r="AC29" s="48"/>
      <c r="AD29" s="49">
        <f t="shared" si="4"/>
        <v>6675069</v>
      </c>
      <c r="AH29" s="7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</row>
    <row r="30" spans="1:61">
      <c r="A30" s="56" t="s">
        <v>101</v>
      </c>
      <c r="B30" s="47">
        <f t="shared" ref="B30:AB30" si="6">B9+B12+B13+B14+B18+B20</f>
        <v>15</v>
      </c>
      <c r="C30" s="47">
        <f t="shared" si="6"/>
        <v>3</v>
      </c>
      <c r="D30" s="47">
        <f t="shared" si="6"/>
        <v>12</v>
      </c>
      <c r="E30" s="47">
        <f t="shared" si="6"/>
        <v>61</v>
      </c>
      <c r="F30" s="47">
        <f t="shared" si="6"/>
        <v>161</v>
      </c>
      <c r="G30" s="47">
        <f t="shared" si="6"/>
        <v>35</v>
      </c>
      <c r="H30" s="47">
        <f t="shared" si="6"/>
        <v>126</v>
      </c>
      <c r="I30" s="47">
        <f t="shared" si="6"/>
        <v>66</v>
      </c>
      <c r="J30" s="47">
        <f t="shared" si="6"/>
        <v>105</v>
      </c>
      <c r="K30" s="47">
        <f t="shared" si="6"/>
        <v>84</v>
      </c>
      <c r="L30" s="47">
        <f t="shared" si="6"/>
        <v>219</v>
      </c>
      <c r="M30" s="47">
        <f t="shared" si="6"/>
        <v>47</v>
      </c>
      <c r="N30" s="47">
        <f t="shared" si="6"/>
        <v>232</v>
      </c>
      <c r="O30" s="47">
        <f t="shared" si="6"/>
        <v>71</v>
      </c>
      <c r="P30" s="47">
        <f t="shared" si="6"/>
        <v>5</v>
      </c>
      <c r="Q30" s="47">
        <f t="shared" si="6"/>
        <v>407</v>
      </c>
      <c r="R30" s="47">
        <f t="shared" si="6"/>
        <v>109</v>
      </c>
      <c r="S30" s="47">
        <f t="shared" si="6"/>
        <v>38</v>
      </c>
      <c r="T30" s="47">
        <f t="shared" si="6"/>
        <v>213</v>
      </c>
      <c r="U30" s="47">
        <f t="shared" si="6"/>
        <v>9</v>
      </c>
      <c r="V30" s="47">
        <f t="shared" si="6"/>
        <v>284</v>
      </c>
      <c r="W30" s="47">
        <f t="shared" si="6"/>
        <v>32</v>
      </c>
      <c r="X30" s="47">
        <f t="shared" si="6"/>
        <v>19</v>
      </c>
      <c r="Y30" s="47">
        <f t="shared" si="6"/>
        <v>235</v>
      </c>
      <c r="Z30" s="47">
        <f t="shared" si="6"/>
        <v>2056</v>
      </c>
      <c r="AA30" s="47">
        <f t="shared" si="6"/>
        <v>21</v>
      </c>
      <c r="AB30" s="47">
        <f t="shared" si="6"/>
        <v>21</v>
      </c>
      <c r="AC30" s="48"/>
      <c r="AD30" s="49">
        <f t="shared" si="4"/>
        <v>4686</v>
      </c>
      <c r="AH30" s="7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</row>
    <row r="31" spans="1:61">
      <c r="A31" s="56" t="s">
        <v>16</v>
      </c>
      <c r="B31" s="47">
        <f t="shared" ref="B31:AB31" si="7">B6+B11+B15+B19+B21</f>
        <v>13</v>
      </c>
      <c r="C31" s="47">
        <f t="shared" si="7"/>
        <v>18419</v>
      </c>
      <c r="D31" s="47">
        <f t="shared" si="7"/>
        <v>6</v>
      </c>
      <c r="E31" s="47">
        <f t="shared" si="7"/>
        <v>1767</v>
      </c>
      <c r="F31" s="47">
        <f t="shared" si="7"/>
        <v>48098</v>
      </c>
      <c r="G31" s="47">
        <f t="shared" si="7"/>
        <v>37212</v>
      </c>
      <c r="H31" s="47">
        <f t="shared" si="7"/>
        <v>1687</v>
      </c>
      <c r="I31" s="47">
        <f t="shared" si="7"/>
        <v>28234</v>
      </c>
      <c r="J31" s="47">
        <f t="shared" si="7"/>
        <v>4038</v>
      </c>
      <c r="K31" s="47">
        <f t="shared" si="7"/>
        <v>197</v>
      </c>
      <c r="L31" s="47">
        <f t="shared" si="7"/>
        <v>1493</v>
      </c>
      <c r="M31" s="47">
        <f t="shared" si="7"/>
        <v>5656</v>
      </c>
      <c r="N31" s="47">
        <f t="shared" si="7"/>
        <v>32901</v>
      </c>
      <c r="O31" s="47">
        <f t="shared" si="7"/>
        <v>266</v>
      </c>
      <c r="P31" s="47">
        <f t="shared" si="7"/>
        <v>21759</v>
      </c>
      <c r="Q31" s="47">
        <f t="shared" si="7"/>
        <v>35526</v>
      </c>
      <c r="R31" s="47">
        <f t="shared" si="7"/>
        <v>44996</v>
      </c>
      <c r="S31" s="47">
        <f t="shared" si="7"/>
        <v>608</v>
      </c>
      <c r="T31" s="47">
        <f t="shared" si="7"/>
        <v>1036109</v>
      </c>
      <c r="U31" s="47">
        <f t="shared" si="7"/>
        <v>45540</v>
      </c>
      <c r="V31" s="47">
        <f t="shared" si="7"/>
        <v>61040</v>
      </c>
      <c r="W31" s="47">
        <f t="shared" si="7"/>
        <v>87</v>
      </c>
      <c r="X31" s="47">
        <f t="shared" si="7"/>
        <v>34</v>
      </c>
      <c r="Y31" s="47">
        <f t="shared" si="7"/>
        <v>91831</v>
      </c>
      <c r="Z31" s="47">
        <f t="shared" si="7"/>
        <v>282901</v>
      </c>
      <c r="AA31" s="47">
        <f t="shared" si="7"/>
        <v>20057</v>
      </c>
      <c r="AB31" s="47">
        <f t="shared" si="7"/>
        <v>231</v>
      </c>
      <c r="AC31" s="48"/>
      <c r="AD31" s="49">
        <f t="shared" si="4"/>
        <v>1820706</v>
      </c>
      <c r="AH31" s="7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</row>
    <row r="32" spans="1:61">
      <c r="A32" s="56" t="s">
        <v>94</v>
      </c>
      <c r="B32" s="47">
        <f t="shared" ref="B32:AB32" si="8">B16+B17</f>
        <v>127746</v>
      </c>
      <c r="C32" s="47">
        <f t="shared" si="8"/>
        <v>305600</v>
      </c>
      <c r="D32" s="47">
        <f t="shared" si="8"/>
        <v>81137</v>
      </c>
      <c r="E32" s="47">
        <f t="shared" si="8"/>
        <v>373372</v>
      </c>
      <c r="F32" s="47">
        <f t="shared" si="8"/>
        <v>1709278</v>
      </c>
      <c r="G32" s="47">
        <f t="shared" si="8"/>
        <v>1416615</v>
      </c>
      <c r="H32" s="47">
        <f t="shared" si="8"/>
        <v>656474</v>
      </c>
      <c r="I32" s="47">
        <f t="shared" si="8"/>
        <v>812082</v>
      </c>
      <c r="J32" s="47">
        <f t="shared" si="8"/>
        <v>1699897</v>
      </c>
      <c r="K32" s="47">
        <f t="shared" si="8"/>
        <v>732413</v>
      </c>
      <c r="L32" s="47">
        <f t="shared" si="8"/>
        <v>852034</v>
      </c>
      <c r="M32" s="47">
        <f t="shared" si="8"/>
        <v>690762</v>
      </c>
      <c r="N32" s="47">
        <f t="shared" si="8"/>
        <v>4972634</v>
      </c>
      <c r="O32" s="47">
        <f t="shared" si="8"/>
        <v>844122</v>
      </c>
      <c r="P32" s="47">
        <f t="shared" si="8"/>
        <v>539608</v>
      </c>
      <c r="Q32" s="47">
        <f t="shared" si="8"/>
        <v>3367830</v>
      </c>
      <c r="R32" s="47">
        <f t="shared" si="8"/>
        <v>1244830</v>
      </c>
      <c r="S32" s="47">
        <f t="shared" si="8"/>
        <v>563959</v>
      </c>
      <c r="T32" s="47">
        <f t="shared" si="8"/>
        <v>2530899</v>
      </c>
      <c r="U32" s="47">
        <f t="shared" si="8"/>
        <v>548913</v>
      </c>
      <c r="V32" s="47">
        <f t="shared" si="8"/>
        <v>3541679</v>
      </c>
      <c r="W32" s="47">
        <f t="shared" si="8"/>
        <v>450918</v>
      </c>
      <c r="X32" s="47">
        <f t="shared" si="8"/>
        <v>105491</v>
      </c>
      <c r="Y32" s="47">
        <f t="shared" si="8"/>
        <v>2268756</v>
      </c>
      <c r="Z32" s="47">
        <f t="shared" si="8"/>
        <v>13321851</v>
      </c>
      <c r="AA32" s="47">
        <f t="shared" si="8"/>
        <v>299495</v>
      </c>
      <c r="AB32" s="47">
        <f t="shared" si="8"/>
        <v>301207</v>
      </c>
      <c r="AC32" s="48"/>
      <c r="AD32" s="49">
        <f t="shared" si="4"/>
        <v>44359602</v>
      </c>
      <c r="AH32" s="7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</row>
    <row r="33" spans="1:61">
      <c r="A33" s="57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50"/>
      <c r="AH33" s="7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</row>
    <row r="34" spans="1:61">
      <c r="A34" s="1" t="s">
        <v>99</v>
      </c>
      <c r="B34" s="49">
        <f>SUM(B27:B32)</f>
        <v>228313</v>
      </c>
      <c r="C34" s="49">
        <f t="shared" ref="C34:AB34" si="9">SUM(C27:C32)</f>
        <v>675588</v>
      </c>
      <c r="D34" s="49">
        <f t="shared" si="9"/>
        <v>167732</v>
      </c>
      <c r="E34" s="49">
        <f t="shared" si="9"/>
        <v>762906</v>
      </c>
      <c r="F34" s="49">
        <f t="shared" si="9"/>
        <v>3463187</v>
      </c>
      <c r="G34" s="49">
        <f t="shared" si="9"/>
        <v>2640054</v>
      </c>
      <c r="H34" s="49">
        <f t="shared" si="9"/>
        <v>1589600</v>
      </c>
      <c r="I34" s="49">
        <f t="shared" si="9"/>
        <v>1673170</v>
      </c>
      <c r="J34" s="49">
        <f t="shared" si="9"/>
        <v>3274935</v>
      </c>
      <c r="K34" s="49">
        <f t="shared" si="9"/>
        <v>1390963</v>
      </c>
      <c r="L34" s="49">
        <f t="shared" si="9"/>
        <v>1671867</v>
      </c>
      <c r="M34" s="49">
        <f t="shared" si="9"/>
        <v>1320696</v>
      </c>
      <c r="N34" s="49">
        <f t="shared" si="9"/>
        <v>9401212</v>
      </c>
      <c r="O34" s="49">
        <f t="shared" si="9"/>
        <v>1619330</v>
      </c>
      <c r="P34" s="49">
        <f t="shared" si="9"/>
        <v>1062582</v>
      </c>
      <c r="Q34" s="49">
        <f t="shared" si="9"/>
        <v>6562376</v>
      </c>
      <c r="R34" s="49">
        <f t="shared" si="9"/>
        <v>2586483</v>
      </c>
      <c r="S34" s="49">
        <f t="shared" si="9"/>
        <v>978693</v>
      </c>
      <c r="T34" s="49">
        <f t="shared" si="9"/>
        <v>5979961</v>
      </c>
      <c r="U34" s="49">
        <f t="shared" si="9"/>
        <v>1058497</v>
      </c>
      <c r="V34" s="49">
        <f t="shared" si="9"/>
        <v>6084840</v>
      </c>
      <c r="W34" s="49">
        <f t="shared" si="9"/>
        <v>820285</v>
      </c>
      <c r="X34" s="49">
        <f t="shared" si="9"/>
        <v>182848</v>
      </c>
      <c r="Y34" s="49">
        <f t="shared" si="9"/>
        <v>4375495</v>
      </c>
      <c r="Z34" s="49">
        <f t="shared" si="9"/>
        <v>25593851</v>
      </c>
      <c r="AA34" s="49">
        <f t="shared" si="9"/>
        <v>624589</v>
      </c>
      <c r="AB34" s="49">
        <f t="shared" si="9"/>
        <v>567236</v>
      </c>
      <c r="AC34" s="48"/>
      <c r="AD34" s="51">
        <f>IF((SUM(AD27:AD32)=SUM(B34:AB34)),(SUM(B34:AB34)),"erro")</f>
        <v>86357289</v>
      </c>
      <c r="AH34" s="7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</row>
    <row r="35" spans="1:61" ht="15.75" customHeight="1">
      <c r="A35" s="7"/>
    </row>
    <row r="36" spans="1:61">
      <c r="A36" s="99" t="s">
        <v>102</v>
      </c>
    </row>
    <row r="37" spans="1:61">
      <c r="A37" s="100"/>
      <c r="B37" s="6" t="s">
        <v>53</v>
      </c>
      <c r="C37" s="6" t="s">
        <v>54</v>
      </c>
      <c r="D37" s="6" t="s">
        <v>55</v>
      </c>
      <c r="E37" s="6" t="s">
        <v>56</v>
      </c>
      <c r="F37" s="6" t="s">
        <v>57</v>
      </c>
      <c r="G37" s="6" t="s">
        <v>58</v>
      </c>
      <c r="H37" s="6" t="s">
        <v>59</v>
      </c>
      <c r="I37" s="6" t="s">
        <v>60</v>
      </c>
      <c r="J37" s="6" t="s">
        <v>61</v>
      </c>
      <c r="K37" s="6" t="s">
        <v>62</v>
      </c>
      <c r="L37" s="6" t="s">
        <v>63</v>
      </c>
      <c r="M37" s="6" t="s">
        <v>64</v>
      </c>
      <c r="N37" s="6" t="s">
        <v>65</v>
      </c>
      <c r="O37" s="6" t="s">
        <v>66</v>
      </c>
      <c r="P37" s="6" t="s">
        <v>67</v>
      </c>
      <c r="Q37" s="6" t="s">
        <v>68</v>
      </c>
      <c r="R37" s="6" t="s">
        <v>69</v>
      </c>
      <c r="S37" s="6" t="s">
        <v>70</v>
      </c>
      <c r="T37" s="6" t="s">
        <v>71</v>
      </c>
      <c r="U37" s="6" t="s">
        <v>72</v>
      </c>
      <c r="V37" s="6" t="s">
        <v>73</v>
      </c>
      <c r="W37" s="6" t="s">
        <v>74</v>
      </c>
      <c r="X37" s="6" t="s">
        <v>75</v>
      </c>
      <c r="Y37" s="6" t="s">
        <v>76</v>
      </c>
      <c r="Z37" s="6" t="s">
        <v>77</v>
      </c>
      <c r="AA37" s="6" t="s">
        <v>78</v>
      </c>
      <c r="AB37" s="6" t="s">
        <v>79</v>
      </c>
      <c r="AD37" s="6" t="s">
        <v>80</v>
      </c>
    </row>
    <row r="38" spans="1:61">
      <c r="A38" s="58" t="s">
        <v>103</v>
      </c>
      <c r="B38" s="29">
        <v>75316</v>
      </c>
      <c r="C38" s="29">
        <v>304782</v>
      </c>
      <c r="D38" s="29">
        <v>71427</v>
      </c>
      <c r="E38" s="29">
        <v>353134</v>
      </c>
      <c r="F38" s="29">
        <v>1573086</v>
      </c>
      <c r="G38" s="29">
        <v>985250</v>
      </c>
      <c r="H38" s="29">
        <v>1167927</v>
      </c>
      <c r="I38" s="29">
        <v>860637</v>
      </c>
      <c r="J38" s="29">
        <v>1647739</v>
      </c>
      <c r="K38" s="29">
        <v>372984</v>
      </c>
      <c r="L38" s="29">
        <v>604754</v>
      </c>
      <c r="M38" s="29">
        <v>637529</v>
      </c>
      <c r="N38" s="29">
        <v>5316748</v>
      </c>
      <c r="O38" s="29">
        <v>508912</v>
      </c>
      <c r="P38" s="29">
        <v>452076</v>
      </c>
      <c r="Q38" s="29">
        <v>4043523</v>
      </c>
      <c r="R38" s="29">
        <v>1182214</v>
      </c>
      <c r="S38" s="29">
        <v>293027</v>
      </c>
      <c r="T38" s="29">
        <v>4121207</v>
      </c>
      <c r="U38" s="29">
        <v>475364</v>
      </c>
      <c r="V38" s="29">
        <v>3891166</v>
      </c>
      <c r="W38" s="29">
        <v>237614</v>
      </c>
      <c r="X38" s="29">
        <v>60660</v>
      </c>
      <c r="Y38" s="29">
        <v>2605690</v>
      </c>
      <c r="Z38" s="29">
        <v>16596231</v>
      </c>
      <c r="AA38" s="29">
        <v>290120</v>
      </c>
      <c r="AB38" s="29">
        <v>180081</v>
      </c>
      <c r="AC38" s="17"/>
      <c r="AD38" s="49">
        <f>SUM(B38:AB38)</f>
        <v>48909198</v>
      </c>
    </row>
    <row r="39" spans="1:61">
      <c r="A39" s="58" t="s">
        <v>104</v>
      </c>
      <c r="B39" s="29">
        <v>6737</v>
      </c>
      <c r="C39" s="29">
        <v>20120</v>
      </c>
      <c r="D39" s="29">
        <v>3978</v>
      </c>
      <c r="E39" s="29">
        <v>19840</v>
      </c>
      <c r="F39" s="29">
        <v>112145</v>
      </c>
      <c r="G39" s="29">
        <v>66593</v>
      </c>
      <c r="H39" s="29">
        <v>22920</v>
      </c>
      <c r="I39" s="29">
        <v>68894</v>
      </c>
      <c r="J39" s="29">
        <v>106246</v>
      </c>
      <c r="K39" s="29">
        <v>36615</v>
      </c>
      <c r="L39" s="29">
        <v>64910</v>
      </c>
      <c r="M39" s="29">
        <v>48115</v>
      </c>
      <c r="N39" s="29">
        <v>315212</v>
      </c>
      <c r="O39" s="29">
        <v>55223</v>
      </c>
      <c r="P39" s="29">
        <v>27493</v>
      </c>
      <c r="Q39" s="29">
        <v>258019</v>
      </c>
      <c r="R39" s="29">
        <v>89388</v>
      </c>
      <c r="S39" s="29">
        <v>25456</v>
      </c>
      <c r="T39" s="29">
        <v>140624</v>
      </c>
      <c r="U39" s="29">
        <v>29901</v>
      </c>
      <c r="V39" s="29">
        <v>217325</v>
      </c>
      <c r="W39" s="29">
        <v>28750</v>
      </c>
      <c r="X39" s="29">
        <v>4269</v>
      </c>
      <c r="Y39" s="29">
        <v>145788</v>
      </c>
      <c r="Z39" s="29">
        <v>662232</v>
      </c>
      <c r="AA39" s="29">
        <v>20489</v>
      </c>
      <c r="AB39" s="29">
        <v>21960</v>
      </c>
      <c r="AC39" s="17"/>
      <c r="AD39" s="49">
        <f t="shared" ref="AD39:AD47" si="10">SUM(B39:AB39)</f>
        <v>2619242</v>
      </c>
    </row>
    <row r="40" spans="1:61">
      <c r="A40" s="58" t="s">
        <v>105</v>
      </c>
      <c r="B40" s="29">
        <v>702</v>
      </c>
      <c r="C40" s="29">
        <v>2191</v>
      </c>
      <c r="D40" s="29">
        <v>290</v>
      </c>
      <c r="E40" s="29">
        <v>2948</v>
      </c>
      <c r="F40" s="29">
        <v>19384</v>
      </c>
      <c r="G40" s="29">
        <v>7382</v>
      </c>
      <c r="H40" s="29">
        <v>3172</v>
      </c>
      <c r="I40" s="29">
        <v>17330</v>
      </c>
      <c r="J40" s="29">
        <v>27089</v>
      </c>
      <c r="K40" s="29">
        <v>3627</v>
      </c>
      <c r="L40" s="29">
        <v>28101</v>
      </c>
      <c r="M40" s="29">
        <v>14341</v>
      </c>
      <c r="N40" s="29">
        <v>62086</v>
      </c>
      <c r="O40" s="29">
        <v>6856</v>
      </c>
      <c r="P40" s="29">
        <v>2580</v>
      </c>
      <c r="Q40" s="29">
        <v>83410</v>
      </c>
      <c r="R40" s="29">
        <v>10901</v>
      </c>
      <c r="S40" s="29">
        <v>2239</v>
      </c>
      <c r="T40" s="29">
        <v>15540</v>
      </c>
      <c r="U40" s="29">
        <v>2831</v>
      </c>
      <c r="V40" s="29">
        <v>54063</v>
      </c>
      <c r="W40" s="29">
        <v>5654</v>
      </c>
      <c r="X40" s="29">
        <v>535</v>
      </c>
      <c r="Y40" s="29">
        <v>48311</v>
      </c>
      <c r="Z40" s="29">
        <v>157886</v>
      </c>
      <c r="AA40" s="29">
        <v>2206</v>
      </c>
      <c r="AB40" s="29">
        <v>4366</v>
      </c>
      <c r="AC40" s="17"/>
      <c r="AD40" s="49">
        <f t="shared" si="10"/>
        <v>586021</v>
      </c>
    </row>
    <row r="41" spans="1:61">
      <c r="A41" s="58" t="s">
        <v>106</v>
      </c>
      <c r="B41" s="29">
        <v>22195</v>
      </c>
      <c r="C41" s="29">
        <v>46560</v>
      </c>
      <c r="D41" s="29">
        <v>18636</v>
      </c>
      <c r="E41" s="29">
        <v>78743</v>
      </c>
      <c r="F41" s="29">
        <v>293903</v>
      </c>
      <c r="G41" s="29">
        <v>164756</v>
      </c>
      <c r="H41" s="29">
        <v>110477</v>
      </c>
      <c r="I41" s="29">
        <v>143938</v>
      </c>
      <c r="J41" s="29">
        <v>312912</v>
      </c>
      <c r="K41" s="29">
        <v>96744</v>
      </c>
      <c r="L41" s="29">
        <v>180996</v>
      </c>
      <c r="M41" s="29">
        <v>134729</v>
      </c>
      <c r="N41" s="29">
        <v>761232</v>
      </c>
      <c r="O41" s="29">
        <v>117970</v>
      </c>
      <c r="P41" s="29">
        <v>69418</v>
      </c>
      <c r="Q41" s="29">
        <v>572692</v>
      </c>
      <c r="R41" s="29">
        <v>160744</v>
      </c>
      <c r="S41" s="29">
        <v>69646</v>
      </c>
      <c r="T41" s="29">
        <v>306475</v>
      </c>
      <c r="U41" s="29">
        <v>73203</v>
      </c>
      <c r="V41" s="29">
        <v>448634</v>
      </c>
      <c r="W41" s="29">
        <v>75389</v>
      </c>
      <c r="X41" s="29">
        <v>21002</v>
      </c>
      <c r="Y41" s="29">
        <v>327461</v>
      </c>
      <c r="Z41" s="29">
        <v>1733805</v>
      </c>
      <c r="AA41" s="29">
        <v>36120</v>
      </c>
      <c r="AB41" s="29">
        <v>54873</v>
      </c>
      <c r="AC41" s="17"/>
      <c r="AD41" s="49">
        <f t="shared" si="10"/>
        <v>6433253</v>
      </c>
    </row>
    <row r="42" spans="1:61">
      <c r="A42" s="58" t="s">
        <v>107</v>
      </c>
      <c r="B42" s="29">
        <v>3845</v>
      </c>
      <c r="C42" s="29">
        <v>17758</v>
      </c>
      <c r="D42" s="29">
        <v>4031</v>
      </c>
      <c r="E42" s="29">
        <v>26336</v>
      </c>
      <c r="F42" s="29">
        <v>94206</v>
      </c>
      <c r="G42" s="29">
        <v>52626</v>
      </c>
      <c r="H42" s="29">
        <v>69674</v>
      </c>
      <c r="I42" s="29">
        <v>49854</v>
      </c>
      <c r="J42" s="29">
        <v>82741</v>
      </c>
      <c r="K42" s="29">
        <v>19933</v>
      </c>
      <c r="L42" s="29">
        <v>33571</v>
      </c>
      <c r="M42" s="29">
        <v>33302</v>
      </c>
      <c r="N42" s="29">
        <v>264333</v>
      </c>
      <c r="O42" s="29">
        <v>34376</v>
      </c>
      <c r="P42" s="29">
        <v>23102</v>
      </c>
      <c r="Q42" s="29">
        <v>206342</v>
      </c>
      <c r="R42" s="29">
        <v>80678</v>
      </c>
      <c r="S42" s="29">
        <v>14240</v>
      </c>
      <c r="T42" s="29">
        <v>264300</v>
      </c>
      <c r="U42" s="29">
        <v>24227</v>
      </c>
      <c r="V42" s="29">
        <v>213158</v>
      </c>
      <c r="W42" s="29">
        <v>10546</v>
      </c>
      <c r="X42" s="29">
        <v>4302</v>
      </c>
      <c r="Y42" s="29">
        <v>137798</v>
      </c>
      <c r="Z42" s="29">
        <v>1026103</v>
      </c>
      <c r="AA42" s="29">
        <v>12775</v>
      </c>
      <c r="AB42" s="29">
        <v>9256</v>
      </c>
      <c r="AC42" s="17"/>
      <c r="AD42" s="49">
        <f t="shared" si="10"/>
        <v>2813413</v>
      </c>
    </row>
    <row r="43" spans="1:61">
      <c r="A43" s="58" t="s">
        <v>108</v>
      </c>
      <c r="B43" s="29">
        <v>330</v>
      </c>
      <c r="C43" s="29">
        <v>5972</v>
      </c>
      <c r="D43" s="29">
        <v>449</v>
      </c>
      <c r="E43" s="29">
        <v>3451</v>
      </c>
      <c r="F43" s="29">
        <v>25807</v>
      </c>
      <c r="G43" s="29">
        <v>10759</v>
      </c>
      <c r="H43" s="29">
        <v>5268</v>
      </c>
      <c r="I43" s="29">
        <v>7529</v>
      </c>
      <c r="J43" s="29">
        <v>8748</v>
      </c>
      <c r="K43" s="29">
        <v>4374</v>
      </c>
      <c r="L43" s="29">
        <v>3236</v>
      </c>
      <c r="M43" s="29">
        <v>3428</v>
      </c>
      <c r="N43" s="29">
        <v>42601</v>
      </c>
      <c r="O43" s="29">
        <v>6337</v>
      </c>
      <c r="P43" s="29">
        <v>4303</v>
      </c>
      <c r="Q43" s="29">
        <v>20662</v>
      </c>
      <c r="R43" s="29">
        <v>17332</v>
      </c>
      <c r="S43" s="29">
        <v>3028</v>
      </c>
      <c r="T43" s="29">
        <v>37965</v>
      </c>
      <c r="U43" s="29">
        <v>4663</v>
      </c>
      <c r="V43" s="29">
        <v>19833</v>
      </c>
      <c r="W43" s="29">
        <v>1127</v>
      </c>
      <c r="X43" s="29">
        <v>618</v>
      </c>
      <c r="Y43" s="29">
        <v>11288</v>
      </c>
      <c r="Z43" s="29">
        <v>115453</v>
      </c>
      <c r="AA43" s="29">
        <v>3306</v>
      </c>
      <c r="AB43" s="29">
        <v>1598</v>
      </c>
      <c r="AC43" s="17"/>
      <c r="AD43" s="49">
        <f t="shared" si="10"/>
        <v>369465</v>
      </c>
    </row>
    <row r="44" spans="1:61">
      <c r="A44" s="58" t="s">
        <v>109</v>
      </c>
      <c r="B44" s="29">
        <v>96954</v>
      </c>
      <c r="C44" s="29">
        <v>233204</v>
      </c>
      <c r="D44" s="29">
        <v>55607</v>
      </c>
      <c r="E44" s="29">
        <v>213977</v>
      </c>
      <c r="F44" s="29">
        <v>1124256</v>
      </c>
      <c r="G44" s="29">
        <v>1179948</v>
      </c>
      <c r="H44" s="29">
        <v>167358</v>
      </c>
      <c r="I44" s="29">
        <v>401560</v>
      </c>
      <c r="J44" s="29">
        <v>795876</v>
      </c>
      <c r="K44" s="29">
        <v>705558</v>
      </c>
      <c r="L44" s="29">
        <v>542925</v>
      </c>
      <c r="M44" s="29">
        <v>335107</v>
      </c>
      <c r="N44" s="29">
        <v>2263762</v>
      </c>
      <c r="O44" s="29">
        <v>703688</v>
      </c>
      <c r="P44" s="29">
        <v>411823</v>
      </c>
      <c r="Q44" s="29">
        <v>1062130</v>
      </c>
      <c r="R44" s="29">
        <v>918927</v>
      </c>
      <c r="S44" s="29">
        <v>470490</v>
      </c>
      <c r="T44" s="29">
        <v>835713</v>
      </c>
      <c r="U44" s="29">
        <v>378727</v>
      </c>
      <c r="V44" s="29">
        <v>1006244</v>
      </c>
      <c r="W44" s="29">
        <v>348763</v>
      </c>
      <c r="X44" s="29">
        <v>71062</v>
      </c>
      <c r="Y44" s="29">
        <v>804670</v>
      </c>
      <c r="Z44" s="29">
        <v>4203849</v>
      </c>
      <c r="AA44" s="29">
        <v>213056</v>
      </c>
      <c r="AB44" s="29">
        <v>202924</v>
      </c>
      <c r="AC44" s="17"/>
      <c r="AD44" s="49">
        <f t="shared" si="10"/>
        <v>19748158</v>
      </c>
    </row>
    <row r="45" spans="1:61">
      <c r="A45" s="56" t="s">
        <v>110</v>
      </c>
      <c r="B45" s="29">
        <v>20099</v>
      </c>
      <c r="C45" s="29">
        <v>33873</v>
      </c>
      <c r="D45" s="29">
        <v>10659</v>
      </c>
      <c r="E45" s="29">
        <v>48324</v>
      </c>
      <c r="F45" s="29">
        <v>160776</v>
      </c>
      <c r="G45" s="29">
        <v>137067</v>
      </c>
      <c r="H45" s="29">
        <v>16692</v>
      </c>
      <c r="I45" s="29">
        <v>93256</v>
      </c>
      <c r="J45" s="29">
        <v>243984</v>
      </c>
      <c r="K45" s="29">
        <v>127269</v>
      </c>
      <c r="L45" s="29">
        <v>185067</v>
      </c>
      <c r="M45" s="29">
        <v>97883</v>
      </c>
      <c r="N45" s="29">
        <v>251278</v>
      </c>
      <c r="O45" s="29">
        <v>155836</v>
      </c>
      <c r="P45" s="29">
        <v>57592</v>
      </c>
      <c r="Q45" s="29">
        <v>266641</v>
      </c>
      <c r="R45" s="29">
        <v>93674</v>
      </c>
      <c r="S45" s="29">
        <v>83145</v>
      </c>
      <c r="T45" s="29">
        <v>148169</v>
      </c>
      <c r="U45" s="29">
        <v>51480</v>
      </c>
      <c r="V45" s="29">
        <v>174950</v>
      </c>
      <c r="W45" s="29">
        <v>104517</v>
      </c>
      <c r="X45" s="29">
        <v>17841</v>
      </c>
      <c r="Y45" s="29">
        <v>250524</v>
      </c>
      <c r="Z45" s="29">
        <v>776205</v>
      </c>
      <c r="AA45" s="29">
        <v>36979</v>
      </c>
      <c r="AB45" s="29">
        <v>82715</v>
      </c>
      <c r="AC45" s="17"/>
      <c r="AD45" s="49">
        <f t="shared" si="10"/>
        <v>3726495</v>
      </c>
    </row>
    <row r="46" spans="1:61">
      <c r="A46" s="56" t="s">
        <v>111</v>
      </c>
      <c r="B46" s="29">
        <v>1026</v>
      </c>
      <c r="C46" s="29">
        <v>6655</v>
      </c>
      <c r="D46" s="29">
        <v>1100</v>
      </c>
      <c r="E46" s="29">
        <v>8836</v>
      </c>
      <c r="F46" s="29">
        <v>36902</v>
      </c>
      <c r="G46" s="29">
        <v>15476</v>
      </c>
      <c r="H46" s="29">
        <v>11865</v>
      </c>
      <c r="I46" s="29">
        <v>14695</v>
      </c>
      <c r="J46" s="29">
        <v>20980</v>
      </c>
      <c r="K46" s="29">
        <v>7771</v>
      </c>
      <c r="L46" s="29">
        <v>10621</v>
      </c>
      <c r="M46" s="29">
        <v>8768</v>
      </c>
      <c r="N46" s="29">
        <v>71529</v>
      </c>
      <c r="O46" s="29">
        <v>16455</v>
      </c>
      <c r="P46" s="29">
        <v>6879</v>
      </c>
      <c r="Q46" s="29">
        <v>39462</v>
      </c>
      <c r="R46" s="29">
        <v>18871</v>
      </c>
      <c r="S46" s="29">
        <v>5978</v>
      </c>
      <c r="T46" s="29">
        <v>46346</v>
      </c>
      <c r="U46" s="29">
        <v>6248</v>
      </c>
      <c r="V46" s="29">
        <v>38865</v>
      </c>
      <c r="W46" s="29">
        <v>5246</v>
      </c>
      <c r="X46" s="29">
        <v>939</v>
      </c>
      <c r="Y46" s="29">
        <v>18584</v>
      </c>
      <c r="Z46" s="29">
        <v>152260</v>
      </c>
      <c r="AA46" s="29">
        <v>6304</v>
      </c>
      <c r="AB46" s="29">
        <v>5030</v>
      </c>
      <c r="AC46" s="17"/>
      <c r="AD46" s="49">
        <f t="shared" si="10"/>
        <v>583691</v>
      </c>
    </row>
    <row r="47" spans="1:61">
      <c r="A47" s="56" t="s">
        <v>112</v>
      </c>
      <c r="B47" s="29">
        <v>1004</v>
      </c>
      <c r="C47" s="29">
        <v>4489</v>
      </c>
      <c r="D47" s="29">
        <v>783</v>
      </c>
      <c r="E47" s="29">
        <v>4796</v>
      </c>
      <c r="F47" s="29">
        <v>21342</v>
      </c>
      <c r="G47" s="29">
        <v>24112</v>
      </c>
      <c r="H47" s="29">
        <v>19911</v>
      </c>
      <c r="I47" s="29">
        <v>13054</v>
      </c>
      <c r="J47" s="29">
        <v>18308</v>
      </c>
      <c r="K47" s="29">
        <v>7139</v>
      </c>
      <c r="L47" s="29">
        <v>10594</v>
      </c>
      <c r="M47" s="29">
        <v>8769</v>
      </c>
      <c r="N47" s="29">
        <v>47708</v>
      </c>
      <c r="O47" s="29">
        <v>10923</v>
      </c>
      <c r="P47" s="29">
        <v>7034</v>
      </c>
      <c r="Q47" s="29">
        <v>41676</v>
      </c>
      <c r="R47" s="29">
        <v>14822</v>
      </c>
      <c r="S47" s="29">
        <v>4626</v>
      </c>
      <c r="T47" s="29">
        <v>47580</v>
      </c>
      <c r="U47" s="29">
        <v>12047</v>
      </c>
      <c r="V47" s="29">
        <v>40446</v>
      </c>
      <c r="W47" s="29">
        <v>2641</v>
      </c>
      <c r="X47" s="29">
        <v>1003</v>
      </c>
      <c r="Y47" s="29">
        <v>36667</v>
      </c>
      <c r="Z47" s="29">
        <v>190142</v>
      </c>
      <c r="AA47" s="29">
        <v>3537</v>
      </c>
      <c r="AB47" s="29">
        <v>2636</v>
      </c>
      <c r="AC47" s="17"/>
      <c r="AD47" s="49">
        <f t="shared" si="10"/>
        <v>597789</v>
      </c>
    </row>
    <row r="48" spans="1:61">
      <c r="A48" s="57"/>
      <c r="B48" s="17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7"/>
      <c r="AD48" s="53"/>
    </row>
    <row r="49" spans="1:62">
      <c r="A49" s="1" t="s">
        <v>99</v>
      </c>
      <c r="B49" s="49">
        <f>SUM(B38:B47)</f>
        <v>228208</v>
      </c>
      <c r="C49" s="49">
        <f t="shared" ref="C49:AB49" si="11">SUM(C38:C47)</f>
        <v>675604</v>
      </c>
      <c r="D49" s="49">
        <f t="shared" si="11"/>
        <v>166960</v>
      </c>
      <c r="E49" s="49">
        <f t="shared" si="11"/>
        <v>760385</v>
      </c>
      <c r="F49" s="49">
        <f t="shared" si="11"/>
        <v>3461807</v>
      </c>
      <c r="G49" s="49">
        <f t="shared" si="11"/>
        <v>2643969</v>
      </c>
      <c r="H49" s="49">
        <f t="shared" si="11"/>
        <v>1595264</v>
      </c>
      <c r="I49" s="49">
        <f t="shared" si="11"/>
        <v>1670747</v>
      </c>
      <c r="J49" s="49">
        <f t="shared" si="11"/>
        <v>3264623</v>
      </c>
      <c r="K49" s="49">
        <f t="shared" si="11"/>
        <v>1382014</v>
      </c>
      <c r="L49" s="49">
        <f t="shared" si="11"/>
        <v>1664775</v>
      </c>
      <c r="M49" s="49">
        <f t="shared" si="11"/>
        <v>1321971</v>
      </c>
      <c r="N49" s="49">
        <f t="shared" si="11"/>
        <v>9396489</v>
      </c>
      <c r="O49" s="49">
        <f t="shared" si="11"/>
        <v>1616576</v>
      </c>
      <c r="P49" s="49">
        <f t="shared" si="11"/>
        <v>1062300</v>
      </c>
      <c r="Q49" s="49">
        <f t="shared" si="11"/>
        <v>6594557</v>
      </c>
      <c r="R49" s="49">
        <f t="shared" si="11"/>
        <v>2587551</v>
      </c>
      <c r="S49" s="49">
        <f t="shared" si="11"/>
        <v>971875</v>
      </c>
      <c r="T49" s="49">
        <f t="shared" si="11"/>
        <v>5963919</v>
      </c>
      <c r="U49" s="49">
        <f t="shared" si="11"/>
        <v>1058691</v>
      </c>
      <c r="V49" s="49">
        <f t="shared" si="11"/>
        <v>6104684</v>
      </c>
      <c r="W49" s="49">
        <f t="shared" si="11"/>
        <v>820247</v>
      </c>
      <c r="X49" s="49">
        <f t="shared" si="11"/>
        <v>182231</v>
      </c>
      <c r="Y49" s="49">
        <f t="shared" si="11"/>
        <v>4386781</v>
      </c>
      <c r="Z49" s="49">
        <f t="shared" si="11"/>
        <v>25614166</v>
      </c>
      <c r="AA49" s="49">
        <f t="shared" si="11"/>
        <v>624892</v>
      </c>
      <c r="AB49" s="49">
        <f t="shared" si="11"/>
        <v>565439</v>
      </c>
      <c r="AC49" s="12"/>
      <c r="AD49" s="51">
        <f>IF((SUM(AD38:AD47)=SUM(B49:AB49)),(SUM(B49:AB49)),"erro")</f>
        <v>86386725</v>
      </c>
    </row>
    <row r="51" spans="1:62">
      <c r="J51" t="s">
        <v>113</v>
      </c>
      <c r="L51" s="86">
        <f>ROUND(AD34/AD49,7)</f>
        <v>0.99965930000000003</v>
      </c>
    </row>
    <row r="54" spans="1:62">
      <c r="A54" s="97" t="s">
        <v>117</v>
      </c>
    </row>
    <row r="55" spans="1:62" s="5" customFormat="1">
      <c r="A55" s="98"/>
      <c r="B55" s="16" t="s">
        <v>53</v>
      </c>
      <c r="C55" s="16" t="s">
        <v>54</v>
      </c>
      <c r="D55" s="16" t="s">
        <v>55</v>
      </c>
      <c r="E55" s="16" t="s">
        <v>56</v>
      </c>
      <c r="F55" s="16" t="s">
        <v>57</v>
      </c>
      <c r="G55" s="16" t="s">
        <v>58</v>
      </c>
      <c r="H55" s="16" t="s">
        <v>59</v>
      </c>
      <c r="I55" s="16" t="s">
        <v>60</v>
      </c>
      <c r="J55" s="16" t="s">
        <v>61</v>
      </c>
      <c r="K55" s="16" t="s">
        <v>62</v>
      </c>
      <c r="L55" s="16" t="s">
        <v>63</v>
      </c>
      <c r="M55" s="16" t="s">
        <v>64</v>
      </c>
      <c r="N55" s="16" t="s">
        <v>65</v>
      </c>
      <c r="O55" s="16" t="s">
        <v>66</v>
      </c>
      <c r="P55" s="16" t="s">
        <v>67</v>
      </c>
      <c r="Q55" s="16" t="s">
        <v>68</v>
      </c>
      <c r="R55" s="16" t="s">
        <v>69</v>
      </c>
      <c r="S55" s="16" t="s">
        <v>70</v>
      </c>
      <c r="T55" s="16" t="s">
        <v>71</v>
      </c>
      <c r="U55" s="16" t="s">
        <v>72</v>
      </c>
      <c r="V55" s="16" t="s">
        <v>73</v>
      </c>
      <c r="W55" s="16" t="s">
        <v>74</v>
      </c>
      <c r="X55" s="16" t="s">
        <v>75</v>
      </c>
      <c r="Y55" s="16" t="s">
        <v>76</v>
      </c>
      <c r="Z55" s="16" t="s">
        <v>77</v>
      </c>
      <c r="AA55" s="16" t="s">
        <v>78</v>
      </c>
      <c r="AB55" s="16" t="s">
        <v>79</v>
      </c>
      <c r="AD55" s="6" t="s">
        <v>80</v>
      </c>
    </row>
    <row r="56" spans="1:62">
      <c r="A56" s="85" t="s">
        <v>103</v>
      </c>
      <c r="B56" s="47">
        <f t="shared" ref="B56:AB56" si="12">ROUND(B38*$L$51,0)</f>
        <v>75290</v>
      </c>
      <c r="C56" s="47">
        <f t="shared" si="12"/>
        <v>304678</v>
      </c>
      <c r="D56" s="47">
        <f t="shared" si="12"/>
        <v>71403</v>
      </c>
      <c r="E56" s="47">
        <f t="shared" si="12"/>
        <v>353014</v>
      </c>
      <c r="F56" s="47">
        <f t="shared" si="12"/>
        <v>1572550</v>
      </c>
      <c r="G56" s="47">
        <f t="shared" si="12"/>
        <v>984914</v>
      </c>
      <c r="H56" s="47">
        <f t="shared" si="12"/>
        <v>1167529</v>
      </c>
      <c r="I56" s="47">
        <f t="shared" si="12"/>
        <v>860344</v>
      </c>
      <c r="J56" s="47">
        <f t="shared" si="12"/>
        <v>1647178</v>
      </c>
      <c r="K56" s="47">
        <f t="shared" si="12"/>
        <v>372857</v>
      </c>
      <c r="L56" s="47">
        <f t="shared" si="12"/>
        <v>604548</v>
      </c>
      <c r="M56" s="47">
        <f t="shared" si="12"/>
        <v>637312</v>
      </c>
      <c r="N56" s="47">
        <f t="shared" si="12"/>
        <v>5314937</v>
      </c>
      <c r="O56" s="47">
        <f t="shared" si="12"/>
        <v>508739</v>
      </c>
      <c r="P56" s="47">
        <f t="shared" si="12"/>
        <v>451922</v>
      </c>
      <c r="Q56" s="47">
        <f t="shared" si="12"/>
        <v>4042145</v>
      </c>
      <c r="R56" s="47">
        <f t="shared" si="12"/>
        <v>1181811</v>
      </c>
      <c r="S56" s="47">
        <f t="shared" si="12"/>
        <v>292927</v>
      </c>
      <c r="T56" s="47">
        <f t="shared" si="12"/>
        <v>4119803</v>
      </c>
      <c r="U56" s="47">
        <f t="shared" si="12"/>
        <v>475202</v>
      </c>
      <c r="V56" s="47">
        <f t="shared" si="12"/>
        <v>3889840</v>
      </c>
      <c r="W56" s="47">
        <f t="shared" si="12"/>
        <v>237533</v>
      </c>
      <c r="X56" s="47">
        <f t="shared" si="12"/>
        <v>60639</v>
      </c>
      <c r="Y56" s="47">
        <f t="shared" si="12"/>
        <v>2604802</v>
      </c>
      <c r="Z56" s="47">
        <f t="shared" si="12"/>
        <v>16590577</v>
      </c>
      <c r="AA56" s="47">
        <f t="shared" si="12"/>
        <v>290021</v>
      </c>
      <c r="AB56" s="47">
        <f t="shared" si="12"/>
        <v>180020</v>
      </c>
      <c r="AC56" s="48"/>
      <c r="AD56" s="49">
        <f t="shared" ref="AD56:AD65" si="13">SUM(B56:AB56)</f>
        <v>48892535</v>
      </c>
      <c r="AH56" s="7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</row>
    <row r="57" spans="1:62" s="14" customFormat="1">
      <c r="A57" s="85" t="s">
        <v>104</v>
      </c>
      <c r="B57" s="47">
        <f t="shared" ref="B57:AB57" si="14">ROUND(B39*$L$51,0)</f>
        <v>6735</v>
      </c>
      <c r="C57" s="47">
        <f t="shared" si="14"/>
        <v>20113</v>
      </c>
      <c r="D57" s="47">
        <f t="shared" si="14"/>
        <v>3977</v>
      </c>
      <c r="E57" s="47">
        <f t="shared" si="14"/>
        <v>19833</v>
      </c>
      <c r="F57" s="47">
        <f t="shared" si="14"/>
        <v>112107</v>
      </c>
      <c r="G57" s="47">
        <f t="shared" si="14"/>
        <v>66570</v>
      </c>
      <c r="H57" s="47">
        <f t="shared" si="14"/>
        <v>22912</v>
      </c>
      <c r="I57" s="47">
        <f t="shared" si="14"/>
        <v>68871</v>
      </c>
      <c r="J57" s="47">
        <f t="shared" si="14"/>
        <v>106210</v>
      </c>
      <c r="K57" s="47">
        <f t="shared" si="14"/>
        <v>36603</v>
      </c>
      <c r="L57" s="47">
        <f t="shared" si="14"/>
        <v>64888</v>
      </c>
      <c r="M57" s="47">
        <f t="shared" si="14"/>
        <v>48099</v>
      </c>
      <c r="N57" s="47">
        <f t="shared" si="14"/>
        <v>315105</v>
      </c>
      <c r="O57" s="47">
        <f t="shared" si="14"/>
        <v>55204</v>
      </c>
      <c r="P57" s="47">
        <f t="shared" si="14"/>
        <v>27484</v>
      </c>
      <c r="Q57" s="47">
        <f t="shared" si="14"/>
        <v>257931</v>
      </c>
      <c r="R57" s="47">
        <f t="shared" si="14"/>
        <v>89358</v>
      </c>
      <c r="S57" s="47">
        <f t="shared" si="14"/>
        <v>25447</v>
      </c>
      <c r="T57" s="47">
        <f t="shared" si="14"/>
        <v>140576</v>
      </c>
      <c r="U57" s="47">
        <f t="shared" si="14"/>
        <v>29891</v>
      </c>
      <c r="V57" s="47">
        <f t="shared" si="14"/>
        <v>217251</v>
      </c>
      <c r="W57" s="47">
        <f t="shared" si="14"/>
        <v>28740</v>
      </c>
      <c r="X57" s="47">
        <f t="shared" si="14"/>
        <v>4268</v>
      </c>
      <c r="Y57" s="47">
        <f t="shared" si="14"/>
        <v>145738</v>
      </c>
      <c r="Z57" s="47">
        <f t="shared" si="14"/>
        <v>662006</v>
      </c>
      <c r="AA57" s="47">
        <f t="shared" si="14"/>
        <v>20482</v>
      </c>
      <c r="AB57" s="47">
        <f t="shared" si="14"/>
        <v>21953</v>
      </c>
      <c r="AC57" s="54"/>
      <c r="AD57" s="49">
        <f t="shared" si="13"/>
        <v>2618352</v>
      </c>
      <c r="AH57" s="15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</row>
    <row r="58" spans="1:62" s="14" customFormat="1">
      <c r="A58" s="85" t="s">
        <v>105</v>
      </c>
      <c r="B58" s="47">
        <f t="shared" ref="B58:AB58" si="15">ROUND(B40*$L$51,0)</f>
        <v>702</v>
      </c>
      <c r="C58" s="47">
        <f t="shared" si="15"/>
        <v>2190</v>
      </c>
      <c r="D58" s="47">
        <f t="shared" si="15"/>
        <v>290</v>
      </c>
      <c r="E58" s="47">
        <f t="shared" si="15"/>
        <v>2947</v>
      </c>
      <c r="F58" s="47">
        <f t="shared" si="15"/>
        <v>19377</v>
      </c>
      <c r="G58" s="47">
        <f t="shared" si="15"/>
        <v>7379</v>
      </c>
      <c r="H58" s="47">
        <f t="shared" si="15"/>
        <v>3171</v>
      </c>
      <c r="I58" s="47">
        <f t="shared" si="15"/>
        <v>17324</v>
      </c>
      <c r="J58" s="47">
        <f t="shared" si="15"/>
        <v>27080</v>
      </c>
      <c r="K58" s="47">
        <f t="shared" si="15"/>
        <v>3626</v>
      </c>
      <c r="L58" s="47">
        <f t="shared" si="15"/>
        <v>28091</v>
      </c>
      <c r="M58" s="47">
        <f t="shared" si="15"/>
        <v>14336</v>
      </c>
      <c r="N58" s="47">
        <f t="shared" si="15"/>
        <v>62065</v>
      </c>
      <c r="O58" s="47">
        <f t="shared" si="15"/>
        <v>6854</v>
      </c>
      <c r="P58" s="47">
        <f t="shared" si="15"/>
        <v>2579</v>
      </c>
      <c r="Q58" s="47">
        <f t="shared" si="15"/>
        <v>83382</v>
      </c>
      <c r="R58" s="47">
        <f t="shared" si="15"/>
        <v>10897</v>
      </c>
      <c r="S58" s="47">
        <f t="shared" si="15"/>
        <v>2238</v>
      </c>
      <c r="T58" s="47">
        <f t="shared" si="15"/>
        <v>15535</v>
      </c>
      <c r="U58" s="47">
        <f t="shared" si="15"/>
        <v>2830</v>
      </c>
      <c r="V58" s="47">
        <f t="shared" si="15"/>
        <v>54045</v>
      </c>
      <c r="W58" s="47">
        <f t="shared" si="15"/>
        <v>5652</v>
      </c>
      <c r="X58" s="47">
        <f t="shared" si="15"/>
        <v>535</v>
      </c>
      <c r="Y58" s="47">
        <f t="shared" si="15"/>
        <v>48295</v>
      </c>
      <c r="Z58" s="47">
        <f t="shared" si="15"/>
        <v>157832</v>
      </c>
      <c r="AA58" s="47">
        <f t="shared" si="15"/>
        <v>2205</v>
      </c>
      <c r="AB58" s="47">
        <f t="shared" si="15"/>
        <v>4365</v>
      </c>
      <c r="AC58" s="54"/>
      <c r="AD58" s="49">
        <f t="shared" si="13"/>
        <v>585822</v>
      </c>
      <c r="AH58" s="15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</row>
    <row r="59" spans="1:62">
      <c r="A59" s="85" t="s">
        <v>106</v>
      </c>
      <c r="B59" s="47">
        <f t="shared" ref="B59:AB59" si="16">ROUND(B41*$L$51,0)</f>
        <v>22187</v>
      </c>
      <c r="C59" s="47">
        <f t="shared" si="16"/>
        <v>46544</v>
      </c>
      <c r="D59" s="47">
        <f t="shared" si="16"/>
        <v>18630</v>
      </c>
      <c r="E59" s="47">
        <f t="shared" si="16"/>
        <v>78716</v>
      </c>
      <c r="F59" s="47">
        <f t="shared" si="16"/>
        <v>293803</v>
      </c>
      <c r="G59" s="47">
        <f t="shared" si="16"/>
        <v>164700</v>
      </c>
      <c r="H59" s="47">
        <f t="shared" si="16"/>
        <v>110439</v>
      </c>
      <c r="I59" s="47">
        <f t="shared" si="16"/>
        <v>143889</v>
      </c>
      <c r="J59" s="47">
        <f t="shared" si="16"/>
        <v>312805</v>
      </c>
      <c r="K59" s="47">
        <f t="shared" si="16"/>
        <v>96711</v>
      </c>
      <c r="L59" s="47">
        <f t="shared" si="16"/>
        <v>180934</v>
      </c>
      <c r="M59" s="47">
        <f t="shared" si="16"/>
        <v>134683</v>
      </c>
      <c r="N59" s="47">
        <f t="shared" si="16"/>
        <v>760973</v>
      </c>
      <c r="O59" s="47">
        <f t="shared" si="16"/>
        <v>117930</v>
      </c>
      <c r="P59" s="47">
        <f t="shared" si="16"/>
        <v>69394</v>
      </c>
      <c r="Q59" s="47">
        <f t="shared" si="16"/>
        <v>572497</v>
      </c>
      <c r="R59" s="47">
        <f t="shared" si="16"/>
        <v>160689</v>
      </c>
      <c r="S59" s="47">
        <f t="shared" si="16"/>
        <v>69622</v>
      </c>
      <c r="T59" s="47">
        <f t="shared" si="16"/>
        <v>306371</v>
      </c>
      <c r="U59" s="47">
        <f t="shared" si="16"/>
        <v>73178</v>
      </c>
      <c r="V59" s="47">
        <f t="shared" si="16"/>
        <v>448481</v>
      </c>
      <c r="W59" s="47">
        <f t="shared" si="16"/>
        <v>75363</v>
      </c>
      <c r="X59" s="47">
        <f t="shared" si="16"/>
        <v>20995</v>
      </c>
      <c r="Y59" s="47">
        <f t="shared" si="16"/>
        <v>327349</v>
      </c>
      <c r="Z59" s="47">
        <f t="shared" si="16"/>
        <v>1733214</v>
      </c>
      <c r="AA59" s="47">
        <f t="shared" si="16"/>
        <v>36108</v>
      </c>
      <c r="AB59" s="47">
        <f t="shared" si="16"/>
        <v>54854</v>
      </c>
      <c r="AC59" s="48"/>
      <c r="AD59" s="49">
        <f t="shared" si="13"/>
        <v>6431059</v>
      </c>
      <c r="AH59" s="7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</row>
    <row r="60" spans="1:62">
      <c r="A60" s="85" t="s">
        <v>107</v>
      </c>
      <c r="B60" s="47">
        <f t="shared" ref="B60:AB60" si="17">ROUND(B42*$L$51,0)</f>
        <v>3844</v>
      </c>
      <c r="C60" s="47">
        <f t="shared" si="17"/>
        <v>17752</v>
      </c>
      <c r="D60" s="47">
        <f t="shared" si="17"/>
        <v>4030</v>
      </c>
      <c r="E60" s="47">
        <f t="shared" si="17"/>
        <v>26327</v>
      </c>
      <c r="F60" s="47">
        <f t="shared" si="17"/>
        <v>94174</v>
      </c>
      <c r="G60" s="47">
        <f t="shared" si="17"/>
        <v>52608</v>
      </c>
      <c r="H60" s="47">
        <f t="shared" si="17"/>
        <v>69650</v>
      </c>
      <c r="I60" s="47">
        <f t="shared" si="17"/>
        <v>49837</v>
      </c>
      <c r="J60" s="47">
        <f t="shared" si="17"/>
        <v>82713</v>
      </c>
      <c r="K60" s="47">
        <f t="shared" si="17"/>
        <v>19926</v>
      </c>
      <c r="L60" s="47">
        <f t="shared" si="17"/>
        <v>33560</v>
      </c>
      <c r="M60" s="47">
        <f t="shared" si="17"/>
        <v>33291</v>
      </c>
      <c r="N60" s="47">
        <f t="shared" si="17"/>
        <v>264243</v>
      </c>
      <c r="O60" s="47">
        <f t="shared" si="17"/>
        <v>34364</v>
      </c>
      <c r="P60" s="47">
        <f t="shared" si="17"/>
        <v>23094</v>
      </c>
      <c r="Q60" s="47">
        <f t="shared" si="17"/>
        <v>206272</v>
      </c>
      <c r="R60" s="47">
        <f t="shared" si="17"/>
        <v>80651</v>
      </c>
      <c r="S60" s="47">
        <f t="shared" si="17"/>
        <v>14235</v>
      </c>
      <c r="T60" s="47">
        <f t="shared" si="17"/>
        <v>264210</v>
      </c>
      <c r="U60" s="47">
        <f t="shared" si="17"/>
        <v>24219</v>
      </c>
      <c r="V60" s="47">
        <f t="shared" si="17"/>
        <v>213085</v>
      </c>
      <c r="W60" s="47">
        <f t="shared" si="17"/>
        <v>10542</v>
      </c>
      <c r="X60" s="47">
        <f t="shared" si="17"/>
        <v>4301</v>
      </c>
      <c r="Y60" s="47">
        <f t="shared" si="17"/>
        <v>137751</v>
      </c>
      <c r="Z60" s="47">
        <f t="shared" si="17"/>
        <v>1025753</v>
      </c>
      <c r="AA60" s="47">
        <f t="shared" si="17"/>
        <v>12771</v>
      </c>
      <c r="AB60" s="47">
        <f t="shared" si="17"/>
        <v>9253</v>
      </c>
      <c r="AC60" s="48"/>
      <c r="AD60" s="49">
        <f t="shared" si="13"/>
        <v>2812456</v>
      </c>
      <c r="AH60" s="7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</row>
    <row r="61" spans="1:62" s="14" customFormat="1">
      <c r="A61" s="85" t="s">
        <v>108</v>
      </c>
      <c r="B61" s="47">
        <f t="shared" ref="B61:AB61" si="18">ROUND(B43*$L$51,0)</f>
        <v>330</v>
      </c>
      <c r="C61" s="47">
        <f t="shared" si="18"/>
        <v>5970</v>
      </c>
      <c r="D61" s="47">
        <f t="shared" si="18"/>
        <v>449</v>
      </c>
      <c r="E61" s="47">
        <f t="shared" si="18"/>
        <v>3450</v>
      </c>
      <c r="F61" s="47">
        <f t="shared" si="18"/>
        <v>25798</v>
      </c>
      <c r="G61" s="47">
        <f t="shared" si="18"/>
        <v>10755</v>
      </c>
      <c r="H61" s="47">
        <f t="shared" si="18"/>
        <v>5266</v>
      </c>
      <c r="I61" s="47">
        <f t="shared" si="18"/>
        <v>7526</v>
      </c>
      <c r="J61" s="47">
        <f t="shared" si="18"/>
        <v>8745</v>
      </c>
      <c r="K61" s="47">
        <f t="shared" si="18"/>
        <v>4373</v>
      </c>
      <c r="L61" s="47">
        <f t="shared" si="18"/>
        <v>3235</v>
      </c>
      <c r="M61" s="47">
        <f t="shared" si="18"/>
        <v>3427</v>
      </c>
      <c r="N61" s="47">
        <f t="shared" si="18"/>
        <v>42586</v>
      </c>
      <c r="O61" s="47">
        <f t="shared" si="18"/>
        <v>6335</v>
      </c>
      <c r="P61" s="47">
        <f t="shared" si="18"/>
        <v>4302</v>
      </c>
      <c r="Q61" s="47">
        <f t="shared" si="18"/>
        <v>20655</v>
      </c>
      <c r="R61" s="47">
        <f t="shared" si="18"/>
        <v>17326</v>
      </c>
      <c r="S61" s="47">
        <f t="shared" si="18"/>
        <v>3027</v>
      </c>
      <c r="T61" s="47">
        <f t="shared" si="18"/>
        <v>37952</v>
      </c>
      <c r="U61" s="47">
        <f t="shared" si="18"/>
        <v>4661</v>
      </c>
      <c r="V61" s="47">
        <f t="shared" si="18"/>
        <v>19826</v>
      </c>
      <c r="W61" s="47">
        <f t="shared" si="18"/>
        <v>1127</v>
      </c>
      <c r="X61" s="47">
        <f t="shared" si="18"/>
        <v>618</v>
      </c>
      <c r="Y61" s="47">
        <f t="shared" si="18"/>
        <v>11284</v>
      </c>
      <c r="Z61" s="47">
        <f t="shared" si="18"/>
        <v>115414</v>
      </c>
      <c r="AA61" s="47">
        <f t="shared" si="18"/>
        <v>3305</v>
      </c>
      <c r="AB61" s="47">
        <f t="shared" si="18"/>
        <v>1597</v>
      </c>
      <c r="AC61" s="54"/>
      <c r="AD61" s="49">
        <f t="shared" si="13"/>
        <v>369339</v>
      </c>
      <c r="AH61" s="15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</row>
    <row r="62" spans="1:62" s="14" customFormat="1">
      <c r="A62" s="85" t="s">
        <v>109</v>
      </c>
      <c r="B62" s="47">
        <f t="shared" ref="B62:AB62" si="19">ROUND(B44*$L$51,0)</f>
        <v>96921</v>
      </c>
      <c r="C62" s="47">
        <f t="shared" si="19"/>
        <v>233125</v>
      </c>
      <c r="D62" s="47">
        <f t="shared" si="19"/>
        <v>55588</v>
      </c>
      <c r="E62" s="47">
        <f t="shared" si="19"/>
        <v>213904</v>
      </c>
      <c r="F62" s="47">
        <f t="shared" si="19"/>
        <v>1123873</v>
      </c>
      <c r="G62" s="47">
        <f t="shared" si="19"/>
        <v>1179546</v>
      </c>
      <c r="H62" s="47">
        <f t="shared" si="19"/>
        <v>167301</v>
      </c>
      <c r="I62" s="47">
        <f t="shared" si="19"/>
        <v>401423</v>
      </c>
      <c r="J62" s="47">
        <f t="shared" si="19"/>
        <v>795605</v>
      </c>
      <c r="K62" s="47">
        <f t="shared" si="19"/>
        <v>705318</v>
      </c>
      <c r="L62" s="47">
        <f t="shared" si="19"/>
        <v>542740</v>
      </c>
      <c r="M62" s="47">
        <f t="shared" si="19"/>
        <v>334993</v>
      </c>
      <c r="N62" s="47">
        <f t="shared" si="19"/>
        <v>2262991</v>
      </c>
      <c r="O62" s="47">
        <f t="shared" si="19"/>
        <v>703448</v>
      </c>
      <c r="P62" s="47">
        <f t="shared" si="19"/>
        <v>411683</v>
      </c>
      <c r="Q62" s="47">
        <f t="shared" si="19"/>
        <v>1061768</v>
      </c>
      <c r="R62" s="47">
        <f t="shared" si="19"/>
        <v>918614</v>
      </c>
      <c r="S62" s="47">
        <f t="shared" si="19"/>
        <v>470330</v>
      </c>
      <c r="T62" s="47">
        <f t="shared" si="19"/>
        <v>835428</v>
      </c>
      <c r="U62" s="47">
        <f t="shared" si="19"/>
        <v>378598</v>
      </c>
      <c r="V62" s="47">
        <f t="shared" si="19"/>
        <v>1005901</v>
      </c>
      <c r="W62" s="47">
        <f t="shared" si="19"/>
        <v>348644</v>
      </c>
      <c r="X62" s="47">
        <f t="shared" si="19"/>
        <v>71038</v>
      </c>
      <c r="Y62" s="47">
        <f t="shared" si="19"/>
        <v>804396</v>
      </c>
      <c r="Z62" s="47">
        <f t="shared" si="19"/>
        <v>4202417</v>
      </c>
      <c r="AA62" s="47">
        <f t="shared" si="19"/>
        <v>212983</v>
      </c>
      <c r="AB62" s="47">
        <f t="shared" si="19"/>
        <v>202855</v>
      </c>
      <c r="AC62" s="54"/>
      <c r="AD62" s="49">
        <f t="shared" si="13"/>
        <v>19741431</v>
      </c>
      <c r="AH62" s="15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</row>
    <row r="63" spans="1:62" s="14" customFormat="1">
      <c r="A63" s="85" t="s">
        <v>110</v>
      </c>
      <c r="B63" s="47">
        <f t="shared" ref="B63:AB63" si="20">ROUND(B45*$L$51,0)</f>
        <v>20092</v>
      </c>
      <c r="C63" s="47">
        <f t="shared" si="20"/>
        <v>33861</v>
      </c>
      <c r="D63" s="47">
        <f t="shared" si="20"/>
        <v>10655</v>
      </c>
      <c r="E63" s="47">
        <f t="shared" si="20"/>
        <v>48308</v>
      </c>
      <c r="F63" s="47">
        <f t="shared" si="20"/>
        <v>160721</v>
      </c>
      <c r="G63" s="47">
        <f t="shared" si="20"/>
        <v>137020</v>
      </c>
      <c r="H63" s="47">
        <f t="shared" si="20"/>
        <v>16686</v>
      </c>
      <c r="I63" s="47">
        <f t="shared" si="20"/>
        <v>93224</v>
      </c>
      <c r="J63" s="47">
        <f t="shared" si="20"/>
        <v>243901</v>
      </c>
      <c r="K63" s="47">
        <f t="shared" si="20"/>
        <v>127226</v>
      </c>
      <c r="L63" s="47">
        <f t="shared" si="20"/>
        <v>185004</v>
      </c>
      <c r="M63" s="47">
        <f t="shared" si="20"/>
        <v>97850</v>
      </c>
      <c r="N63" s="47">
        <f t="shared" si="20"/>
        <v>251192</v>
      </c>
      <c r="O63" s="47">
        <f t="shared" si="20"/>
        <v>155783</v>
      </c>
      <c r="P63" s="47">
        <f t="shared" si="20"/>
        <v>57572</v>
      </c>
      <c r="Q63" s="47">
        <f t="shared" si="20"/>
        <v>266550</v>
      </c>
      <c r="R63" s="47">
        <f t="shared" si="20"/>
        <v>93642</v>
      </c>
      <c r="S63" s="47">
        <f t="shared" si="20"/>
        <v>83117</v>
      </c>
      <c r="T63" s="47">
        <f t="shared" si="20"/>
        <v>148119</v>
      </c>
      <c r="U63" s="47">
        <f t="shared" si="20"/>
        <v>51462</v>
      </c>
      <c r="V63" s="47">
        <f t="shared" si="20"/>
        <v>174890</v>
      </c>
      <c r="W63" s="47">
        <f t="shared" si="20"/>
        <v>104481</v>
      </c>
      <c r="X63" s="47">
        <f t="shared" si="20"/>
        <v>17835</v>
      </c>
      <c r="Y63" s="47">
        <f t="shared" si="20"/>
        <v>250439</v>
      </c>
      <c r="Z63" s="47">
        <f t="shared" si="20"/>
        <v>775941</v>
      </c>
      <c r="AA63" s="47">
        <f t="shared" si="20"/>
        <v>36966</v>
      </c>
      <c r="AB63" s="47">
        <f t="shared" si="20"/>
        <v>82687</v>
      </c>
      <c r="AC63" s="54"/>
      <c r="AD63" s="49">
        <f t="shared" si="13"/>
        <v>3725224</v>
      </c>
      <c r="AH63" s="15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</row>
    <row r="64" spans="1:62" s="14" customFormat="1">
      <c r="A64" s="85" t="s">
        <v>111</v>
      </c>
      <c r="B64" s="47">
        <f t="shared" ref="B64:AB64" si="21">ROUND(B46*$L$51,0)</f>
        <v>1026</v>
      </c>
      <c r="C64" s="47">
        <f t="shared" si="21"/>
        <v>6653</v>
      </c>
      <c r="D64" s="47">
        <f t="shared" si="21"/>
        <v>1100</v>
      </c>
      <c r="E64" s="47">
        <f t="shared" si="21"/>
        <v>8833</v>
      </c>
      <c r="F64" s="47">
        <f t="shared" si="21"/>
        <v>36889</v>
      </c>
      <c r="G64" s="47">
        <f t="shared" si="21"/>
        <v>15471</v>
      </c>
      <c r="H64" s="47">
        <f t="shared" si="21"/>
        <v>11861</v>
      </c>
      <c r="I64" s="47">
        <f t="shared" si="21"/>
        <v>14690</v>
      </c>
      <c r="J64" s="47">
        <f t="shared" si="21"/>
        <v>20973</v>
      </c>
      <c r="K64" s="47">
        <f t="shared" si="21"/>
        <v>7768</v>
      </c>
      <c r="L64" s="47">
        <f t="shared" si="21"/>
        <v>10617</v>
      </c>
      <c r="M64" s="47">
        <f t="shared" si="21"/>
        <v>8765</v>
      </c>
      <c r="N64" s="47">
        <f t="shared" si="21"/>
        <v>71505</v>
      </c>
      <c r="O64" s="47">
        <f t="shared" si="21"/>
        <v>16449</v>
      </c>
      <c r="P64" s="47">
        <f t="shared" si="21"/>
        <v>6877</v>
      </c>
      <c r="Q64" s="47">
        <f t="shared" si="21"/>
        <v>39449</v>
      </c>
      <c r="R64" s="47">
        <f t="shared" si="21"/>
        <v>18865</v>
      </c>
      <c r="S64" s="47">
        <f t="shared" si="21"/>
        <v>5976</v>
      </c>
      <c r="T64" s="47">
        <f t="shared" si="21"/>
        <v>46330</v>
      </c>
      <c r="U64" s="47">
        <f t="shared" si="21"/>
        <v>6246</v>
      </c>
      <c r="V64" s="47">
        <f t="shared" si="21"/>
        <v>38852</v>
      </c>
      <c r="W64" s="47">
        <f t="shared" si="21"/>
        <v>5244</v>
      </c>
      <c r="X64" s="47">
        <f t="shared" si="21"/>
        <v>939</v>
      </c>
      <c r="Y64" s="47">
        <f t="shared" si="21"/>
        <v>18578</v>
      </c>
      <c r="Z64" s="47">
        <f t="shared" si="21"/>
        <v>152208</v>
      </c>
      <c r="AA64" s="47">
        <f t="shared" si="21"/>
        <v>6302</v>
      </c>
      <c r="AB64" s="47">
        <f t="shared" si="21"/>
        <v>5028</v>
      </c>
      <c r="AC64" s="54"/>
      <c r="AD64" s="49">
        <f t="shared" si="13"/>
        <v>583494</v>
      </c>
      <c r="AH64" s="15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</row>
    <row r="65" spans="1:62">
      <c r="A65" s="85" t="s">
        <v>112</v>
      </c>
      <c r="B65" s="47">
        <f t="shared" ref="B65:AB65" si="22">ROUND(B47*$L$51,0)</f>
        <v>1004</v>
      </c>
      <c r="C65" s="47">
        <f t="shared" si="22"/>
        <v>4487</v>
      </c>
      <c r="D65" s="47">
        <f t="shared" si="22"/>
        <v>783</v>
      </c>
      <c r="E65" s="47">
        <f t="shared" si="22"/>
        <v>4794</v>
      </c>
      <c r="F65" s="47">
        <f t="shared" si="22"/>
        <v>21335</v>
      </c>
      <c r="G65" s="47">
        <f t="shared" si="22"/>
        <v>24104</v>
      </c>
      <c r="H65" s="47">
        <f t="shared" si="22"/>
        <v>19904</v>
      </c>
      <c r="I65" s="47">
        <f t="shared" si="22"/>
        <v>13050</v>
      </c>
      <c r="J65" s="47">
        <f t="shared" si="22"/>
        <v>18302</v>
      </c>
      <c r="K65" s="47">
        <f t="shared" si="22"/>
        <v>7137</v>
      </c>
      <c r="L65" s="47">
        <f t="shared" si="22"/>
        <v>10590</v>
      </c>
      <c r="M65" s="47">
        <f t="shared" si="22"/>
        <v>8766</v>
      </c>
      <c r="N65" s="47">
        <f t="shared" si="22"/>
        <v>47692</v>
      </c>
      <c r="O65" s="47">
        <f t="shared" si="22"/>
        <v>10919</v>
      </c>
      <c r="P65" s="47">
        <f t="shared" si="22"/>
        <v>7032</v>
      </c>
      <c r="Q65" s="47">
        <f t="shared" si="22"/>
        <v>41662</v>
      </c>
      <c r="R65" s="47">
        <f t="shared" si="22"/>
        <v>14817</v>
      </c>
      <c r="S65" s="47">
        <f t="shared" si="22"/>
        <v>4624</v>
      </c>
      <c r="T65" s="47">
        <f t="shared" si="22"/>
        <v>47564</v>
      </c>
      <c r="U65" s="47">
        <f t="shared" si="22"/>
        <v>12043</v>
      </c>
      <c r="V65" s="47">
        <f t="shared" si="22"/>
        <v>40432</v>
      </c>
      <c r="W65" s="47">
        <f t="shared" si="22"/>
        <v>2640</v>
      </c>
      <c r="X65" s="47">
        <f t="shared" si="22"/>
        <v>1003</v>
      </c>
      <c r="Y65" s="47">
        <f t="shared" si="22"/>
        <v>36655</v>
      </c>
      <c r="Z65" s="47">
        <f t="shared" si="22"/>
        <v>190077</v>
      </c>
      <c r="AA65" s="47">
        <f t="shared" si="22"/>
        <v>3536</v>
      </c>
      <c r="AB65" s="47">
        <f t="shared" si="22"/>
        <v>2635</v>
      </c>
      <c r="AC65" s="48"/>
      <c r="AD65" s="49">
        <f t="shared" si="13"/>
        <v>597587</v>
      </c>
      <c r="AH65" s="7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</row>
    <row r="66" spans="1:62">
      <c r="A66" s="57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50"/>
      <c r="AH66" s="7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</row>
    <row r="67" spans="1:62" s="5" customFormat="1">
      <c r="A67" s="1" t="s">
        <v>99</v>
      </c>
      <c r="B67" s="49">
        <f>SUM(B56:B65)</f>
        <v>228131</v>
      </c>
      <c r="C67" s="49">
        <f t="shared" ref="C67:AB67" si="23">SUM(C56:C65)</f>
        <v>675373</v>
      </c>
      <c r="D67" s="49">
        <f t="shared" si="23"/>
        <v>166905</v>
      </c>
      <c r="E67" s="49">
        <f t="shared" si="23"/>
        <v>760126</v>
      </c>
      <c r="F67" s="49">
        <f t="shared" si="23"/>
        <v>3460627</v>
      </c>
      <c r="G67" s="49">
        <f t="shared" si="23"/>
        <v>2643067</v>
      </c>
      <c r="H67" s="49">
        <f t="shared" si="23"/>
        <v>1594719</v>
      </c>
      <c r="I67" s="49">
        <f t="shared" si="23"/>
        <v>1670178</v>
      </c>
      <c r="J67" s="49">
        <f t="shared" si="23"/>
        <v>3263512</v>
      </c>
      <c r="K67" s="49">
        <f t="shared" si="23"/>
        <v>1381545</v>
      </c>
      <c r="L67" s="49">
        <f t="shared" si="23"/>
        <v>1664207</v>
      </c>
      <c r="M67" s="49">
        <f t="shared" si="23"/>
        <v>1321522</v>
      </c>
      <c r="N67" s="49">
        <f t="shared" si="23"/>
        <v>9393289</v>
      </c>
      <c r="O67" s="49">
        <f t="shared" si="23"/>
        <v>1616025</v>
      </c>
      <c r="P67" s="49">
        <f t="shared" si="23"/>
        <v>1061939</v>
      </c>
      <c r="Q67" s="49">
        <f t="shared" si="23"/>
        <v>6592311</v>
      </c>
      <c r="R67" s="49">
        <f t="shared" si="23"/>
        <v>2586670</v>
      </c>
      <c r="S67" s="49">
        <f t="shared" si="23"/>
        <v>971543</v>
      </c>
      <c r="T67" s="49">
        <f t="shared" si="23"/>
        <v>5961888</v>
      </c>
      <c r="U67" s="49">
        <f t="shared" si="23"/>
        <v>1058330</v>
      </c>
      <c r="V67" s="49">
        <f t="shared" si="23"/>
        <v>6102603</v>
      </c>
      <c r="W67" s="49">
        <f t="shared" si="23"/>
        <v>819966</v>
      </c>
      <c r="X67" s="49">
        <f t="shared" si="23"/>
        <v>182171</v>
      </c>
      <c r="Y67" s="49">
        <f t="shared" si="23"/>
        <v>4385287</v>
      </c>
      <c r="Z67" s="49">
        <f t="shared" si="23"/>
        <v>25605439</v>
      </c>
      <c r="AA67" s="49">
        <f t="shared" si="23"/>
        <v>624679</v>
      </c>
      <c r="AB67" s="49">
        <f t="shared" si="23"/>
        <v>565247</v>
      </c>
      <c r="AC67" s="50"/>
      <c r="AD67" s="84">
        <f>IF((SUM(AD56:AD65)=SUM(B67:AB67)),(SUM(B67:AB67)),"erro")</f>
        <v>86357299</v>
      </c>
      <c r="AH67" s="7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</row>
    <row r="72" spans="1:62" s="5" customFormat="1"/>
    <row r="73" spans="1:62" s="5" customFormat="1"/>
    <row r="74" spans="1:62" s="5" customFormat="1"/>
    <row r="75" spans="1:62" s="5" customFormat="1"/>
    <row r="76" spans="1:62" s="5" customFormat="1"/>
    <row r="77" spans="1:62" s="5" customFormat="1"/>
    <row r="78" spans="1:62" s="5" customFormat="1"/>
    <row r="79" spans="1:62" s="5" customFormat="1"/>
    <row r="80" spans="1:62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 ht="15" customHeigh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</sheetData>
  <mergeCells count="4">
    <mergeCell ref="A2:A3"/>
    <mergeCell ref="A54:A55"/>
    <mergeCell ref="A36:A37"/>
    <mergeCell ref="A25:A26"/>
  </mergeCells>
  <pageMargins left="0.75" right="0.75" top="1" bottom="1" header="0.5" footer="0.5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270C7F360A7F47A1B720549C3E9397" ma:contentTypeVersion="11" ma:contentTypeDescription="Create a new document." ma:contentTypeScope="" ma:versionID="c9288f290db4371e77049984c4ad053e">
  <xsd:schema xmlns:xsd="http://www.w3.org/2001/XMLSchema" xmlns:xs="http://www.w3.org/2001/XMLSchema" xmlns:p="http://schemas.microsoft.com/office/2006/metadata/properties" xmlns:ns2="a35b26e6-7832-4067-9ceb-2941cfbb770c" xmlns:ns3="ce29b8ed-6d9c-45d6-831d-9b2ee93b4f7e" targetNamespace="http://schemas.microsoft.com/office/2006/metadata/properties" ma:root="true" ma:fieldsID="9eb003a68fbdb5cdeec7318484af4a94" ns2:_="" ns3:_="">
    <xsd:import namespace="a35b26e6-7832-4067-9ceb-2941cfbb770c"/>
    <xsd:import namespace="ce29b8ed-6d9c-45d6-831d-9b2ee93b4f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b26e6-7832-4067-9ceb-2941cfbb77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5e3a396-6ff9-41c4-9ea6-a3ac188d4d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29b8ed-6d9c-45d6-831d-9b2ee93b4f7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4e1a75e-c2e7-4bfb-84a0-05fbf59eaf5f}" ma:internalName="TaxCatchAll" ma:showField="CatchAllData" ma:web="ce29b8ed-6d9c-45d6-831d-9b2ee93b4f7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35b26e6-7832-4067-9ceb-2941cfbb770c">
      <Terms xmlns="http://schemas.microsoft.com/office/infopath/2007/PartnerControls"/>
    </lcf76f155ced4ddcb4097134ff3c332f>
    <TaxCatchAll xmlns="ce29b8ed-6d9c-45d6-831d-9b2ee93b4f7e" xsi:nil="true"/>
  </documentManagement>
</p:properties>
</file>

<file path=customXml/itemProps1.xml><?xml version="1.0" encoding="utf-8"?>
<ds:datastoreItem xmlns:ds="http://schemas.openxmlformats.org/officeDocument/2006/customXml" ds:itemID="{95A928AE-3AB7-4140-A943-7226BC15235D}"/>
</file>

<file path=customXml/itemProps2.xml><?xml version="1.0" encoding="utf-8"?>
<ds:datastoreItem xmlns:ds="http://schemas.openxmlformats.org/officeDocument/2006/customXml" ds:itemID="{09573339-36C6-4F8B-9E87-40F9AD19C915}"/>
</file>

<file path=customXml/itemProps3.xml><?xml version="1.0" encoding="utf-8"?>
<ds:datastoreItem xmlns:ds="http://schemas.openxmlformats.org/officeDocument/2006/customXml" ds:itemID="{5256FB30-DF10-413D-ADB7-1CB67F1905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Louise Fuhrmann</dc:creator>
  <cp:keywords/>
  <dc:description/>
  <cp:lastModifiedBy>Pedro Augusto</cp:lastModifiedBy>
  <cp:revision/>
  <dcterms:created xsi:type="dcterms:W3CDTF">2023-03-06T20:34:14Z</dcterms:created>
  <dcterms:modified xsi:type="dcterms:W3CDTF">2023-08-23T16:51:56Z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0x01010033270C7F360A7F47A1B720549C3E9397</vt:lpwstr>
  </property>
  <property fmtid="{D5CDD505-2E9C-101B-9397-08002B2CF9AE}" pid="3" name="MediaServiceImageTags">
    <vt:lpwstr/>
  </property>
</Properties>
</file>