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Versão Final\"/>
    </mc:Choice>
  </mc:AlternateContent>
  <xr:revisionPtr revIDLastSave="0" documentId="11_AC14AB4B123A15AE135CA469B1EB22331DDE29CE" xr6:coauthVersionLast="47" xr6:coauthVersionMax="47" xr10:uidLastSave="{00000000-0000-0000-0000-000000000000}"/>
  <bookViews>
    <workbookView xWindow="0" yWindow="0" windowWidth="14145" windowHeight="5580" tabRatio="897" firstSheet="3" activeTab="3" xr2:uid="{00000000-000D-0000-FFFF-FFFF00000000}"/>
  </bookViews>
  <sheets>
    <sheet name="ONSV_2023" sheetId="43" r:id="rId1"/>
    <sheet name="ONSV_2022" sheetId="41" r:id="rId2"/>
    <sheet name="ONSV_2021" sheetId="39" r:id="rId3"/>
    <sheet name="ONSV_2020" sheetId="40" r:id="rId4"/>
    <sheet name="ONSV_2019" sheetId="44" r:id="rId5"/>
    <sheet name="ONSV_AUX_2023" sheetId="42" r:id="rId6"/>
    <sheet name="ONSV_AUX_2022" sheetId="4" r:id="rId7"/>
    <sheet name="ONSV_AUX_2021" sheetId="34" r:id="rId8"/>
    <sheet name="ONSV_AUX_2020" sheetId="35" r:id="rId9"/>
    <sheet name="ONSV_AUX_2019" sheetId="37" r:id="rId10"/>
    <sheet name="AC" sheetId="3" r:id="rId11"/>
    <sheet name="AL" sheetId="7" r:id="rId12"/>
    <sheet name="AP" sheetId="8" r:id="rId13"/>
    <sheet name="AM" sheetId="9" r:id="rId14"/>
    <sheet name="BA" sheetId="10" r:id="rId15"/>
    <sheet name="CE" sheetId="11" r:id="rId16"/>
    <sheet name="DF" sheetId="12" r:id="rId17"/>
    <sheet name="ES" sheetId="13" r:id="rId18"/>
    <sheet name="GO" sheetId="14" r:id="rId19"/>
    <sheet name="MA" sheetId="15" r:id="rId20"/>
    <sheet name="MT" sheetId="16" r:id="rId21"/>
    <sheet name="MS" sheetId="17" r:id="rId22"/>
    <sheet name="MG" sheetId="18" r:id="rId23"/>
    <sheet name="PA" sheetId="19" r:id="rId24"/>
    <sheet name="PB" sheetId="20" r:id="rId25"/>
    <sheet name="PR" sheetId="21" r:id="rId26"/>
    <sheet name="PE" sheetId="22" r:id="rId27"/>
    <sheet name="PI" sheetId="23" r:id="rId28"/>
    <sheet name="RJ" sheetId="24" r:id="rId29"/>
    <sheet name="RN" sheetId="25" r:id="rId30"/>
    <sheet name="RS" sheetId="26" r:id="rId31"/>
    <sheet name="RO" sheetId="27" r:id="rId32"/>
    <sheet name="RR" sheetId="28" r:id="rId33"/>
    <sheet name="SC" sheetId="29" r:id="rId34"/>
    <sheet name="SP" sheetId="30" r:id="rId35"/>
    <sheet name="SE" sheetId="31" r:id="rId36"/>
    <sheet name="TO" sheetId="32" r:id="rId3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35" l="1"/>
  <c r="D27" i="35"/>
  <c r="E27" i="35"/>
  <c r="F27" i="35"/>
  <c r="G27" i="35"/>
  <c r="H27" i="35"/>
  <c r="I27" i="35"/>
  <c r="J27" i="35"/>
  <c r="K27" i="35"/>
  <c r="L27" i="35"/>
  <c r="M27" i="35"/>
  <c r="N27" i="35"/>
  <c r="O27" i="35"/>
  <c r="P27" i="35"/>
  <c r="Q27" i="35"/>
  <c r="R27" i="35"/>
  <c r="S27" i="35"/>
  <c r="T27" i="35"/>
  <c r="U27" i="35"/>
  <c r="V27" i="35"/>
  <c r="W27" i="35"/>
  <c r="X27" i="35"/>
  <c r="Y27" i="35"/>
  <c r="Z27" i="35"/>
  <c r="AA27" i="35"/>
  <c r="AB27" i="35"/>
  <c r="C28" i="35"/>
  <c r="D28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U28" i="35"/>
  <c r="V28" i="35"/>
  <c r="W28" i="35"/>
  <c r="X28" i="35"/>
  <c r="Y28" i="35"/>
  <c r="Z28" i="35"/>
  <c r="AA28" i="35"/>
  <c r="AB28" i="35"/>
  <c r="C29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Z29" i="35"/>
  <c r="AA29" i="35"/>
  <c r="AB29" i="35"/>
  <c r="C30" i="35"/>
  <c r="D30" i="35"/>
  <c r="E30" i="35"/>
  <c r="F30" i="35"/>
  <c r="G30" i="35"/>
  <c r="H30" i="35"/>
  <c r="I30" i="35"/>
  <c r="J30" i="35"/>
  <c r="K30" i="35"/>
  <c r="L30" i="35"/>
  <c r="M30" i="35"/>
  <c r="N30" i="35"/>
  <c r="O30" i="35"/>
  <c r="P30" i="35"/>
  <c r="Q30" i="35"/>
  <c r="R30" i="35"/>
  <c r="S30" i="35"/>
  <c r="T30" i="35"/>
  <c r="U30" i="35"/>
  <c r="V30" i="35"/>
  <c r="W30" i="35"/>
  <c r="X30" i="35"/>
  <c r="Y30" i="35"/>
  <c r="Z30" i="35"/>
  <c r="AA30" i="35"/>
  <c r="AB30" i="35"/>
  <c r="C31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Q31" i="35"/>
  <c r="R31" i="35"/>
  <c r="S31" i="35"/>
  <c r="T31" i="35"/>
  <c r="U31" i="35"/>
  <c r="V31" i="35"/>
  <c r="W31" i="35"/>
  <c r="X31" i="35"/>
  <c r="Y31" i="35"/>
  <c r="Z31" i="35"/>
  <c r="AA31" i="35"/>
  <c r="AB31" i="35"/>
  <c r="C32" i="35"/>
  <c r="D32" i="35"/>
  <c r="E32" i="35"/>
  <c r="F32" i="35"/>
  <c r="G32" i="35"/>
  <c r="H32" i="35"/>
  <c r="I32" i="35"/>
  <c r="J32" i="35"/>
  <c r="K32" i="35"/>
  <c r="L32" i="35"/>
  <c r="M32" i="35"/>
  <c r="N32" i="35"/>
  <c r="O32" i="35"/>
  <c r="P32" i="35"/>
  <c r="Q32" i="35"/>
  <c r="R32" i="35"/>
  <c r="S32" i="35"/>
  <c r="T32" i="35"/>
  <c r="U32" i="35"/>
  <c r="V32" i="35"/>
  <c r="W32" i="35"/>
  <c r="X32" i="35"/>
  <c r="Y32" i="35"/>
  <c r="Z32" i="35"/>
  <c r="AA32" i="35"/>
  <c r="AB32" i="35"/>
  <c r="B32" i="35"/>
  <c r="B31" i="35"/>
  <c r="B30" i="35"/>
  <c r="B29" i="35"/>
  <c r="B28" i="35"/>
  <c r="B27" i="35"/>
  <c r="AD67" i="37" l="1"/>
  <c r="AD49" i="37"/>
  <c r="AD34" i="37"/>
  <c r="AD23" i="37"/>
  <c r="AB32" i="42"/>
  <c r="AA32" i="42"/>
  <c r="Z32" i="42"/>
  <c r="Y32" i="42"/>
  <c r="X32" i="42"/>
  <c r="W32" i="42"/>
  <c r="V32" i="42"/>
  <c r="U32" i="42"/>
  <c r="T32" i="42"/>
  <c r="S32" i="42"/>
  <c r="R32" i="42"/>
  <c r="Q32" i="42"/>
  <c r="P32" i="42"/>
  <c r="O32" i="42"/>
  <c r="N32" i="42"/>
  <c r="M32" i="42"/>
  <c r="L32" i="42"/>
  <c r="K32" i="42"/>
  <c r="J32" i="42"/>
  <c r="I32" i="42"/>
  <c r="H32" i="42"/>
  <c r="G32" i="42"/>
  <c r="F32" i="42"/>
  <c r="E32" i="42"/>
  <c r="D32" i="42"/>
  <c r="C32" i="42"/>
  <c r="B32" i="42"/>
  <c r="AB31" i="42"/>
  <c r="AA31" i="42"/>
  <c r="Z31" i="42"/>
  <c r="Y31" i="42"/>
  <c r="X31" i="42"/>
  <c r="W31" i="42"/>
  <c r="V31" i="42"/>
  <c r="U31" i="42"/>
  <c r="T31" i="42"/>
  <c r="S31" i="42"/>
  <c r="R31" i="42"/>
  <c r="Q31" i="42"/>
  <c r="P31" i="42"/>
  <c r="O31" i="42"/>
  <c r="N31" i="42"/>
  <c r="M31" i="42"/>
  <c r="L31" i="42"/>
  <c r="K31" i="42"/>
  <c r="J31" i="42"/>
  <c r="I31" i="42"/>
  <c r="H31" i="42"/>
  <c r="G31" i="42"/>
  <c r="F31" i="42"/>
  <c r="E31" i="42"/>
  <c r="D31" i="42"/>
  <c r="C31" i="42"/>
  <c r="B31" i="42"/>
  <c r="AB30" i="42"/>
  <c r="AA30" i="42"/>
  <c r="Z30" i="42"/>
  <c r="Y30" i="42"/>
  <c r="X30" i="42"/>
  <c r="W30" i="42"/>
  <c r="V30" i="42"/>
  <c r="U30" i="42"/>
  <c r="T30" i="42"/>
  <c r="S30" i="42"/>
  <c r="R30" i="42"/>
  <c r="Q30" i="42"/>
  <c r="P30" i="42"/>
  <c r="O30" i="42"/>
  <c r="N30" i="42"/>
  <c r="M30" i="42"/>
  <c r="L30" i="42"/>
  <c r="K30" i="42"/>
  <c r="J30" i="42"/>
  <c r="I30" i="42"/>
  <c r="H30" i="42"/>
  <c r="G30" i="42"/>
  <c r="F30" i="42"/>
  <c r="E30" i="42"/>
  <c r="D30" i="42"/>
  <c r="C30" i="42"/>
  <c r="B30" i="42"/>
  <c r="AB29" i="42"/>
  <c r="AA29" i="42"/>
  <c r="Z29" i="42"/>
  <c r="Y29" i="42"/>
  <c r="X29" i="42"/>
  <c r="W29" i="42"/>
  <c r="V29" i="42"/>
  <c r="U29" i="42"/>
  <c r="T2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AB28" i="42"/>
  <c r="AA28" i="42"/>
  <c r="Z28" i="42"/>
  <c r="Y28" i="42"/>
  <c r="X28" i="42"/>
  <c r="W28" i="42"/>
  <c r="V28" i="42"/>
  <c r="U28" i="42"/>
  <c r="T28" i="42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AB27" i="42"/>
  <c r="AA27" i="42"/>
  <c r="Z27" i="42"/>
  <c r="Y27" i="42"/>
  <c r="X27" i="42"/>
  <c r="W27" i="42"/>
  <c r="V27" i="42"/>
  <c r="U27" i="42"/>
  <c r="T27" i="42"/>
  <c r="S27" i="42"/>
  <c r="R27" i="42"/>
  <c r="Q27" i="42"/>
  <c r="P27" i="42"/>
  <c r="O27" i="42"/>
  <c r="N27" i="42"/>
  <c r="M27" i="42"/>
  <c r="L27" i="42"/>
  <c r="K27" i="42"/>
  <c r="J27" i="42"/>
  <c r="I27" i="42"/>
  <c r="H27" i="42"/>
  <c r="G27" i="42"/>
  <c r="F27" i="42"/>
  <c r="E27" i="42"/>
  <c r="D27" i="42"/>
  <c r="C27" i="42"/>
  <c r="B27" i="42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B32" i="34"/>
  <c r="AA32" i="34"/>
  <c r="Z32" i="34"/>
  <c r="Y32" i="34"/>
  <c r="X32" i="34"/>
  <c r="W32" i="34"/>
  <c r="V32" i="34"/>
  <c r="U32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AB31" i="34"/>
  <c r="AA31" i="34"/>
  <c r="Z31" i="34"/>
  <c r="Y31" i="34"/>
  <c r="X31" i="34"/>
  <c r="W31" i="34"/>
  <c r="V31" i="34"/>
  <c r="U31" i="34"/>
  <c r="T31" i="34"/>
  <c r="S31" i="34"/>
  <c r="R31" i="34"/>
  <c r="Q31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D31" i="34"/>
  <c r="C31" i="34"/>
  <c r="B31" i="34"/>
  <c r="AB30" i="34"/>
  <c r="AA30" i="34"/>
  <c r="Z30" i="34"/>
  <c r="Y30" i="34"/>
  <c r="X30" i="34"/>
  <c r="W30" i="34"/>
  <c r="V30" i="34"/>
  <c r="U30" i="34"/>
  <c r="T30" i="34"/>
  <c r="S30" i="34"/>
  <c r="R30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E30" i="34"/>
  <c r="D30" i="34"/>
  <c r="C30" i="34"/>
  <c r="B30" i="34"/>
  <c r="AB29" i="34"/>
  <c r="AA29" i="34"/>
  <c r="Z29" i="34"/>
  <c r="Y29" i="34"/>
  <c r="X29" i="34"/>
  <c r="W29" i="34"/>
  <c r="V29" i="34"/>
  <c r="U29" i="34"/>
  <c r="T29" i="34"/>
  <c r="S29" i="34"/>
  <c r="R29" i="34"/>
  <c r="Q29" i="34"/>
  <c r="P29" i="34"/>
  <c r="O29" i="34"/>
  <c r="N29" i="34"/>
  <c r="M29" i="34"/>
  <c r="L29" i="34"/>
  <c r="K29" i="34"/>
  <c r="J29" i="34"/>
  <c r="I29" i="34"/>
  <c r="H29" i="34"/>
  <c r="G29" i="34"/>
  <c r="F29" i="34"/>
  <c r="E29" i="34"/>
  <c r="D29" i="34"/>
  <c r="C29" i="34"/>
  <c r="B29" i="34"/>
  <c r="AB28" i="34"/>
  <c r="AA28" i="34"/>
  <c r="Z28" i="34"/>
  <c r="Y28" i="34"/>
  <c r="X28" i="34"/>
  <c r="W28" i="34"/>
  <c r="V28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D28" i="34"/>
  <c r="C28" i="34"/>
  <c r="B28" i="34"/>
  <c r="AB27" i="34"/>
  <c r="AA27" i="34"/>
  <c r="Z27" i="34"/>
  <c r="Y27" i="34"/>
  <c r="X27" i="34"/>
  <c r="W27" i="34"/>
  <c r="V27" i="34"/>
  <c r="U27" i="34"/>
  <c r="T27" i="34"/>
  <c r="S27" i="34"/>
  <c r="R27" i="34"/>
  <c r="Q27" i="34"/>
  <c r="P27" i="34"/>
  <c r="O27" i="34"/>
  <c r="N27" i="34"/>
  <c r="M27" i="34"/>
  <c r="L27" i="34"/>
  <c r="K27" i="34"/>
  <c r="J27" i="34"/>
  <c r="I27" i="34"/>
  <c r="H27" i="34"/>
  <c r="G27" i="34"/>
  <c r="F27" i="34"/>
  <c r="E27" i="34"/>
  <c r="D27" i="34"/>
  <c r="C27" i="34"/>
  <c r="B27" i="34"/>
  <c r="C27" i="37"/>
  <c r="D27" i="37"/>
  <c r="E27" i="37"/>
  <c r="F27" i="37"/>
  <c r="G27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Z27" i="37"/>
  <c r="AA27" i="37"/>
  <c r="AB27" i="37"/>
  <c r="C28" i="37"/>
  <c r="D28" i="37"/>
  <c r="E28" i="37"/>
  <c r="F28" i="37"/>
  <c r="G28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Z28" i="37"/>
  <c r="AA28" i="37"/>
  <c r="AB28" i="37"/>
  <c r="C29" i="37"/>
  <c r="D29" i="37"/>
  <c r="E29" i="37"/>
  <c r="F29" i="37"/>
  <c r="G29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Z29" i="37"/>
  <c r="AA29" i="37"/>
  <c r="AB29" i="37"/>
  <c r="C30" i="37"/>
  <c r="D30" i="37"/>
  <c r="E30" i="37"/>
  <c r="F30" i="37"/>
  <c r="G30" i="37"/>
  <c r="H30" i="37"/>
  <c r="I30" i="37"/>
  <c r="J30" i="37"/>
  <c r="K30" i="37"/>
  <c r="L30" i="37"/>
  <c r="M30" i="37"/>
  <c r="N30" i="37"/>
  <c r="O30" i="37"/>
  <c r="P30" i="37"/>
  <c r="Q30" i="37"/>
  <c r="R30" i="37"/>
  <c r="S30" i="37"/>
  <c r="T30" i="37"/>
  <c r="U30" i="37"/>
  <c r="V30" i="37"/>
  <c r="W30" i="37"/>
  <c r="X30" i="37"/>
  <c r="Y30" i="37"/>
  <c r="Z30" i="37"/>
  <c r="AA30" i="37"/>
  <c r="AB30" i="37"/>
  <c r="C31" i="37"/>
  <c r="D31" i="37"/>
  <c r="E31" i="37"/>
  <c r="F31" i="37"/>
  <c r="G31" i="37"/>
  <c r="H31" i="37"/>
  <c r="I31" i="37"/>
  <c r="J31" i="37"/>
  <c r="K31" i="37"/>
  <c r="L31" i="37"/>
  <c r="M31" i="37"/>
  <c r="N31" i="37"/>
  <c r="O31" i="37"/>
  <c r="P31" i="37"/>
  <c r="Q31" i="37"/>
  <c r="R31" i="37"/>
  <c r="S31" i="37"/>
  <c r="T31" i="37"/>
  <c r="U31" i="37"/>
  <c r="V31" i="37"/>
  <c r="W31" i="37"/>
  <c r="X31" i="37"/>
  <c r="Y31" i="37"/>
  <c r="Z31" i="37"/>
  <c r="AA31" i="37"/>
  <c r="AB31" i="37"/>
  <c r="C32" i="37"/>
  <c r="D32" i="37"/>
  <c r="E32" i="37"/>
  <c r="F32" i="37"/>
  <c r="G32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AA32" i="37"/>
  <c r="AB32" i="37"/>
  <c r="B31" i="37"/>
  <c r="B29" i="37"/>
  <c r="B27" i="37"/>
  <c r="B32" i="37"/>
  <c r="B30" i="37"/>
  <c r="B28" i="37"/>
  <c r="A75" i="32" l="1"/>
  <c r="A50" i="32"/>
  <c r="A25" i="32"/>
  <c r="A1" i="32"/>
  <c r="A100" i="32"/>
  <c r="A75" i="31"/>
  <c r="A50" i="31"/>
  <c r="A25" i="31"/>
  <c r="A1" i="31"/>
  <c r="A100" i="31"/>
  <c r="A75" i="30"/>
  <c r="A50" i="30"/>
  <c r="A25" i="30"/>
  <c r="A1" i="30"/>
  <c r="A100" i="30"/>
  <c r="A75" i="29"/>
  <c r="A50" i="29"/>
  <c r="A25" i="29"/>
  <c r="A1" i="29"/>
  <c r="A100" i="29"/>
  <c r="A75" i="28"/>
  <c r="A50" i="28"/>
  <c r="A25" i="28"/>
  <c r="A1" i="28"/>
  <c r="A100" i="28"/>
  <c r="A75" i="27"/>
  <c r="A50" i="27"/>
  <c r="A25" i="27"/>
  <c r="A1" i="27"/>
  <c r="A100" i="27"/>
  <c r="A75" i="26"/>
  <c r="A50" i="26"/>
  <c r="A25" i="26"/>
  <c r="A1" i="26"/>
  <c r="A100" i="26"/>
  <c r="A75" i="25"/>
  <c r="A25" i="25"/>
  <c r="A50" i="25"/>
  <c r="A1" i="25"/>
  <c r="A100" i="25"/>
  <c r="A75" i="24"/>
  <c r="A50" i="24"/>
  <c r="A25" i="24"/>
  <c r="A1" i="24"/>
  <c r="A100" i="24"/>
  <c r="A75" i="23"/>
  <c r="A50" i="23"/>
  <c r="A25" i="23"/>
  <c r="A1" i="23"/>
  <c r="A100" i="23"/>
  <c r="A75" i="22"/>
  <c r="A50" i="22"/>
  <c r="A25" i="22"/>
  <c r="A1" i="22"/>
  <c r="A100" i="22"/>
  <c r="A75" i="21"/>
  <c r="A50" i="21"/>
  <c r="A25" i="21"/>
  <c r="A1" i="21"/>
  <c r="A100" i="21"/>
  <c r="A75" i="20"/>
  <c r="A50" i="20"/>
  <c r="A25" i="20"/>
  <c r="A1" i="20"/>
  <c r="A100" i="20"/>
  <c r="A75" i="19"/>
  <c r="A50" i="19"/>
  <c r="A25" i="19"/>
  <c r="A1" i="19"/>
  <c r="A100" i="19"/>
  <c r="A1" i="18"/>
  <c r="A25" i="18"/>
  <c r="A50" i="18"/>
  <c r="A75" i="18"/>
  <c r="A100" i="18"/>
  <c r="A75" i="17"/>
  <c r="A50" i="17"/>
  <c r="A25" i="17"/>
  <c r="A1" i="17"/>
  <c r="A100" i="17"/>
  <c r="A25" i="16"/>
  <c r="A50" i="16"/>
  <c r="A75" i="16"/>
  <c r="A100" i="16"/>
  <c r="A1" i="16"/>
  <c r="A25" i="15"/>
  <c r="A50" i="15"/>
  <c r="A75" i="15"/>
  <c r="A100" i="15"/>
  <c r="A1" i="15"/>
  <c r="A25" i="14"/>
  <c r="A50" i="14"/>
  <c r="A75" i="14"/>
  <c r="A100" i="14"/>
  <c r="A1" i="14"/>
  <c r="A75" i="13"/>
  <c r="A100" i="13"/>
  <c r="A50" i="13"/>
  <c r="A25" i="13"/>
  <c r="A1" i="13"/>
  <c r="A25" i="12"/>
  <c r="A50" i="12"/>
  <c r="A75" i="12"/>
  <c r="A100" i="12"/>
  <c r="A1" i="12"/>
  <c r="A50" i="11"/>
  <c r="A25" i="11"/>
  <c r="A1" i="11"/>
  <c r="A75" i="11"/>
  <c r="A100" i="11"/>
  <c r="A100" i="10"/>
  <c r="A75" i="10"/>
  <c r="A50" i="10"/>
  <c r="A25" i="10"/>
  <c r="A1" i="10"/>
  <c r="A1" i="9"/>
  <c r="A25" i="9"/>
  <c r="A50" i="9"/>
  <c r="A75" i="9"/>
  <c r="A100" i="9"/>
  <c r="A100" i="8"/>
  <c r="A75" i="8"/>
  <c r="A25" i="8"/>
  <c r="A1" i="8"/>
  <c r="A1" i="7"/>
  <c r="A25" i="7"/>
  <c r="A50" i="7"/>
  <c r="A75" i="7"/>
  <c r="A100" i="7"/>
  <c r="A1" i="3"/>
  <c r="A25" i="3"/>
  <c r="A75" i="3"/>
  <c r="A100" i="3"/>
  <c r="A50" i="8"/>
  <c r="A50" i="3"/>
  <c r="A2" i="41"/>
  <c r="A2" i="39"/>
  <c r="A2" i="43"/>
  <c r="A2" i="40"/>
  <c r="A2" i="44"/>
  <c r="C23" i="37" l="1"/>
  <c r="D23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AB23" i="37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B23" i="35"/>
  <c r="C23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Z23" i="34"/>
  <c r="AA23" i="34"/>
  <c r="AB23" i="34"/>
  <c r="B23" i="3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4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B23" i="4"/>
  <c r="D23" i="42"/>
  <c r="E23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X23" i="42"/>
  <c r="Y23" i="42"/>
  <c r="Z23" i="42"/>
  <c r="AA23" i="42"/>
  <c r="AB23" i="42"/>
  <c r="C23" i="42"/>
  <c r="B23" i="42"/>
  <c r="AD23" i="4" l="1"/>
  <c r="AD22" i="42"/>
  <c r="AB49" i="42" l="1"/>
  <c r="AA49" i="42"/>
  <c r="Z49" i="42"/>
  <c r="Y49" i="42"/>
  <c r="X49" i="42"/>
  <c r="W49" i="42"/>
  <c r="V49" i="42"/>
  <c r="U49" i="42"/>
  <c r="T49" i="42"/>
  <c r="S49" i="42"/>
  <c r="R49" i="42"/>
  <c r="Q49" i="42"/>
  <c r="P49" i="42"/>
  <c r="O49" i="42"/>
  <c r="N49" i="42"/>
  <c r="M49" i="42"/>
  <c r="L49" i="42"/>
  <c r="K49" i="42"/>
  <c r="J49" i="42"/>
  <c r="I49" i="42"/>
  <c r="H49" i="42"/>
  <c r="G49" i="42"/>
  <c r="F49" i="42"/>
  <c r="E49" i="42"/>
  <c r="D49" i="42"/>
  <c r="C49" i="42"/>
  <c r="B49" i="42"/>
  <c r="AD47" i="42"/>
  <c r="AD46" i="42"/>
  <c r="AD45" i="42"/>
  <c r="AD44" i="42"/>
  <c r="AD43" i="42"/>
  <c r="AD42" i="42"/>
  <c r="AD41" i="42"/>
  <c r="AD40" i="42"/>
  <c r="AD39" i="42"/>
  <c r="AD38" i="42"/>
  <c r="I10" i="32"/>
  <c r="I10" i="31"/>
  <c r="I10" i="30"/>
  <c r="I10" i="29"/>
  <c r="I10" i="28"/>
  <c r="I10" i="27"/>
  <c r="I10" i="26"/>
  <c r="I10" i="25"/>
  <c r="I10" i="24"/>
  <c r="I10" i="23"/>
  <c r="I10" i="22"/>
  <c r="I10" i="21"/>
  <c r="I10" i="20"/>
  <c r="I10" i="19"/>
  <c r="I10" i="18"/>
  <c r="I10" i="17"/>
  <c r="I10" i="16"/>
  <c r="I10" i="15"/>
  <c r="I10" i="14"/>
  <c r="I10" i="13"/>
  <c r="I10" i="12"/>
  <c r="I10" i="11"/>
  <c r="I10" i="10"/>
  <c r="I10" i="9"/>
  <c r="I10" i="8"/>
  <c r="I10" i="7"/>
  <c r="I10" i="3"/>
  <c r="I9" i="32"/>
  <c r="O18" i="32" s="1"/>
  <c r="I9" i="31"/>
  <c r="O18" i="31" s="1"/>
  <c r="I9" i="30"/>
  <c r="O18" i="30" s="1"/>
  <c r="I9" i="29"/>
  <c r="O18" i="29" s="1"/>
  <c r="I9" i="28"/>
  <c r="O18" i="28" s="1"/>
  <c r="I9" i="27"/>
  <c r="O18" i="27" s="1"/>
  <c r="I9" i="26"/>
  <c r="O18" i="26" s="1"/>
  <c r="I9" i="25"/>
  <c r="O18" i="25" s="1"/>
  <c r="I9" i="24"/>
  <c r="O18" i="24" s="1"/>
  <c r="I9" i="23"/>
  <c r="O18" i="23" s="1"/>
  <c r="I9" i="22"/>
  <c r="O18" i="22" s="1"/>
  <c r="I9" i="21"/>
  <c r="O18" i="21" s="1"/>
  <c r="I9" i="20"/>
  <c r="O18" i="20" s="1"/>
  <c r="I9" i="19"/>
  <c r="O18" i="19" s="1"/>
  <c r="I9" i="18"/>
  <c r="O18" i="18" s="1"/>
  <c r="I9" i="17"/>
  <c r="O18" i="17" s="1"/>
  <c r="I9" i="16"/>
  <c r="O18" i="16" s="1"/>
  <c r="I9" i="15"/>
  <c r="O18" i="15" s="1"/>
  <c r="I9" i="14"/>
  <c r="O18" i="14" s="1"/>
  <c r="I9" i="13"/>
  <c r="O18" i="13" s="1"/>
  <c r="I9" i="12"/>
  <c r="O18" i="12" s="1"/>
  <c r="I9" i="11"/>
  <c r="O18" i="11" s="1"/>
  <c r="I9" i="10"/>
  <c r="O18" i="10" s="1"/>
  <c r="I9" i="9"/>
  <c r="O18" i="9" s="1"/>
  <c r="I9" i="8"/>
  <c r="O18" i="8" s="1"/>
  <c r="I9" i="7"/>
  <c r="O18" i="7" s="1"/>
  <c r="I9" i="3"/>
  <c r="O18" i="3" s="1"/>
  <c r="I8" i="32"/>
  <c r="I8" i="31"/>
  <c r="I8" i="30"/>
  <c r="I8" i="29"/>
  <c r="I8" i="28"/>
  <c r="I8" i="27"/>
  <c r="I8" i="26"/>
  <c r="I8" i="25"/>
  <c r="I8" i="24"/>
  <c r="I8" i="23"/>
  <c r="I8" i="22"/>
  <c r="I8" i="21"/>
  <c r="I8" i="20"/>
  <c r="I8" i="19"/>
  <c r="I8" i="18"/>
  <c r="I8" i="17"/>
  <c r="I8" i="16"/>
  <c r="I8" i="15"/>
  <c r="I8" i="14"/>
  <c r="I8" i="13"/>
  <c r="I8" i="12"/>
  <c r="I8" i="11"/>
  <c r="I8" i="10"/>
  <c r="I8" i="9"/>
  <c r="I8" i="8"/>
  <c r="I8" i="7"/>
  <c r="I8" i="3"/>
  <c r="I7" i="32"/>
  <c r="I7" i="31"/>
  <c r="I7" i="30"/>
  <c r="I7" i="29"/>
  <c r="I7" i="28"/>
  <c r="I7" i="27"/>
  <c r="I7" i="26"/>
  <c r="I7" i="25"/>
  <c r="I7" i="24"/>
  <c r="I7" i="23"/>
  <c r="I7" i="22"/>
  <c r="I7" i="21"/>
  <c r="I7" i="20"/>
  <c r="I7" i="19"/>
  <c r="I7" i="18"/>
  <c r="I7" i="17"/>
  <c r="I7" i="16"/>
  <c r="I7" i="15"/>
  <c r="I7" i="14"/>
  <c r="I7" i="13"/>
  <c r="I7" i="12"/>
  <c r="I7" i="11"/>
  <c r="I7" i="10"/>
  <c r="I7" i="9"/>
  <c r="I7" i="8"/>
  <c r="I7" i="7"/>
  <c r="I7" i="3"/>
  <c r="I6" i="32"/>
  <c r="I6" i="31"/>
  <c r="I6" i="30"/>
  <c r="I6" i="29"/>
  <c r="I6" i="28"/>
  <c r="I6" i="27"/>
  <c r="I6" i="26"/>
  <c r="I6" i="25"/>
  <c r="I6" i="24"/>
  <c r="I6" i="23"/>
  <c r="I6" i="22"/>
  <c r="I6" i="21"/>
  <c r="I6" i="20"/>
  <c r="I6" i="19"/>
  <c r="I6" i="18"/>
  <c r="I6" i="17"/>
  <c r="I6" i="16"/>
  <c r="I6" i="15"/>
  <c r="I6" i="14"/>
  <c r="I6" i="13"/>
  <c r="I6" i="12"/>
  <c r="I6" i="11"/>
  <c r="I6" i="10"/>
  <c r="I6" i="9"/>
  <c r="I6" i="8"/>
  <c r="I6" i="7"/>
  <c r="I6" i="3"/>
  <c r="I5" i="32"/>
  <c r="O17" i="32" s="1"/>
  <c r="I5" i="31"/>
  <c r="O17" i="31" s="1"/>
  <c r="I5" i="29"/>
  <c r="O17" i="29" s="1"/>
  <c r="I5" i="28"/>
  <c r="O17" i="28" s="1"/>
  <c r="I5" i="27"/>
  <c r="O17" i="27" s="1"/>
  <c r="I5" i="24"/>
  <c r="O17" i="24" s="1"/>
  <c r="I5" i="23"/>
  <c r="O17" i="23" s="1"/>
  <c r="I5" i="21"/>
  <c r="O17" i="21" s="1"/>
  <c r="I5" i="20"/>
  <c r="O17" i="20" s="1"/>
  <c r="I5" i="19"/>
  <c r="O17" i="19" s="1"/>
  <c r="I5" i="17"/>
  <c r="O17" i="17" s="1"/>
  <c r="I5" i="16"/>
  <c r="O17" i="16" s="1"/>
  <c r="I5" i="15"/>
  <c r="O17" i="15" s="1"/>
  <c r="I5" i="13"/>
  <c r="O17" i="13" s="1"/>
  <c r="I5" i="12"/>
  <c r="O17" i="12" s="1"/>
  <c r="I5" i="11"/>
  <c r="O17" i="11" s="1"/>
  <c r="I5" i="8"/>
  <c r="O17" i="8" s="1"/>
  <c r="I5" i="7"/>
  <c r="O17" i="7" s="1"/>
  <c r="AD21" i="42"/>
  <c r="AD20" i="42"/>
  <c r="AD19" i="42"/>
  <c r="AD18" i="42"/>
  <c r="AD17" i="42"/>
  <c r="AD16" i="42"/>
  <c r="AD15" i="42"/>
  <c r="AD14" i="42"/>
  <c r="AD13" i="42"/>
  <c r="AD12" i="42"/>
  <c r="AD11" i="42"/>
  <c r="AD10" i="42"/>
  <c r="AD9" i="42"/>
  <c r="AD8" i="42"/>
  <c r="AD7" i="42"/>
  <c r="AD6" i="42"/>
  <c r="AD5" i="42"/>
  <c r="AD4" i="42"/>
  <c r="AD23" i="42" l="1"/>
  <c r="E34" i="42"/>
  <c r="U12" i="7"/>
  <c r="I14" i="43" s="1"/>
  <c r="U12" i="8"/>
  <c r="I7" i="43" s="1"/>
  <c r="U12" i="11"/>
  <c r="I16" i="43" s="1"/>
  <c r="U12" i="12"/>
  <c r="I33" i="43" s="1"/>
  <c r="U12" i="13"/>
  <c r="I24" i="43" s="1"/>
  <c r="U12" i="15"/>
  <c r="I17" i="43" s="1"/>
  <c r="U12" i="16"/>
  <c r="I35" i="43" s="1"/>
  <c r="U12" i="17"/>
  <c r="I36" i="43" s="1"/>
  <c r="U12" i="19"/>
  <c r="I9" i="43" s="1"/>
  <c r="U12" i="20"/>
  <c r="I18" i="43" s="1"/>
  <c r="U12" i="21"/>
  <c r="I29" i="43" s="1"/>
  <c r="U12" i="23"/>
  <c r="I20" i="43" s="1"/>
  <c r="U12" i="24"/>
  <c r="I26" i="43" s="1"/>
  <c r="U12" i="27"/>
  <c r="I10" i="43" s="1"/>
  <c r="U12" i="28"/>
  <c r="I11" i="43" s="1"/>
  <c r="U12" i="29"/>
  <c r="I31" i="43" s="1"/>
  <c r="U12" i="31"/>
  <c r="I22" i="43" s="1"/>
  <c r="U12" i="32"/>
  <c r="I12" i="43" s="1"/>
  <c r="U13" i="3"/>
  <c r="J6" i="43" s="1"/>
  <c r="U13" i="7"/>
  <c r="J14" i="43" s="1"/>
  <c r="U13" i="8"/>
  <c r="J7" i="43" s="1"/>
  <c r="U13" i="9"/>
  <c r="J8" i="43" s="1"/>
  <c r="U13" i="10"/>
  <c r="J15" i="43" s="1"/>
  <c r="U13" i="11"/>
  <c r="J16" i="43" s="1"/>
  <c r="U13" i="12"/>
  <c r="J33" i="43" s="1"/>
  <c r="U13" i="13"/>
  <c r="J24" i="43" s="1"/>
  <c r="U13" i="14"/>
  <c r="J34" i="43" s="1"/>
  <c r="U13" i="15"/>
  <c r="J17" i="43" s="1"/>
  <c r="U13" i="16"/>
  <c r="J35" i="43" s="1"/>
  <c r="U13" i="17"/>
  <c r="J36" i="43" s="1"/>
  <c r="U13" i="18"/>
  <c r="J25" i="43" s="1"/>
  <c r="U13" i="19"/>
  <c r="J9" i="43" s="1"/>
  <c r="U13" i="20"/>
  <c r="J18" i="43" s="1"/>
  <c r="U13" i="21"/>
  <c r="J29" i="43" s="1"/>
  <c r="U13" i="22"/>
  <c r="J19" i="43" s="1"/>
  <c r="U13" i="23"/>
  <c r="J20" i="43" s="1"/>
  <c r="U13" i="24"/>
  <c r="J26" i="43" s="1"/>
  <c r="U13" i="25"/>
  <c r="J21" i="43" s="1"/>
  <c r="U13" i="26"/>
  <c r="J30" i="43" s="1"/>
  <c r="U13" i="27"/>
  <c r="J10" i="43" s="1"/>
  <c r="U13" i="28"/>
  <c r="J11" i="43" s="1"/>
  <c r="U13" i="29"/>
  <c r="J31" i="43" s="1"/>
  <c r="U13" i="30"/>
  <c r="J27" i="43" s="1"/>
  <c r="U13" i="31"/>
  <c r="J22" i="43" s="1"/>
  <c r="U13" i="32"/>
  <c r="J12" i="43" s="1"/>
  <c r="B34" i="42"/>
  <c r="I5" i="3"/>
  <c r="O17" i="3" s="1"/>
  <c r="U12" i="3" s="1"/>
  <c r="F34" i="42"/>
  <c r="J34" i="42"/>
  <c r="I5" i="14"/>
  <c r="O17" i="14" s="1"/>
  <c r="N34" i="42"/>
  <c r="I5" i="18"/>
  <c r="O17" i="18" s="1"/>
  <c r="R34" i="42"/>
  <c r="I5" i="22"/>
  <c r="O17" i="22" s="1"/>
  <c r="V34" i="42"/>
  <c r="I5" i="26"/>
  <c r="O17" i="26" s="1"/>
  <c r="Z34" i="42"/>
  <c r="I5" i="30"/>
  <c r="O17" i="30" s="1"/>
  <c r="I5" i="9"/>
  <c r="O17" i="9" s="1"/>
  <c r="I5" i="10"/>
  <c r="O17" i="10" s="1"/>
  <c r="U34" i="42"/>
  <c r="I5" i="25"/>
  <c r="O17" i="25" s="1"/>
  <c r="AD49" i="42"/>
  <c r="AD27" i="42"/>
  <c r="AA34" i="42"/>
  <c r="AD28" i="42"/>
  <c r="D34" i="42"/>
  <c r="H34" i="42"/>
  <c r="L34" i="42"/>
  <c r="P34" i="42"/>
  <c r="T34" i="42"/>
  <c r="X34" i="42"/>
  <c r="AB34" i="42"/>
  <c r="AD30" i="42"/>
  <c r="I34" i="42"/>
  <c r="M34" i="42"/>
  <c r="Q34" i="42"/>
  <c r="Y34" i="42"/>
  <c r="AD29" i="42"/>
  <c r="AD32" i="42"/>
  <c r="C34" i="42"/>
  <c r="G34" i="42"/>
  <c r="K34" i="42"/>
  <c r="O34" i="42"/>
  <c r="S34" i="42"/>
  <c r="W34" i="42"/>
  <c r="AD31" i="42"/>
  <c r="J28" i="43" l="1"/>
  <c r="J23" i="43"/>
  <c r="J32" i="43"/>
  <c r="J13" i="43"/>
  <c r="U12" i="25"/>
  <c r="I21" i="43" s="1"/>
  <c r="U12" i="10"/>
  <c r="I15" i="43" s="1"/>
  <c r="U12" i="9"/>
  <c r="U12" i="30"/>
  <c r="I27" i="43" s="1"/>
  <c r="U12" i="26"/>
  <c r="I30" i="43" s="1"/>
  <c r="I28" i="43" s="1"/>
  <c r="U12" i="22"/>
  <c r="I19" i="43" s="1"/>
  <c r="U12" i="18"/>
  <c r="I25" i="43" s="1"/>
  <c r="U12" i="14"/>
  <c r="I34" i="43" s="1"/>
  <c r="I32" i="43" s="1"/>
  <c r="I6" i="43"/>
  <c r="AD34" i="42"/>
  <c r="L51" i="42" s="1"/>
  <c r="U65" i="42" s="1"/>
  <c r="I23" i="25" s="1"/>
  <c r="I34" i="3"/>
  <c r="I29" i="3"/>
  <c r="O41" i="3" s="1"/>
  <c r="U36" i="3" s="1"/>
  <c r="I29" i="8"/>
  <c r="O41" i="8" s="1"/>
  <c r="U36" i="8" s="1"/>
  <c r="I7" i="41" s="1"/>
  <c r="I29" i="9"/>
  <c r="O41" i="9" s="1"/>
  <c r="U36" i="9" s="1"/>
  <c r="I8" i="41" s="1"/>
  <c r="I29" i="12"/>
  <c r="O41" i="12" s="1"/>
  <c r="U36" i="12" s="1"/>
  <c r="I33" i="41" s="1"/>
  <c r="I29" i="13"/>
  <c r="O41" i="13" s="1"/>
  <c r="U36" i="13" s="1"/>
  <c r="I24" i="41" s="1"/>
  <c r="I29" i="19"/>
  <c r="O41" i="19" s="1"/>
  <c r="U36" i="19" s="1"/>
  <c r="I9" i="41" s="1"/>
  <c r="I29" i="20"/>
  <c r="O41" i="20" s="1"/>
  <c r="U36" i="20" s="1"/>
  <c r="I18" i="41" s="1"/>
  <c r="I29" i="21"/>
  <c r="O41" i="21" s="1"/>
  <c r="U36" i="21" s="1"/>
  <c r="I29" i="41" s="1"/>
  <c r="I29" i="25"/>
  <c r="O41" i="25" s="1"/>
  <c r="I29" i="27"/>
  <c r="O41" i="27" s="1"/>
  <c r="U36" i="27" s="1"/>
  <c r="I10" i="41" s="1"/>
  <c r="I29" i="28"/>
  <c r="O41" i="28" s="1"/>
  <c r="U36" i="28" s="1"/>
  <c r="I11" i="41" s="1"/>
  <c r="I29" i="29"/>
  <c r="O41" i="29" s="1"/>
  <c r="U36" i="29" s="1"/>
  <c r="I31" i="41" s="1"/>
  <c r="I30" i="3"/>
  <c r="I30" i="8"/>
  <c r="I30" i="9"/>
  <c r="I30" i="13"/>
  <c r="I30" i="14"/>
  <c r="I30" i="17"/>
  <c r="I30" i="21"/>
  <c r="I30" i="22"/>
  <c r="I30" i="24"/>
  <c r="I30" i="25"/>
  <c r="I30" i="29"/>
  <c r="I30" i="30"/>
  <c r="I31" i="7"/>
  <c r="I31" i="10"/>
  <c r="I31" i="11"/>
  <c r="I31" i="13"/>
  <c r="I31" i="14"/>
  <c r="I31" i="15"/>
  <c r="I31" i="18"/>
  <c r="I31" i="19"/>
  <c r="I31" i="21"/>
  <c r="I31" i="22"/>
  <c r="I31" i="26"/>
  <c r="I31" i="27"/>
  <c r="I31" i="30"/>
  <c r="I31" i="31"/>
  <c r="I32" i="7"/>
  <c r="I32" i="8"/>
  <c r="I32" i="9"/>
  <c r="I32" i="10"/>
  <c r="I32" i="11"/>
  <c r="I32" i="15"/>
  <c r="I32" i="16"/>
  <c r="I32" i="19"/>
  <c r="I32" i="20"/>
  <c r="I32" i="21"/>
  <c r="I32" i="23"/>
  <c r="I32" i="24"/>
  <c r="I32" i="27"/>
  <c r="I32" i="28"/>
  <c r="I32" i="32"/>
  <c r="I33" i="8"/>
  <c r="O42" i="8" s="1"/>
  <c r="I33" i="9"/>
  <c r="O42" i="9" s="1"/>
  <c r="I33" i="10"/>
  <c r="O42" i="10" s="1"/>
  <c r="I33" i="12"/>
  <c r="O42" i="12" s="1"/>
  <c r="I33" i="13"/>
  <c r="O42" i="13" s="1"/>
  <c r="I33" i="15"/>
  <c r="O42" i="15" s="1"/>
  <c r="I33" i="17"/>
  <c r="O42" i="17" s="1"/>
  <c r="I33" i="21"/>
  <c r="O42" i="21" s="1"/>
  <c r="I33" i="24"/>
  <c r="O42" i="24" s="1"/>
  <c r="I33" i="25"/>
  <c r="O42" i="25" s="1"/>
  <c r="I33" i="28"/>
  <c r="O42" i="28" s="1"/>
  <c r="I33" i="29"/>
  <c r="O42" i="29" s="1"/>
  <c r="I33" i="31"/>
  <c r="O42" i="31" s="1"/>
  <c r="I33" i="32"/>
  <c r="O42" i="32" s="1"/>
  <c r="I34" i="7"/>
  <c r="I34" i="10"/>
  <c r="I34" i="11"/>
  <c r="I34" i="13"/>
  <c r="I34" i="14"/>
  <c r="I34" i="15"/>
  <c r="I34" i="19"/>
  <c r="I34" i="22"/>
  <c r="I34" i="23"/>
  <c r="I34" i="26"/>
  <c r="I34" i="27"/>
  <c r="I34" i="30"/>
  <c r="I34" i="31"/>
  <c r="AD38" i="4"/>
  <c r="AD39" i="4"/>
  <c r="AD40" i="4"/>
  <c r="AD41" i="4"/>
  <c r="AD42" i="4"/>
  <c r="AD43" i="4"/>
  <c r="AD44" i="4"/>
  <c r="AD45" i="4"/>
  <c r="AD46" i="4"/>
  <c r="AD47" i="4"/>
  <c r="I32" i="3"/>
  <c r="I104" i="7"/>
  <c r="O116" i="7" s="1"/>
  <c r="U111" i="7" s="1"/>
  <c r="I14" i="44" s="1"/>
  <c r="I104" i="8"/>
  <c r="O116" i="8" s="1"/>
  <c r="U111" i="8" s="1"/>
  <c r="I7" i="44" s="1"/>
  <c r="I104" i="9"/>
  <c r="O116" i="9" s="1"/>
  <c r="U111" i="9" s="1"/>
  <c r="I8" i="44" s="1"/>
  <c r="I104" i="10"/>
  <c r="O116" i="10" s="1"/>
  <c r="U111" i="10" s="1"/>
  <c r="I15" i="44" s="1"/>
  <c r="I104" i="13"/>
  <c r="O116" i="13" s="1"/>
  <c r="U111" i="13" s="1"/>
  <c r="I24" i="44" s="1"/>
  <c r="I104" i="15"/>
  <c r="O116" i="15" s="1"/>
  <c r="U111" i="15" s="1"/>
  <c r="I17" i="44" s="1"/>
  <c r="I104" i="16"/>
  <c r="O116" i="16" s="1"/>
  <c r="U111" i="16" s="1"/>
  <c r="I35" i="44" s="1"/>
  <c r="I104" i="17"/>
  <c r="O116" i="17" s="1"/>
  <c r="U111" i="17" s="1"/>
  <c r="I36" i="44" s="1"/>
  <c r="I104" i="20"/>
  <c r="O116" i="20" s="1"/>
  <c r="U111" i="20" s="1"/>
  <c r="I18" i="44" s="1"/>
  <c r="I104" i="21"/>
  <c r="O116" i="21" s="1"/>
  <c r="U111" i="21" s="1"/>
  <c r="I29" i="44" s="1"/>
  <c r="I104" i="23"/>
  <c r="O116" i="23" s="1"/>
  <c r="U111" i="23" s="1"/>
  <c r="I20" i="44" s="1"/>
  <c r="I104" i="25"/>
  <c r="O116" i="25" s="1"/>
  <c r="U111" i="25" s="1"/>
  <c r="I21" i="44" s="1"/>
  <c r="I104" i="29"/>
  <c r="O116" i="29" s="1"/>
  <c r="U111" i="29" s="1"/>
  <c r="I31" i="44" s="1"/>
  <c r="I104" i="31"/>
  <c r="O116" i="31" s="1"/>
  <c r="U111" i="31" s="1"/>
  <c r="I22" i="44" s="1"/>
  <c r="I105" i="3"/>
  <c r="I105" i="10"/>
  <c r="I105" i="13"/>
  <c r="I105" i="14"/>
  <c r="I105" i="20"/>
  <c r="Q34" i="37"/>
  <c r="I105" i="26"/>
  <c r="I105" i="28"/>
  <c r="Y34" i="37"/>
  <c r="I105" i="30"/>
  <c r="I106" i="18"/>
  <c r="I106" i="25"/>
  <c r="I106" i="26"/>
  <c r="I106" i="27"/>
  <c r="I107" i="3"/>
  <c r="I107" i="7"/>
  <c r="I107" i="8"/>
  <c r="I107" i="10"/>
  <c r="I107" i="12"/>
  <c r="I107" i="16"/>
  <c r="I107" i="20"/>
  <c r="I107" i="23"/>
  <c r="I107" i="24"/>
  <c r="I107" i="25"/>
  <c r="I107" i="28"/>
  <c r="I107" i="29"/>
  <c r="I107" i="30"/>
  <c r="I107" i="31"/>
  <c r="I107" i="32"/>
  <c r="I108" i="7"/>
  <c r="O117" i="7" s="1"/>
  <c r="U112" i="7" s="1"/>
  <c r="J14" i="44" s="1"/>
  <c r="I108" i="9"/>
  <c r="O117" i="9" s="1"/>
  <c r="U112" i="9" s="1"/>
  <c r="J8" i="44" s="1"/>
  <c r="I108" i="10"/>
  <c r="O117" i="10" s="1"/>
  <c r="U112" i="10" s="1"/>
  <c r="J15" i="44" s="1"/>
  <c r="I108" i="11"/>
  <c r="O117" i="11" s="1"/>
  <c r="U112" i="11" s="1"/>
  <c r="J16" i="44" s="1"/>
  <c r="I108" i="13"/>
  <c r="O117" i="13" s="1"/>
  <c r="U112" i="13" s="1"/>
  <c r="J24" i="44" s="1"/>
  <c r="I108" i="17"/>
  <c r="O117" i="17" s="1"/>
  <c r="U112" i="17" s="1"/>
  <c r="J36" i="44" s="1"/>
  <c r="I108" i="19"/>
  <c r="O117" i="19" s="1"/>
  <c r="U112" i="19" s="1"/>
  <c r="J9" i="44" s="1"/>
  <c r="I108" i="20"/>
  <c r="O117" i="20" s="1"/>
  <c r="U112" i="20" s="1"/>
  <c r="J18" i="44" s="1"/>
  <c r="I108" i="21"/>
  <c r="O117" i="21" s="1"/>
  <c r="U112" i="21" s="1"/>
  <c r="J29" i="44" s="1"/>
  <c r="I108" i="26"/>
  <c r="O117" i="26" s="1"/>
  <c r="U112" i="26" s="1"/>
  <c r="J30" i="44" s="1"/>
  <c r="I108" i="27"/>
  <c r="O117" i="27" s="1"/>
  <c r="U112" i="27" s="1"/>
  <c r="J10" i="44" s="1"/>
  <c r="I108" i="28"/>
  <c r="O117" i="28" s="1"/>
  <c r="U112" i="28" s="1"/>
  <c r="J11" i="44" s="1"/>
  <c r="I108" i="29"/>
  <c r="O117" i="29" s="1"/>
  <c r="U112" i="29" s="1"/>
  <c r="J31" i="44" s="1"/>
  <c r="I108" i="30"/>
  <c r="O117" i="30" s="1"/>
  <c r="U112" i="30" s="1"/>
  <c r="J27" i="44" s="1"/>
  <c r="I109" i="3"/>
  <c r="I109" i="8"/>
  <c r="I109" i="10"/>
  <c r="I109" i="16"/>
  <c r="I109" i="17"/>
  <c r="I109" i="18"/>
  <c r="I109" i="24"/>
  <c r="I109" i="25"/>
  <c r="I109" i="26"/>
  <c r="I109" i="30"/>
  <c r="I109" i="32"/>
  <c r="AD38" i="37"/>
  <c r="AD39" i="37"/>
  <c r="AD40" i="37"/>
  <c r="AD41" i="37"/>
  <c r="AD42" i="37"/>
  <c r="AD43" i="37"/>
  <c r="AD44" i="37"/>
  <c r="AD45" i="37"/>
  <c r="AD46" i="37"/>
  <c r="AD47" i="37"/>
  <c r="I30" i="27"/>
  <c r="I33" i="27"/>
  <c r="O42" i="27" s="1"/>
  <c r="I30" i="28"/>
  <c r="I105" i="7"/>
  <c r="I79" i="7"/>
  <c r="O91" i="7" s="1"/>
  <c r="U86" i="7" s="1"/>
  <c r="I14" i="40" s="1"/>
  <c r="I79" i="8"/>
  <c r="O91" i="8" s="1"/>
  <c r="U86" i="8" s="1"/>
  <c r="I7" i="40" s="1"/>
  <c r="I79" i="9"/>
  <c r="O91" i="9" s="1"/>
  <c r="U86" i="9" s="1"/>
  <c r="I8" i="40" s="1"/>
  <c r="I79" i="11"/>
  <c r="O91" i="11" s="1"/>
  <c r="U86" i="11" s="1"/>
  <c r="I16" i="40" s="1"/>
  <c r="I79" i="12"/>
  <c r="O91" i="12" s="1"/>
  <c r="U86" i="12" s="1"/>
  <c r="I33" i="40" s="1"/>
  <c r="I79" i="13"/>
  <c r="O91" i="13" s="1"/>
  <c r="U86" i="13" s="1"/>
  <c r="I24" i="40" s="1"/>
  <c r="I79" i="16"/>
  <c r="O91" i="16" s="1"/>
  <c r="U86" i="16" s="1"/>
  <c r="I35" i="40" s="1"/>
  <c r="I79" i="20"/>
  <c r="O91" i="20" s="1"/>
  <c r="U86" i="20" s="1"/>
  <c r="I18" i="40" s="1"/>
  <c r="I79" i="21"/>
  <c r="O91" i="21" s="1"/>
  <c r="U86" i="21" s="1"/>
  <c r="I29" i="40" s="1"/>
  <c r="I104" i="22"/>
  <c r="O116" i="22" s="1"/>
  <c r="U111" i="22" s="1"/>
  <c r="I19" i="44" s="1"/>
  <c r="I79" i="24"/>
  <c r="O91" i="24" s="1"/>
  <c r="U86" i="24" s="1"/>
  <c r="I26" i="40" s="1"/>
  <c r="I79" i="27"/>
  <c r="O91" i="27" s="1"/>
  <c r="U86" i="27" s="1"/>
  <c r="I10" i="40" s="1"/>
  <c r="I79" i="28"/>
  <c r="O91" i="28" s="1"/>
  <c r="U86" i="28" s="1"/>
  <c r="I11" i="40" s="1"/>
  <c r="I79" i="29"/>
  <c r="O91" i="29" s="1"/>
  <c r="U86" i="29" s="1"/>
  <c r="I31" i="40" s="1"/>
  <c r="I79" i="32"/>
  <c r="O91" i="32" s="1"/>
  <c r="U86" i="32" s="1"/>
  <c r="I12" i="40" s="1"/>
  <c r="I80" i="8"/>
  <c r="I80" i="10"/>
  <c r="I80" i="12"/>
  <c r="I80" i="16"/>
  <c r="I80" i="18"/>
  <c r="I80" i="20"/>
  <c r="I105" i="22"/>
  <c r="I80" i="24"/>
  <c r="I80" i="25"/>
  <c r="I80" i="26"/>
  <c r="I80" i="28"/>
  <c r="I80" i="32"/>
  <c r="I81" i="7"/>
  <c r="I81" i="9"/>
  <c r="I81" i="10"/>
  <c r="I81" i="13"/>
  <c r="I81" i="14"/>
  <c r="I81" i="15"/>
  <c r="I81" i="17"/>
  <c r="I81" i="18"/>
  <c r="I81" i="21"/>
  <c r="I106" i="22"/>
  <c r="S34" i="35"/>
  <c r="I81" i="25"/>
  <c r="I81" i="26"/>
  <c r="I81" i="29"/>
  <c r="I81" i="30"/>
  <c r="I81" i="31"/>
  <c r="I82" i="3"/>
  <c r="I82" i="7"/>
  <c r="I82" i="9"/>
  <c r="I82" i="10"/>
  <c r="I82" i="11"/>
  <c r="I82" i="14"/>
  <c r="I82" i="15"/>
  <c r="I82" i="18"/>
  <c r="I82" i="19"/>
  <c r="I82" i="20"/>
  <c r="I107" i="22"/>
  <c r="I82" i="23"/>
  <c r="I82" i="26"/>
  <c r="I82" i="27"/>
  <c r="I82" i="30"/>
  <c r="I82" i="31"/>
  <c r="I83" i="7"/>
  <c r="O92" i="7" s="1"/>
  <c r="U87" i="7" s="1"/>
  <c r="J14" i="40" s="1"/>
  <c r="I83" i="8"/>
  <c r="O92" i="8" s="1"/>
  <c r="U87" i="8" s="1"/>
  <c r="J7" i="40" s="1"/>
  <c r="I83" i="9"/>
  <c r="O92" i="9" s="1"/>
  <c r="U87" i="9" s="1"/>
  <c r="J8" i="40" s="1"/>
  <c r="I83" i="11"/>
  <c r="O92" i="11" s="1"/>
  <c r="U87" i="11" s="1"/>
  <c r="J16" i="40" s="1"/>
  <c r="I83" i="12"/>
  <c r="O92" i="12" s="1"/>
  <c r="U87" i="12" s="1"/>
  <c r="J33" i="40" s="1"/>
  <c r="I83" i="15"/>
  <c r="O92" i="15" s="1"/>
  <c r="U87" i="15" s="1"/>
  <c r="J17" i="40" s="1"/>
  <c r="I83" i="16"/>
  <c r="O92" i="16" s="1"/>
  <c r="U87" i="16" s="1"/>
  <c r="J35" i="40" s="1"/>
  <c r="I83" i="17"/>
  <c r="O92" i="17" s="1"/>
  <c r="U87" i="17" s="1"/>
  <c r="J36" i="40" s="1"/>
  <c r="I83" i="19"/>
  <c r="O92" i="19" s="1"/>
  <c r="U87" i="19" s="1"/>
  <c r="J9" i="40" s="1"/>
  <c r="I83" i="20"/>
  <c r="O92" i="20" s="1"/>
  <c r="U87" i="20" s="1"/>
  <c r="J18" i="40" s="1"/>
  <c r="I108" i="22"/>
  <c r="O117" i="22" s="1"/>
  <c r="U112" i="22" s="1"/>
  <c r="J19" i="44" s="1"/>
  <c r="I83" i="23"/>
  <c r="O92" i="23" s="1"/>
  <c r="U87" i="23" s="1"/>
  <c r="J20" i="40" s="1"/>
  <c r="I83" i="24"/>
  <c r="O92" i="24" s="1"/>
  <c r="U87" i="24" s="1"/>
  <c r="J26" i="40" s="1"/>
  <c r="I83" i="25"/>
  <c r="O92" i="25" s="1"/>
  <c r="U87" i="25" s="1"/>
  <c r="J21" i="40" s="1"/>
  <c r="I83" i="27"/>
  <c r="O92" i="27" s="1"/>
  <c r="U87" i="27" s="1"/>
  <c r="J10" i="40" s="1"/>
  <c r="I83" i="28"/>
  <c r="O92" i="28" s="1"/>
  <c r="U87" i="28" s="1"/>
  <c r="J11" i="40" s="1"/>
  <c r="I83" i="31"/>
  <c r="O92" i="31" s="1"/>
  <c r="U87" i="31" s="1"/>
  <c r="J22" i="40" s="1"/>
  <c r="I83" i="32"/>
  <c r="O92" i="32" s="1"/>
  <c r="U87" i="32" s="1"/>
  <c r="J12" i="40" s="1"/>
  <c r="I84" i="3"/>
  <c r="I84" i="9"/>
  <c r="I84" i="10"/>
  <c r="I84" i="13"/>
  <c r="I84" i="14"/>
  <c r="I84" i="15"/>
  <c r="I84" i="18"/>
  <c r="I84" i="22"/>
  <c r="I84" i="23"/>
  <c r="I84" i="25"/>
  <c r="I84" i="26"/>
  <c r="I84" i="29"/>
  <c r="I84" i="30"/>
  <c r="I84" i="31"/>
  <c r="AD38" i="35"/>
  <c r="AD39" i="35"/>
  <c r="AD40" i="35"/>
  <c r="AD41" i="35"/>
  <c r="AD42" i="35"/>
  <c r="AD43" i="35"/>
  <c r="AD44" i="35"/>
  <c r="AD45" i="35"/>
  <c r="AD46" i="35"/>
  <c r="AD47" i="35"/>
  <c r="I105" i="32"/>
  <c r="I106" i="32"/>
  <c r="I108" i="32"/>
  <c r="O117" i="32" s="1"/>
  <c r="U112" i="32" s="1"/>
  <c r="J12" i="44" s="1"/>
  <c r="I104" i="32"/>
  <c r="O116" i="32" s="1"/>
  <c r="U111" i="32" s="1"/>
  <c r="I12" i="44" s="1"/>
  <c r="I105" i="31"/>
  <c r="I108" i="31"/>
  <c r="O117" i="31" s="1"/>
  <c r="U112" i="31" s="1"/>
  <c r="J22" i="44" s="1"/>
  <c r="I109" i="31"/>
  <c r="I106" i="30"/>
  <c r="I104" i="30"/>
  <c r="O116" i="30" s="1"/>
  <c r="U111" i="30" s="1"/>
  <c r="I27" i="44" s="1"/>
  <c r="I105" i="29"/>
  <c r="I106" i="29"/>
  <c r="I109" i="29"/>
  <c r="I106" i="28"/>
  <c r="I109" i="28"/>
  <c r="I104" i="28"/>
  <c r="O116" i="28" s="1"/>
  <c r="U111" i="28" s="1"/>
  <c r="I11" i="44" s="1"/>
  <c r="I105" i="27"/>
  <c r="I107" i="27"/>
  <c r="I109" i="27"/>
  <c r="I104" i="27"/>
  <c r="O116" i="27" s="1"/>
  <c r="U111" i="27" s="1"/>
  <c r="I10" i="44" s="1"/>
  <c r="I107" i="26"/>
  <c r="I104" i="26"/>
  <c r="O116" i="26" s="1"/>
  <c r="U111" i="26" s="1"/>
  <c r="I30" i="44" s="1"/>
  <c r="I105" i="25"/>
  <c r="I108" i="25"/>
  <c r="O117" i="25" s="1"/>
  <c r="U112" i="25" s="1"/>
  <c r="J21" i="44" s="1"/>
  <c r="I105" i="24"/>
  <c r="I106" i="24"/>
  <c r="I108" i="24"/>
  <c r="O117" i="24" s="1"/>
  <c r="U112" i="24" s="1"/>
  <c r="J26" i="44" s="1"/>
  <c r="I104" i="24"/>
  <c r="O116" i="24" s="1"/>
  <c r="U111" i="24" s="1"/>
  <c r="I26" i="44" s="1"/>
  <c r="I105" i="23"/>
  <c r="I108" i="23"/>
  <c r="O117" i="23" s="1"/>
  <c r="U112" i="23" s="1"/>
  <c r="J20" i="44" s="1"/>
  <c r="I109" i="23"/>
  <c r="I106" i="21"/>
  <c r="I107" i="21"/>
  <c r="I109" i="21"/>
  <c r="I106" i="20"/>
  <c r="I109" i="20"/>
  <c r="I105" i="19"/>
  <c r="I107" i="19"/>
  <c r="I109" i="19"/>
  <c r="I104" i="19"/>
  <c r="O116" i="19" s="1"/>
  <c r="U111" i="19" s="1"/>
  <c r="I9" i="44" s="1"/>
  <c r="I105" i="18"/>
  <c r="I107" i="18"/>
  <c r="I108" i="18"/>
  <c r="O117" i="18" s="1"/>
  <c r="U112" i="18" s="1"/>
  <c r="J25" i="44" s="1"/>
  <c r="I104" i="18"/>
  <c r="O116" i="18" s="1"/>
  <c r="U111" i="18" s="1"/>
  <c r="I25" i="44" s="1"/>
  <c r="I105" i="17"/>
  <c r="I106" i="17"/>
  <c r="I107" i="17"/>
  <c r="I105" i="16"/>
  <c r="I106" i="16"/>
  <c r="I108" i="16"/>
  <c r="O117" i="16" s="1"/>
  <c r="U112" i="16" s="1"/>
  <c r="J35" i="44" s="1"/>
  <c r="I105" i="15"/>
  <c r="I107" i="15"/>
  <c r="I108" i="15"/>
  <c r="O117" i="15" s="1"/>
  <c r="U112" i="15" s="1"/>
  <c r="J17" i="44" s="1"/>
  <c r="I109" i="15"/>
  <c r="I106" i="14"/>
  <c r="I107" i="14"/>
  <c r="I108" i="14"/>
  <c r="O117" i="14" s="1"/>
  <c r="U112" i="14" s="1"/>
  <c r="J34" i="44" s="1"/>
  <c r="I109" i="14"/>
  <c r="I104" i="14"/>
  <c r="O116" i="14" s="1"/>
  <c r="U111" i="14" s="1"/>
  <c r="I34" i="44" s="1"/>
  <c r="I106" i="13"/>
  <c r="I107" i="13"/>
  <c r="I109" i="13"/>
  <c r="I105" i="12"/>
  <c r="I106" i="12"/>
  <c r="I108" i="12"/>
  <c r="O117" i="12" s="1"/>
  <c r="U112" i="12" s="1"/>
  <c r="J33" i="44" s="1"/>
  <c r="I109" i="12"/>
  <c r="I104" i="12"/>
  <c r="O116" i="12" s="1"/>
  <c r="U111" i="12" s="1"/>
  <c r="I33" i="44" s="1"/>
  <c r="I83" i="10"/>
  <c r="O92" i="10" s="1"/>
  <c r="U87" i="10" s="1"/>
  <c r="J15" i="40" s="1"/>
  <c r="I79" i="10"/>
  <c r="O91" i="10" s="1"/>
  <c r="U86" i="10" s="1"/>
  <c r="I15" i="40" s="1"/>
  <c r="I106" i="10"/>
  <c r="I105" i="11"/>
  <c r="I107" i="11"/>
  <c r="I109" i="11"/>
  <c r="I104" i="11"/>
  <c r="O116" i="11" s="1"/>
  <c r="U111" i="11" s="1"/>
  <c r="I16" i="44" s="1"/>
  <c r="I105" i="9"/>
  <c r="I106" i="9"/>
  <c r="I107" i="9"/>
  <c r="I109" i="9"/>
  <c r="I105" i="8"/>
  <c r="I106" i="8"/>
  <c r="I108" i="8"/>
  <c r="O117" i="8" s="1"/>
  <c r="U112" i="8" s="1"/>
  <c r="J7" i="44" s="1"/>
  <c r="I106" i="7"/>
  <c r="I109" i="7"/>
  <c r="I106" i="3"/>
  <c r="I108" i="3"/>
  <c r="O117" i="3" s="1"/>
  <c r="U112" i="3" s="1"/>
  <c r="J6" i="44" s="1"/>
  <c r="I104" i="3"/>
  <c r="O116" i="3" s="1"/>
  <c r="U111" i="3" s="1"/>
  <c r="I6" i="44" s="1"/>
  <c r="AD5" i="37"/>
  <c r="AD6" i="37"/>
  <c r="AD7" i="37"/>
  <c r="AD8" i="37"/>
  <c r="AD9" i="37"/>
  <c r="AD10" i="37"/>
  <c r="AD11" i="37"/>
  <c r="AD12" i="37"/>
  <c r="AD13" i="37"/>
  <c r="AD14" i="37"/>
  <c r="AD15" i="37"/>
  <c r="AD16" i="37"/>
  <c r="AD17" i="37"/>
  <c r="AD18" i="37"/>
  <c r="AD19" i="37"/>
  <c r="AD20" i="37"/>
  <c r="AD21" i="37"/>
  <c r="AD4" i="37"/>
  <c r="AB49" i="37"/>
  <c r="AA49" i="37"/>
  <c r="Z49" i="37"/>
  <c r="Y49" i="37"/>
  <c r="X49" i="37"/>
  <c r="W49" i="37"/>
  <c r="V49" i="37"/>
  <c r="U49" i="37"/>
  <c r="T49" i="37"/>
  <c r="S49" i="37"/>
  <c r="R49" i="37"/>
  <c r="Q49" i="37"/>
  <c r="P49" i="37"/>
  <c r="O49" i="37"/>
  <c r="N49" i="37"/>
  <c r="M49" i="37"/>
  <c r="L49" i="37"/>
  <c r="K49" i="37"/>
  <c r="J49" i="37"/>
  <c r="I49" i="37"/>
  <c r="H49" i="37"/>
  <c r="G49" i="37"/>
  <c r="F49" i="37"/>
  <c r="E49" i="37"/>
  <c r="D49" i="37"/>
  <c r="C49" i="37"/>
  <c r="B49" i="37"/>
  <c r="B23" i="37"/>
  <c r="I81" i="32"/>
  <c r="I82" i="32"/>
  <c r="I84" i="32"/>
  <c r="I80" i="31"/>
  <c r="I79" i="31"/>
  <c r="O91" i="31" s="1"/>
  <c r="U86" i="31" s="1"/>
  <c r="I22" i="40" s="1"/>
  <c r="I80" i="30"/>
  <c r="I83" i="30"/>
  <c r="O92" i="30" s="1"/>
  <c r="U87" i="30" s="1"/>
  <c r="J27" i="40" s="1"/>
  <c r="I79" i="30"/>
  <c r="O91" i="30" s="1"/>
  <c r="U86" i="30" s="1"/>
  <c r="I27" i="40" s="1"/>
  <c r="I82" i="29"/>
  <c r="I83" i="29"/>
  <c r="O92" i="29" s="1"/>
  <c r="U87" i="29" s="1"/>
  <c r="J31" i="40" s="1"/>
  <c r="I81" i="28"/>
  <c r="I82" i="28"/>
  <c r="I84" i="28"/>
  <c r="I80" i="27"/>
  <c r="I81" i="27"/>
  <c r="I84" i="27"/>
  <c r="I83" i="26"/>
  <c r="O92" i="26" s="1"/>
  <c r="U87" i="26" s="1"/>
  <c r="J30" i="40" s="1"/>
  <c r="I79" i="26"/>
  <c r="O91" i="26" s="1"/>
  <c r="U86" i="26" s="1"/>
  <c r="I30" i="40" s="1"/>
  <c r="I82" i="25"/>
  <c r="I79" i="25"/>
  <c r="O91" i="25" s="1"/>
  <c r="U86" i="25" s="1"/>
  <c r="I21" i="40" s="1"/>
  <c r="I81" i="24"/>
  <c r="I82" i="24"/>
  <c r="I84" i="24"/>
  <c r="I80" i="23"/>
  <c r="I81" i="23"/>
  <c r="I79" i="23"/>
  <c r="O91" i="23" s="1"/>
  <c r="U86" i="23" s="1"/>
  <c r="I20" i="40" s="1"/>
  <c r="I80" i="22"/>
  <c r="I83" i="22"/>
  <c r="O92" i="22" s="1"/>
  <c r="U87" i="22" s="1"/>
  <c r="J19" i="40" s="1"/>
  <c r="I79" i="22"/>
  <c r="O91" i="22" s="1"/>
  <c r="U86" i="22" s="1"/>
  <c r="I19" i="40" s="1"/>
  <c r="I82" i="21"/>
  <c r="I83" i="21"/>
  <c r="O92" i="21" s="1"/>
  <c r="U87" i="21" s="1"/>
  <c r="J29" i="40" s="1"/>
  <c r="I84" i="21"/>
  <c r="I81" i="20"/>
  <c r="I84" i="20"/>
  <c r="I80" i="19"/>
  <c r="I81" i="19"/>
  <c r="I84" i="19"/>
  <c r="I79" i="19"/>
  <c r="O91" i="19" s="1"/>
  <c r="U86" i="19" s="1"/>
  <c r="I9" i="40" s="1"/>
  <c r="I83" i="18"/>
  <c r="O92" i="18" s="1"/>
  <c r="U87" i="18" s="1"/>
  <c r="J25" i="40" s="1"/>
  <c r="I79" i="18"/>
  <c r="O91" i="18" s="1"/>
  <c r="U86" i="18" s="1"/>
  <c r="I25" i="40" s="1"/>
  <c r="I82" i="17"/>
  <c r="I84" i="17"/>
  <c r="I79" i="17"/>
  <c r="O91" i="17" s="1"/>
  <c r="U86" i="17" s="1"/>
  <c r="I36" i="40" s="1"/>
  <c r="I82" i="16"/>
  <c r="I81" i="16"/>
  <c r="I84" i="16"/>
  <c r="I80" i="15"/>
  <c r="I79" i="15"/>
  <c r="O91" i="15" s="1"/>
  <c r="U86" i="15" s="1"/>
  <c r="I17" i="40" s="1"/>
  <c r="I80" i="14"/>
  <c r="I83" i="14"/>
  <c r="O92" i="14" s="1"/>
  <c r="U87" i="14" s="1"/>
  <c r="J34" i="40" s="1"/>
  <c r="I79" i="14"/>
  <c r="O91" i="14" s="1"/>
  <c r="U86" i="14" s="1"/>
  <c r="I34" i="40" s="1"/>
  <c r="I82" i="13"/>
  <c r="I83" i="13"/>
  <c r="O92" i="13" s="1"/>
  <c r="U87" i="13" s="1"/>
  <c r="J24" i="40" s="1"/>
  <c r="I81" i="12"/>
  <c r="I82" i="12"/>
  <c r="I84" i="12"/>
  <c r="I80" i="11"/>
  <c r="I81" i="11"/>
  <c r="I84" i="11"/>
  <c r="I55" i="9"/>
  <c r="I56" i="9"/>
  <c r="I57" i="9"/>
  <c r="I54" i="9"/>
  <c r="O66" i="9" s="1"/>
  <c r="U61" i="9" s="1"/>
  <c r="I81" i="8"/>
  <c r="I82" i="8"/>
  <c r="I84" i="8"/>
  <c r="I80" i="3"/>
  <c r="I81" i="3"/>
  <c r="I83" i="3"/>
  <c r="O92" i="3" s="1"/>
  <c r="U87" i="3" s="1"/>
  <c r="J6" i="40" s="1"/>
  <c r="I79" i="3"/>
  <c r="O91" i="3" s="1"/>
  <c r="U86" i="3" s="1"/>
  <c r="I6" i="40" s="1"/>
  <c r="AD14" i="35"/>
  <c r="AD15" i="35"/>
  <c r="AD16" i="35"/>
  <c r="AD17" i="35"/>
  <c r="AD13" i="35"/>
  <c r="AD4" i="35"/>
  <c r="AD5" i="35"/>
  <c r="AD6" i="35"/>
  <c r="AD7" i="35"/>
  <c r="AD8" i="35"/>
  <c r="AD9" i="35"/>
  <c r="AD10" i="35"/>
  <c r="AD11" i="35"/>
  <c r="AD12" i="35"/>
  <c r="AD18" i="35"/>
  <c r="AD19" i="35"/>
  <c r="AD20" i="35"/>
  <c r="AD21" i="35"/>
  <c r="B49" i="35"/>
  <c r="AB49" i="35"/>
  <c r="AA49" i="35"/>
  <c r="Z49" i="35"/>
  <c r="Y49" i="35"/>
  <c r="X49" i="35"/>
  <c r="W49" i="35"/>
  <c r="V49" i="35"/>
  <c r="U49" i="35"/>
  <c r="T49" i="35"/>
  <c r="S49" i="35"/>
  <c r="R49" i="35"/>
  <c r="Q49" i="35"/>
  <c r="P49" i="35"/>
  <c r="O49" i="35"/>
  <c r="N49" i="35"/>
  <c r="M49" i="35"/>
  <c r="L49" i="35"/>
  <c r="K49" i="35"/>
  <c r="J49" i="35"/>
  <c r="I49" i="35"/>
  <c r="H49" i="35"/>
  <c r="G49" i="35"/>
  <c r="F49" i="35"/>
  <c r="E49" i="35"/>
  <c r="D49" i="35"/>
  <c r="C49" i="35"/>
  <c r="AD38" i="34"/>
  <c r="AD39" i="34"/>
  <c r="AD40" i="34"/>
  <c r="AD41" i="34"/>
  <c r="AD42" i="34"/>
  <c r="AD43" i="34"/>
  <c r="AD44" i="34"/>
  <c r="AD45" i="34"/>
  <c r="AD46" i="34"/>
  <c r="AD47" i="34"/>
  <c r="I54" i="7"/>
  <c r="O66" i="7" s="1"/>
  <c r="U61" i="7" s="1"/>
  <c r="I54" i="8"/>
  <c r="O66" i="8" s="1"/>
  <c r="I54" i="10"/>
  <c r="O66" i="10" s="1"/>
  <c r="U61" i="10" s="1"/>
  <c r="I54" i="11"/>
  <c r="O66" i="11" s="1"/>
  <c r="U61" i="11" s="1"/>
  <c r="I54" i="12"/>
  <c r="O66" i="12" s="1"/>
  <c r="I54" i="15"/>
  <c r="O66" i="15" s="1"/>
  <c r="I54" i="16"/>
  <c r="O66" i="16" s="1"/>
  <c r="U61" i="16" s="1"/>
  <c r="I54" i="17"/>
  <c r="O66" i="17" s="1"/>
  <c r="I54" i="18"/>
  <c r="O66" i="18" s="1"/>
  <c r="U61" i="18" s="1"/>
  <c r="I54" i="19"/>
  <c r="O66" i="19" s="1"/>
  <c r="U61" i="19" s="1"/>
  <c r="I54" i="20"/>
  <c r="O66" i="20" s="1"/>
  <c r="U61" i="20" s="1"/>
  <c r="I54" i="23"/>
  <c r="O66" i="23" s="1"/>
  <c r="U61" i="23" s="1"/>
  <c r="I54" i="24"/>
  <c r="O66" i="24" s="1"/>
  <c r="U61" i="24" s="1"/>
  <c r="I54" i="25"/>
  <c r="O66" i="25" s="1"/>
  <c r="U61" i="25" s="1"/>
  <c r="I54" i="27"/>
  <c r="O66" i="27" s="1"/>
  <c r="U61" i="27" s="1"/>
  <c r="I54" i="28"/>
  <c r="O66" i="28" s="1"/>
  <c r="U61" i="28" s="1"/>
  <c r="I54" i="30"/>
  <c r="O66" i="30" s="1"/>
  <c r="U61" i="30" s="1"/>
  <c r="I54" i="31"/>
  <c r="O66" i="31" s="1"/>
  <c r="U61" i="31" s="1"/>
  <c r="I55" i="7"/>
  <c r="I55" i="10"/>
  <c r="I55" i="13"/>
  <c r="I55" i="15"/>
  <c r="I55" i="16"/>
  <c r="I55" i="19"/>
  <c r="I55" i="21"/>
  <c r="I55" i="23"/>
  <c r="I55" i="24"/>
  <c r="I55" i="31"/>
  <c r="I55" i="32"/>
  <c r="I56" i="3"/>
  <c r="I56" i="7"/>
  <c r="I56" i="8"/>
  <c r="I56" i="12"/>
  <c r="I56" i="13"/>
  <c r="I56" i="14"/>
  <c r="I56" i="16"/>
  <c r="I56" i="17"/>
  <c r="I56" i="20"/>
  <c r="I56" i="21"/>
  <c r="I56" i="22"/>
  <c r="I56" i="24"/>
  <c r="I56" i="28"/>
  <c r="I56" i="29"/>
  <c r="I56" i="30"/>
  <c r="I56" i="32"/>
  <c r="I57" i="3"/>
  <c r="I57" i="10"/>
  <c r="I57" i="11"/>
  <c r="I57" i="12"/>
  <c r="I57" i="14"/>
  <c r="I57" i="15"/>
  <c r="I57" i="16"/>
  <c r="I57" i="17"/>
  <c r="I57" i="18"/>
  <c r="I57" i="19"/>
  <c r="I57" i="20"/>
  <c r="I57" i="22"/>
  <c r="I57" i="24"/>
  <c r="I57" i="25"/>
  <c r="I57" i="26"/>
  <c r="I57" i="27"/>
  <c r="I57" i="28"/>
  <c r="I57" i="30"/>
  <c r="I57" i="31"/>
  <c r="I58" i="7"/>
  <c r="O67" i="7" s="1"/>
  <c r="I58" i="8"/>
  <c r="O67" i="8" s="1"/>
  <c r="I58" i="10"/>
  <c r="O67" i="10" s="1"/>
  <c r="I58" i="11"/>
  <c r="O67" i="11" s="1"/>
  <c r="I58" i="12"/>
  <c r="O67" i="12" s="1"/>
  <c r="I58" i="15"/>
  <c r="O67" i="15" s="1"/>
  <c r="I58" i="17"/>
  <c r="O67" i="17" s="1"/>
  <c r="I58" i="19"/>
  <c r="O67" i="19" s="1"/>
  <c r="I58" i="23"/>
  <c r="O67" i="23" s="1"/>
  <c r="I58" i="24"/>
  <c r="O67" i="24" s="1"/>
  <c r="I58" i="25"/>
  <c r="O67" i="25" s="1"/>
  <c r="I58" i="26"/>
  <c r="O67" i="26" s="1"/>
  <c r="I58" i="27"/>
  <c r="O67" i="27" s="1"/>
  <c r="I58" i="28"/>
  <c r="O67" i="28" s="1"/>
  <c r="I58" i="29"/>
  <c r="O67" i="29" s="1"/>
  <c r="I58" i="30"/>
  <c r="O67" i="30" s="1"/>
  <c r="I58" i="31"/>
  <c r="O67" i="31" s="1"/>
  <c r="I58" i="32"/>
  <c r="O67" i="32" s="1"/>
  <c r="I59" i="3"/>
  <c r="I59" i="7"/>
  <c r="I59" i="8"/>
  <c r="I59" i="10"/>
  <c r="I59" i="11"/>
  <c r="I59" i="13"/>
  <c r="I59" i="15"/>
  <c r="I59" i="16"/>
  <c r="I59" i="17"/>
  <c r="I59" i="18"/>
  <c r="I59" i="19"/>
  <c r="I59" i="21"/>
  <c r="I59" i="22"/>
  <c r="I59" i="23"/>
  <c r="I59" i="24"/>
  <c r="I59" i="25"/>
  <c r="I59" i="26"/>
  <c r="I59" i="27"/>
  <c r="I59" i="30"/>
  <c r="I59" i="31"/>
  <c r="I59" i="32"/>
  <c r="I57" i="32"/>
  <c r="I56" i="31"/>
  <c r="I55" i="29"/>
  <c r="I57" i="29"/>
  <c r="I54" i="29"/>
  <c r="O66" i="29" s="1"/>
  <c r="U61" i="29" s="1"/>
  <c r="I55" i="28"/>
  <c r="I59" i="28"/>
  <c r="I55" i="27"/>
  <c r="I56" i="27"/>
  <c r="I56" i="26"/>
  <c r="I54" i="26"/>
  <c r="O66" i="26" s="1"/>
  <c r="U61" i="26" s="1"/>
  <c r="I55" i="25"/>
  <c r="I56" i="25"/>
  <c r="I56" i="23"/>
  <c r="I57" i="23"/>
  <c r="I58" i="22"/>
  <c r="O67" i="22" s="1"/>
  <c r="I54" i="22"/>
  <c r="O66" i="22" s="1"/>
  <c r="U61" i="22" s="1"/>
  <c r="I57" i="21"/>
  <c r="I58" i="21"/>
  <c r="O67" i="21" s="1"/>
  <c r="I54" i="21"/>
  <c r="O66" i="21" s="1"/>
  <c r="U61" i="21" s="1"/>
  <c r="I55" i="20"/>
  <c r="I58" i="20"/>
  <c r="O67" i="20" s="1"/>
  <c r="I59" i="20"/>
  <c r="I56" i="19"/>
  <c r="I56" i="18"/>
  <c r="I58" i="18"/>
  <c r="O67" i="18" s="1"/>
  <c r="I55" i="17"/>
  <c r="I58" i="16"/>
  <c r="O67" i="16" s="1"/>
  <c r="I56" i="15"/>
  <c r="I58" i="14"/>
  <c r="O67" i="14" s="1"/>
  <c r="I59" i="14"/>
  <c r="I54" i="14"/>
  <c r="O66" i="14" s="1"/>
  <c r="U61" i="14" s="1"/>
  <c r="I57" i="13"/>
  <c r="I58" i="13"/>
  <c r="O67" i="13" s="1"/>
  <c r="I54" i="13"/>
  <c r="O66" i="13" s="1"/>
  <c r="U61" i="13" s="1"/>
  <c r="I55" i="12"/>
  <c r="I59" i="12"/>
  <c r="I55" i="11"/>
  <c r="I56" i="11"/>
  <c r="I58" i="9"/>
  <c r="O67" i="9" s="1"/>
  <c r="I59" i="9"/>
  <c r="I57" i="8"/>
  <c r="I57" i="7"/>
  <c r="I55" i="3"/>
  <c r="I54" i="3"/>
  <c r="O66" i="3" s="1"/>
  <c r="U61" i="3" s="1"/>
  <c r="AD4" i="34"/>
  <c r="AD5" i="34"/>
  <c r="AD6" i="34"/>
  <c r="AD7" i="34"/>
  <c r="AD8" i="34"/>
  <c r="AD9" i="34"/>
  <c r="AD10" i="34"/>
  <c r="AD11" i="34"/>
  <c r="AD12" i="34"/>
  <c r="AD13" i="34"/>
  <c r="AD14" i="34"/>
  <c r="AD15" i="34"/>
  <c r="AD16" i="34"/>
  <c r="AD17" i="34"/>
  <c r="AD18" i="34"/>
  <c r="AD19" i="34"/>
  <c r="AD20" i="34"/>
  <c r="AD21" i="34"/>
  <c r="B49" i="34"/>
  <c r="C49" i="34"/>
  <c r="D49" i="34"/>
  <c r="AB49" i="34"/>
  <c r="AA49" i="34"/>
  <c r="Z49" i="34"/>
  <c r="Y49" i="34"/>
  <c r="X49" i="34"/>
  <c r="W49" i="34"/>
  <c r="V49" i="34"/>
  <c r="U49" i="34"/>
  <c r="T49" i="34"/>
  <c r="S49" i="34"/>
  <c r="R49" i="34"/>
  <c r="Q49" i="34"/>
  <c r="P49" i="34"/>
  <c r="O49" i="34"/>
  <c r="N49" i="34"/>
  <c r="M49" i="34"/>
  <c r="L49" i="34"/>
  <c r="K49" i="34"/>
  <c r="J49" i="34"/>
  <c r="I49" i="34"/>
  <c r="H49" i="34"/>
  <c r="G49" i="34"/>
  <c r="F49" i="34"/>
  <c r="E49" i="34"/>
  <c r="I29" i="24"/>
  <c r="O41" i="24" s="1"/>
  <c r="U36" i="24" s="1"/>
  <c r="I26" i="41" s="1"/>
  <c r="I31" i="24"/>
  <c r="I34" i="24"/>
  <c r="I32" i="31"/>
  <c r="I32" i="22"/>
  <c r="I32" i="25"/>
  <c r="I34" i="25"/>
  <c r="I31" i="25"/>
  <c r="I34" i="21"/>
  <c r="I29" i="22"/>
  <c r="O41" i="22" s="1"/>
  <c r="I33" i="22"/>
  <c r="O42" i="22" s="1"/>
  <c r="I34" i="32"/>
  <c r="I31" i="32"/>
  <c r="I34" i="28"/>
  <c r="I31" i="28"/>
  <c r="I34" i="20"/>
  <c r="I31" i="20"/>
  <c r="I34" i="9"/>
  <c r="I31" i="9"/>
  <c r="I34" i="8"/>
  <c r="I31" i="8"/>
  <c r="I29" i="32"/>
  <c r="O41" i="32" s="1"/>
  <c r="I30" i="32"/>
  <c r="I29" i="31"/>
  <c r="O41" i="31" s="1"/>
  <c r="I30" i="31"/>
  <c r="I29" i="30"/>
  <c r="O41" i="30" s="1"/>
  <c r="U36" i="30" s="1"/>
  <c r="I27" i="41" s="1"/>
  <c r="I32" i="30"/>
  <c r="I33" i="30"/>
  <c r="O42" i="30" s="1"/>
  <c r="I32" i="29"/>
  <c r="I31" i="29"/>
  <c r="I34" i="29"/>
  <c r="I29" i="26"/>
  <c r="O41" i="26" s="1"/>
  <c r="U36" i="26" s="1"/>
  <c r="I30" i="41" s="1"/>
  <c r="I32" i="26"/>
  <c r="I33" i="26"/>
  <c r="O42" i="26" s="1"/>
  <c r="I29" i="23"/>
  <c r="O41" i="23" s="1"/>
  <c r="U36" i="23" s="1"/>
  <c r="I20" i="41" s="1"/>
  <c r="I33" i="23"/>
  <c r="O42" i="23" s="1"/>
  <c r="I30" i="23"/>
  <c r="I31" i="23"/>
  <c r="I33" i="20"/>
  <c r="O42" i="20" s="1"/>
  <c r="I30" i="20"/>
  <c r="I33" i="19"/>
  <c r="O42" i="19" s="1"/>
  <c r="I30" i="19"/>
  <c r="I29" i="18"/>
  <c r="O41" i="18" s="1"/>
  <c r="U36" i="18" s="1"/>
  <c r="I25" i="41" s="1"/>
  <c r="I32" i="18"/>
  <c r="I30" i="18"/>
  <c r="I33" i="18"/>
  <c r="O42" i="18" s="1"/>
  <c r="I34" i="18"/>
  <c r="I29" i="17"/>
  <c r="O41" i="17" s="1"/>
  <c r="U36" i="17" s="1"/>
  <c r="I36" i="41" s="1"/>
  <c r="I32" i="17"/>
  <c r="I31" i="17"/>
  <c r="I34" i="17"/>
  <c r="I33" i="16"/>
  <c r="O42" i="16" s="1"/>
  <c r="I30" i="16"/>
  <c r="I31" i="16"/>
  <c r="I34" i="16"/>
  <c r="I29" i="15"/>
  <c r="O41" i="15" s="1"/>
  <c r="I30" i="15"/>
  <c r="I29" i="14"/>
  <c r="O41" i="14" s="1"/>
  <c r="I32" i="14"/>
  <c r="I33" i="14"/>
  <c r="O42" i="14" s="1"/>
  <c r="I32" i="13"/>
  <c r="I30" i="12"/>
  <c r="I31" i="12"/>
  <c r="I34" i="12"/>
  <c r="I30" i="11"/>
  <c r="I29" i="11"/>
  <c r="O41" i="11" s="1"/>
  <c r="U36" i="11" s="1"/>
  <c r="I16" i="41" s="1"/>
  <c r="I33" i="11"/>
  <c r="O42" i="11" s="1"/>
  <c r="I29" i="10"/>
  <c r="O41" i="10" s="1"/>
  <c r="U36" i="10" s="1"/>
  <c r="I15" i="41" s="1"/>
  <c r="I30" i="7"/>
  <c r="I29" i="7"/>
  <c r="O41" i="7" s="1"/>
  <c r="U36" i="7" s="1"/>
  <c r="I14" i="41" s="1"/>
  <c r="I33" i="7"/>
  <c r="O42" i="7" s="1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Y34" i="34" l="1"/>
  <c r="M34" i="37"/>
  <c r="I105" i="21"/>
  <c r="I34" i="37"/>
  <c r="Y34" i="4"/>
  <c r="U34" i="37"/>
  <c r="E34" i="37"/>
  <c r="Q34" i="4"/>
  <c r="H34" i="34"/>
  <c r="C34" i="35"/>
  <c r="I34" i="4"/>
  <c r="X34" i="34"/>
  <c r="AD23" i="34"/>
  <c r="D34" i="34"/>
  <c r="AB34" i="34"/>
  <c r="AA34" i="35"/>
  <c r="O34" i="35"/>
  <c r="K34" i="35"/>
  <c r="H34" i="4"/>
  <c r="AB34" i="4"/>
  <c r="T34" i="4"/>
  <c r="M34" i="4"/>
  <c r="L34" i="4"/>
  <c r="I23" i="43"/>
  <c r="P34" i="4"/>
  <c r="I32" i="12"/>
  <c r="U34" i="4"/>
  <c r="E34" i="4"/>
  <c r="I29" i="16"/>
  <c r="O41" i="16" s="1"/>
  <c r="U36" i="16" s="1"/>
  <c r="I35" i="41" s="1"/>
  <c r="X34" i="4"/>
  <c r="D34" i="4"/>
  <c r="L34" i="34"/>
  <c r="I54" i="32"/>
  <c r="O66" i="32" s="1"/>
  <c r="U61" i="32" s="1"/>
  <c r="P34" i="34"/>
  <c r="I55" i="8"/>
  <c r="T34" i="34"/>
  <c r="I59" i="29"/>
  <c r="W34" i="35"/>
  <c r="I82" i="22"/>
  <c r="G34" i="35"/>
  <c r="I81" i="22"/>
  <c r="I28" i="41"/>
  <c r="I23" i="41"/>
  <c r="J5" i="43"/>
  <c r="J4" i="43" s="1"/>
  <c r="I8" i="43"/>
  <c r="I13" i="43"/>
  <c r="U37" i="7"/>
  <c r="J14" i="41" s="1"/>
  <c r="U37" i="11"/>
  <c r="J16" i="41" s="1"/>
  <c r="U37" i="12"/>
  <c r="J33" i="41" s="1"/>
  <c r="U37" i="13"/>
  <c r="J24" i="41" s="1"/>
  <c r="U37" i="14"/>
  <c r="J34" i="41" s="1"/>
  <c r="U36" i="14"/>
  <c r="I34" i="41" s="1"/>
  <c r="U37" i="15"/>
  <c r="J17" i="41" s="1"/>
  <c r="U36" i="15"/>
  <c r="I17" i="41" s="1"/>
  <c r="U37" i="16"/>
  <c r="J35" i="41" s="1"/>
  <c r="U37" i="17"/>
  <c r="J36" i="41" s="1"/>
  <c r="U37" i="18"/>
  <c r="J25" i="41" s="1"/>
  <c r="U37" i="19"/>
  <c r="J9" i="41" s="1"/>
  <c r="U37" i="20"/>
  <c r="J18" i="41" s="1"/>
  <c r="U37" i="23"/>
  <c r="J20" i="41" s="1"/>
  <c r="U37" i="26"/>
  <c r="J30" i="41" s="1"/>
  <c r="U37" i="29"/>
  <c r="J31" i="41" s="1"/>
  <c r="U37" i="30"/>
  <c r="J27" i="41" s="1"/>
  <c r="U37" i="31"/>
  <c r="J22" i="41" s="1"/>
  <c r="U36" i="31"/>
  <c r="I22" i="41" s="1"/>
  <c r="U37" i="32"/>
  <c r="J12" i="41" s="1"/>
  <c r="U36" i="32"/>
  <c r="I12" i="41" s="1"/>
  <c r="U37" i="8"/>
  <c r="J7" i="41" s="1"/>
  <c r="U37" i="22"/>
  <c r="J19" i="41" s="1"/>
  <c r="U36" i="22"/>
  <c r="I19" i="41" s="1"/>
  <c r="U37" i="25"/>
  <c r="J21" i="41" s="1"/>
  <c r="U36" i="25"/>
  <c r="I21" i="41" s="1"/>
  <c r="U37" i="24"/>
  <c r="J26" i="41" s="1"/>
  <c r="I14" i="39"/>
  <c r="U62" i="7"/>
  <c r="U61" i="8"/>
  <c r="I7" i="39" s="1"/>
  <c r="U62" i="8"/>
  <c r="I8" i="39"/>
  <c r="U62" i="9"/>
  <c r="I15" i="39"/>
  <c r="U62" i="10"/>
  <c r="U62" i="12"/>
  <c r="I24" i="39"/>
  <c r="U62" i="13"/>
  <c r="I34" i="39"/>
  <c r="U62" i="14"/>
  <c r="U61" i="15"/>
  <c r="I17" i="39" s="1"/>
  <c r="I35" i="39"/>
  <c r="U62" i="16"/>
  <c r="U61" i="17"/>
  <c r="I36" i="39" s="1"/>
  <c r="U62" i="17"/>
  <c r="I25" i="39"/>
  <c r="U62" i="18"/>
  <c r="I18" i="39"/>
  <c r="U62" i="20"/>
  <c r="I29" i="39"/>
  <c r="U62" i="21"/>
  <c r="I19" i="39"/>
  <c r="U62" i="22"/>
  <c r="I26" i="39"/>
  <c r="U62" i="24"/>
  <c r="I21" i="39"/>
  <c r="U62" i="25"/>
  <c r="I30" i="39"/>
  <c r="U62" i="26"/>
  <c r="I11" i="39"/>
  <c r="U62" i="28"/>
  <c r="I12" i="39"/>
  <c r="U62" i="32"/>
  <c r="I22" i="39"/>
  <c r="U62" i="31"/>
  <c r="I27" i="39"/>
  <c r="U62" i="30"/>
  <c r="I31" i="39"/>
  <c r="U62" i="29"/>
  <c r="I10" i="39"/>
  <c r="U62" i="27"/>
  <c r="I20" i="39"/>
  <c r="U62" i="23"/>
  <c r="I9" i="39"/>
  <c r="U62" i="19"/>
  <c r="U62" i="15"/>
  <c r="I16" i="39"/>
  <c r="U62" i="11"/>
  <c r="U61" i="12"/>
  <c r="I33" i="39" s="1"/>
  <c r="U37" i="28"/>
  <c r="J11" i="41" s="1"/>
  <c r="U37" i="27"/>
  <c r="J10" i="41" s="1"/>
  <c r="U37" i="21"/>
  <c r="J29" i="41" s="1"/>
  <c r="U37" i="10"/>
  <c r="J15" i="41" s="1"/>
  <c r="U37" i="9"/>
  <c r="J8" i="41" s="1"/>
  <c r="B34" i="34"/>
  <c r="AD30" i="34"/>
  <c r="Z34" i="34"/>
  <c r="V34" i="34"/>
  <c r="R34" i="34"/>
  <c r="N34" i="34"/>
  <c r="J34" i="34"/>
  <c r="AD23" i="35"/>
  <c r="Z34" i="35"/>
  <c r="V34" i="35"/>
  <c r="N34" i="35"/>
  <c r="J34" i="35"/>
  <c r="B34" i="35"/>
  <c r="Y34" i="35"/>
  <c r="Q34" i="35"/>
  <c r="M34" i="35"/>
  <c r="I34" i="35"/>
  <c r="E34" i="35"/>
  <c r="AB34" i="35"/>
  <c r="X34" i="35"/>
  <c r="T34" i="35"/>
  <c r="P34" i="35"/>
  <c r="L34" i="35"/>
  <c r="H34" i="35"/>
  <c r="D34" i="37"/>
  <c r="AA34" i="37"/>
  <c r="S34" i="37"/>
  <c r="O34" i="37"/>
  <c r="K34" i="37"/>
  <c r="G34" i="37"/>
  <c r="C34" i="37"/>
  <c r="R34" i="37"/>
  <c r="N34" i="37"/>
  <c r="J34" i="37"/>
  <c r="S34" i="4"/>
  <c r="O34" i="4"/>
  <c r="C34" i="4"/>
  <c r="Z34" i="4"/>
  <c r="V34" i="4"/>
  <c r="R34" i="4"/>
  <c r="N34" i="4"/>
  <c r="F34" i="4"/>
  <c r="U64" i="42"/>
  <c r="I22" i="25" s="1"/>
  <c r="X14" i="25" s="1"/>
  <c r="AC21" i="43" s="1"/>
  <c r="Z61" i="42"/>
  <c r="I19" i="30" s="1"/>
  <c r="X15" i="30" s="1"/>
  <c r="AE27" i="43" s="1"/>
  <c r="W60" i="42"/>
  <c r="I18" i="27" s="1"/>
  <c r="Z59" i="42"/>
  <c r="I17" i="30" s="1"/>
  <c r="K59" i="42"/>
  <c r="I17" i="15" s="1"/>
  <c r="Z56" i="42"/>
  <c r="I14" i="30" s="1"/>
  <c r="N61" i="42"/>
  <c r="I19" i="18" s="1"/>
  <c r="X15" i="18" s="1"/>
  <c r="AE25" i="43" s="1"/>
  <c r="K56" i="42"/>
  <c r="I14" i="15" s="1"/>
  <c r="AA60" i="42"/>
  <c r="I18" i="31" s="1"/>
  <c r="O65" i="42"/>
  <c r="I23" i="19" s="1"/>
  <c r="D58" i="42"/>
  <c r="I16" i="8" s="1"/>
  <c r="X12" i="8" s="1"/>
  <c r="AA7" i="43" s="1"/>
  <c r="L60" i="42"/>
  <c r="I18" i="16" s="1"/>
  <c r="T62" i="42"/>
  <c r="I20" i="24" s="1"/>
  <c r="X17" i="24" s="1"/>
  <c r="AG26" i="43" s="1"/>
  <c r="AB64" i="42"/>
  <c r="I22" i="32" s="1"/>
  <c r="X14" i="32" s="1"/>
  <c r="AC12" i="43" s="1"/>
  <c r="M57" i="42"/>
  <c r="I15" i="17" s="1"/>
  <c r="X11" i="17" s="1"/>
  <c r="Y36" i="43" s="1"/>
  <c r="E60" i="42"/>
  <c r="I18" i="9" s="1"/>
  <c r="U62" i="42"/>
  <c r="I20" i="25" s="1"/>
  <c r="X17" i="25" s="1"/>
  <c r="AG21" i="43" s="1"/>
  <c r="M65" i="42"/>
  <c r="I23" i="17" s="1"/>
  <c r="R59" i="42"/>
  <c r="I17" i="22" s="1"/>
  <c r="C57" i="42"/>
  <c r="I15" i="7" s="1"/>
  <c r="X11" i="7" s="1"/>
  <c r="Y14" i="43" s="1"/>
  <c r="Y13" i="43" s="1"/>
  <c r="F65" i="42"/>
  <c r="I23" i="10" s="1"/>
  <c r="K64" i="42"/>
  <c r="I22" i="15" s="1"/>
  <c r="X14" i="15" s="1"/>
  <c r="AC17" i="43" s="1"/>
  <c r="X59" i="42"/>
  <c r="I17" i="28" s="1"/>
  <c r="L64" i="42"/>
  <c r="I22" i="16" s="1"/>
  <c r="X14" i="16" s="1"/>
  <c r="AC35" i="43" s="1"/>
  <c r="U56" i="42"/>
  <c r="I14" i="25" s="1"/>
  <c r="E62" i="42"/>
  <c r="I20" i="9" s="1"/>
  <c r="X17" i="9" s="1"/>
  <c r="AG8" i="43" s="1"/>
  <c r="F64" i="42"/>
  <c r="I22" i="10" s="1"/>
  <c r="X14" i="10" s="1"/>
  <c r="AC15" i="43" s="1"/>
  <c r="C63" i="42"/>
  <c r="I21" i="7" s="1"/>
  <c r="X18" i="7" s="1"/>
  <c r="AI14" i="43" s="1"/>
  <c r="F62" i="42"/>
  <c r="I20" i="10" s="1"/>
  <c r="X17" i="10" s="1"/>
  <c r="AG15" i="43" s="1"/>
  <c r="S61" i="42"/>
  <c r="I19" i="23" s="1"/>
  <c r="X15" i="23" s="1"/>
  <c r="AE20" i="43" s="1"/>
  <c r="B58" i="42"/>
  <c r="I16" i="3" s="1"/>
  <c r="X12" i="3" s="1"/>
  <c r="AA6" i="43" s="1"/>
  <c r="Z62" i="42"/>
  <c r="I20" i="30" s="1"/>
  <c r="X17" i="30" s="1"/>
  <c r="AG27" i="43" s="1"/>
  <c r="O57" i="42"/>
  <c r="I15" i="19" s="1"/>
  <c r="X11" i="19" s="1"/>
  <c r="Y9" i="43" s="1"/>
  <c r="C62" i="42"/>
  <c r="I20" i="7" s="1"/>
  <c r="X17" i="7" s="1"/>
  <c r="AG14" i="43" s="1"/>
  <c r="AG13" i="43" s="1"/>
  <c r="L56" i="42"/>
  <c r="I14" i="16" s="1"/>
  <c r="T58" i="42"/>
  <c r="I16" i="24" s="1"/>
  <c r="X12" i="24" s="1"/>
  <c r="AA26" i="43" s="1"/>
  <c r="AB60" i="42"/>
  <c r="I18" i="32" s="1"/>
  <c r="H63" i="42"/>
  <c r="I21" i="12" s="1"/>
  <c r="X18" i="12" s="1"/>
  <c r="AI33" i="43" s="1"/>
  <c r="P65" i="42"/>
  <c r="I23" i="20" s="1"/>
  <c r="E58" i="42"/>
  <c r="I16" i="9" s="1"/>
  <c r="X12" i="9" s="1"/>
  <c r="AA8" i="43" s="1"/>
  <c r="U60" i="42"/>
  <c r="I18" i="25" s="1"/>
  <c r="M63" i="42"/>
  <c r="I21" i="17" s="1"/>
  <c r="X18" i="17" s="1"/>
  <c r="AI36" i="43" s="1"/>
  <c r="O58" i="42"/>
  <c r="I16" i="19" s="1"/>
  <c r="X12" i="19" s="1"/>
  <c r="AA9" i="43" s="1"/>
  <c r="R57" i="42"/>
  <c r="I15" i="22" s="1"/>
  <c r="X11" i="22" s="1"/>
  <c r="Y19" i="43" s="1"/>
  <c r="R56" i="42"/>
  <c r="I14" i="22" s="1"/>
  <c r="J60" i="42"/>
  <c r="I18" i="14" s="1"/>
  <c r="W59" i="42"/>
  <c r="I17" i="27" s="1"/>
  <c r="P57" i="42"/>
  <c r="I15" i="20" s="1"/>
  <c r="X11" i="20" s="1"/>
  <c r="Y18" i="43" s="1"/>
  <c r="D62" i="42"/>
  <c r="I20" i="8" s="1"/>
  <c r="X17" i="8" s="1"/>
  <c r="AG7" i="43" s="1"/>
  <c r="M59" i="42"/>
  <c r="I17" i="17" s="1"/>
  <c r="J57" i="42"/>
  <c r="I15" i="14" s="1"/>
  <c r="X11" i="14" s="1"/>
  <c r="Y34" i="43" s="1"/>
  <c r="G56" i="42"/>
  <c r="I14" i="11" s="1"/>
  <c r="K65" i="42"/>
  <c r="I23" i="15" s="1"/>
  <c r="N64" i="42"/>
  <c r="I22" i="18" s="1"/>
  <c r="X14" i="18" s="1"/>
  <c r="AC25" i="43" s="1"/>
  <c r="AA63" i="42"/>
  <c r="I21" i="31" s="1"/>
  <c r="X18" i="31" s="1"/>
  <c r="AI22" i="43" s="1"/>
  <c r="F59" i="42"/>
  <c r="I17" i="10" s="1"/>
  <c r="B64" i="42"/>
  <c r="I22" i="3" s="1"/>
  <c r="X14" i="3" s="1"/>
  <c r="AC6" i="43" s="1"/>
  <c r="S58" i="42"/>
  <c r="I16" i="23" s="1"/>
  <c r="X12" i="23" s="1"/>
  <c r="AA20" i="43" s="1"/>
  <c r="G63" i="42"/>
  <c r="I21" i="11" s="1"/>
  <c r="X18" i="11" s="1"/>
  <c r="AI16" i="43" s="1"/>
  <c r="AB56" i="42"/>
  <c r="I14" i="32" s="1"/>
  <c r="H59" i="42"/>
  <c r="I17" i="12" s="1"/>
  <c r="P61" i="42"/>
  <c r="I19" i="20" s="1"/>
  <c r="X15" i="20" s="1"/>
  <c r="AE18" i="43" s="1"/>
  <c r="X63" i="42"/>
  <c r="I21" i="28" s="1"/>
  <c r="X18" i="28" s="1"/>
  <c r="AI11" i="43" s="1"/>
  <c r="E56" i="42"/>
  <c r="I14" i="9" s="1"/>
  <c r="U58" i="42"/>
  <c r="I16" i="25" s="1"/>
  <c r="X12" i="25" s="1"/>
  <c r="AA21" i="43" s="1"/>
  <c r="M61" i="42"/>
  <c r="I19" i="17" s="1"/>
  <c r="X15" i="17" s="1"/>
  <c r="AE36" i="43" s="1"/>
  <c r="E64" i="42"/>
  <c r="I22" i="9" s="1"/>
  <c r="X14" i="9" s="1"/>
  <c r="AC8" i="43" s="1"/>
  <c r="C34" i="34"/>
  <c r="G34" i="34"/>
  <c r="K34" i="34"/>
  <c r="O34" i="34"/>
  <c r="S34" i="34"/>
  <c r="W34" i="34"/>
  <c r="AA34" i="34"/>
  <c r="I55" i="14"/>
  <c r="I55" i="18"/>
  <c r="I55" i="22"/>
  <c r="I55" i="26"/>
  <c r="AD49" i="34"/>
  <c r="F34" i="35"/>
  <c r="R34" i="35"/>
  <c r="I80" i="13"/>
  <c r="I80" i="17"/>
  <c r="I80" i="21"/>
  <c r="I80" i="29"/>
  <c r="H34" i="37"/>
  <c r="L34" i="37"/>
  <c r="P34" i="37"/>
  <c r="T34" i="37"/>
  <c r="X34" i="37"/>
  <c r="AB34" i="37"/>
  <c r="I106" i="23"/>
  <c r="I106" i="31"/>
  <c r="AD27" i="37"/>
  <c r="I30" i="10"/>
  <c r="I109" i="22"/>
  <c r="I55" i="30"/>
  <c r="V56" i="42"/>
  <c r="B59" i="42"/>
  <c r="I17" i="3" s="1"/>
  <c r="J61" i="42"/>
  <c r="I19" i="14" s="1"/>
  <c r="X15" i="14" s="1"/>
  <c r="AE34" i="43" s="1"/>
  <c r="R63" i="42"/>
  <c r="I21" i="22" s="1"/>
  <c r="X18" i="22" s="1"/>
  <c r="AI19" i="43" s="1"/>
  <c r="Z65" i="42"/>
  <c r="I23" i="30" s="1"/>
  <c r="AA57" i="42"/>
  <c r="I15" i="31" s="1"/>
  <c r="X11" i="31" s="1"/>
  <c r="Y22" i="43" s="1"/>
  <c r="G60" i="42"/>
  <c r="I18" i="11" s="1"/>
  <c r="O62" i="42"/>
  <c r="I20" i="19" s="1"/>
  <c r="X17" i="19" s="1"/>
  <c r="AG9" i="43" s="1"/>
  <c r="W64" i="42"/>
  <c r="I22" i="27" s="1"/>
  <c r="X14" i="27" s="1"/>
  <c r="AC10" i="43" s="1"/>
  <c r="B57" i="42"/>
  <c r="I15" i="3" s="1"/>
  <c r="X11" i="3" s="1"/>
  <c r="J59" i="42"/>
  <c r="I17" i="14" s="1"/>
  <c r="R61" i="42"/>
  <c r="I19" i="22" s="1"/>
  <c r="X15" i="22" s="1"/>
  <c r="AE19" i="43" s="1"/>
  <c r="Z63" i="42"/>
  <c r="I21" i="30" s="1"/>
  <c r="X18" i="30" s="1"/>
  <c r="AI27" i="43" s="1"/>
  <c r="O56" i="42"/>
  <c r="I14" i="19" s="1"/>
  <c r="W58" i="42"/>
  <c r="I16" i="27" s="1"/>
  <c r="X12" i="27" s="1"/>
  <c r="AA10" i="43" s="1"/>
  <c r="C61" i="42"/>
  <c r="K63" i="42"/>
  <c r="I21" i="15" s="1"/>
  <c r="X18" i="15" s="1"/>
  <c r="AI17" i="43" s="1"/>
  <c r="S65" i="42"/>
  <c r="I23" i="23" s="1"/>
  <c r="J56" i="42"/>
  <c r="I14" i="14" s="1"/>
  <c r="V57" i="42"/>
  <c r="I15" i="26" s="1"/>
  <c r="X11" i="26" s="1"/>
  <c r="Y30" i="43" s="1"/>
  <c r="Z58" i="42"/>
  <c r="I16" i="30" s="1"/>
  <c r="X12" i="30" s="1"/>
  <c r="AA27" i="43" s="1"/>
  <c r="B60" i="42"/>
  <c r="I18" i="3" s="1"/>
  <c r="F61" i="42"/>
  <c r="I19" i="10" s="1"/>
  <c r="X15" i="10" s="1"/>
  <c r="AE15" i="43" s="1"/>
  <c r="R62" i="42"/>
  <c r="I20" i="22" s="1"/>
  <c r="X17" i="22" s="1"/>
  <c r="AG19" i="43" s="1"/>
  <c r="V63" i="42"/>
  <c r="I21" i="26" s="1"/>
  <c r="X18" i="26" s="1"/>
  <c r="AI30" i="43" s="1"/>
  <c r="Z64" i="42"/>
  <c r="I22" i="30" s="1"/>
  <c r="X14" i="30" s="1"/>
  <c r="AC27" i="43" s="1"/>
  <c r="C56" i="42"/>
  <c r="I14" i="7" s="1"/>
  <c r="G57" i="42"/>
  <c r="I15" i="11" s="1"/>
  <c r="X11" i="11" s="1"/>
  <c r="Y16" i="43" s="1"/>
  <c r="K58" i="42"/>
  <c r="I16" i="15" s="1"/>
  <c r="X12" i="15" s="1"/>
  <c r="AA17" i="43" s="1"/>
  <c r="O59" i="42"/>
  <c r="I17" i="19" s="1"/>
  <c r="S60" i="42"/>
  <c r="I18" i="23" s="1"/>
  <c r="W61" i="42"/>
  <c r="I19" i="27" s="1"/>
  <c r="X15" i="27" s="1"/>
  <c r="AE10" i="43" s="1"/>
  <c r="AA62" i="42"/>
  <c r="I20" i="31" s="1"/>
  <c r="X17" i="31" s="1"/>
  <c r="AG22" i="43" s="1"/>
  <c r="C64" i="42"/>
  <c r="G65" i="42"/>
  <c r="I23" i="11" s="1"/>
  <c r="H56" i="42"/>
  <c r="I14" i="12" s="1"/>
  <c r="X56" i="42"/>
  <c r="I14" i="28" s="1"/>
  <c r="L57" i="42"/>
  <c r="I15" i="16" s="1"/>
  <c r="X11" i="16" s="1"/>
  <c r="Y35" i="43" s="1"/>
  <c r="AB57" i="42"/>
  <c r="I15" i="32" s="1"/>
  <c r="X11" i="32" s="1"/>
  <c r="Y12" i="43" s="1"/>
  <c r="P58" i="42"/>
  <c r="I16" i="20" s="1"/>
  <c r="X12" i="20" s="1"/>
  <c r="AA18" i="43" s="1"/>
  <c r="D59" i="42"/>
  <c r="I17" i="8" s="1"/>
  <c r="T59" i="42"/>
  <c r="I17" i="24" s="1"/>
  <c r="H60" i="42"/>
  <c r="I18" i="12" s="1"/>
  <c r="X60" i="42"/>
  <c r="I18" i="28" s="1"/>
  <c r="L61" i="42"/>
  <c r="I19" i="16" s="1"/>
  <c r="X15" i="16" s="1"/>
  <c r="AE35" i="43" s="1"/>
  <c r="AB61" i="42"/>
  <c r="I19" i="32" s="1"/>
  <c r="X15" i="32" s="1"/>
  <c r="AE12" i="43" s="1"/>
  <c r="P62" i="42"/>
  <c r="I20" i="20" s="1"/>
  <c r="X17" i="20" s="1"/>
  <c r="AG18" i="43" s="1"/>
  <c r="D63" i="42"/>
  <c r="I21" i="8" s="1"/>
  <c r="X18" i="8" s="1"/>
  <c r="AI7" i="43" s="1"/>
  <c r="T63" i="42"/>
  <c r="I21" i="24" s="1"/>
  <c r="X18" i="24" s="1"/>
  <c r="AI26" i="43" s="1"/>
  <c r="H64" i="42"/>
  <c r="I22" i="12" s="1"/>
  <c r="X14" i="12" s="1"/>
  <c r="AC33" i="43" s="1"/>
  <c r="AC32" i="43" s="1"/>
  <c r="X64" i="42"/>
  <c r="I22" i="28" s="1"/>
  <c r="X14" i="28" s="1"/>
  <c r="AC11" i="43" s="1"/>
  <c r="L65" i="42"/>
  <c r="I23" i="16" s="1"/>
  <c r="AB65" i="42"/>
  <c r="I23" i="32" s="1"/>
  <c r="Q56" i="42"/>
  <c r="I57" i="42"/>
  <c r="I15" i="13" s="1"/>
  <c r="X11" i="13" s="1"/>
  <c r="Y24" i="43" s="1"/>
  <c r="Y23" i="43" s="1"/>
  <c r="Y57" i="42"/>
  <c r="I15" i="29" s="1"/>
  <c r="X11" i="29" s="1"/>
  <c r="Y31" i="43" s="1"/>
  <c r="Q58" i="42"/>
  <c r="I16" i="21" s="1"/>
  <c r="X12" i="21" s="1"/>
  <c r="AA29" i="43" s="1"/>
  <c r="I59" i="42"/>
  <c r="I17" i="13" s="1"/>
  <c r="Y59" i="42"/>
  <c r="I17" i="29" s="1"/>
  <c r="Q60" i="42"/>
  <c r="I18" i="21" s="1"/>
  <c r="I61" i="42"/>
  <c r="I19" i="13" s="1"/>
  <c r="X15" i="13" s="1"/>
  <c r="AE24" i="43" s="1"/>
  <c r="Y61" i="42"/>
  <c r="I19" i="29" s="1"/>
  <c r="X15" i="29" s="1"/>
  <c r="AE31" i="43" s="1"/>
  <c r="Q62" i="42"/>
  <c r="I20" i="21" s="1"/>
  <c r="X17" i="21" s="1"/>
  <c r="AG29" i="43" s="1"/>
  <c r="AG28" i="43" s="1"/>
  <c r="I63" i="42"/>
  <c r="I21" i="13" s="1"/>
  <c r="X18" i="13" s="1"/>
  <c r="AI24" i="43" s="1"/>
  <c r="Y63" i="42"/>
  <c r="I21" i="29" s="1"/>
  <c r="X18" i="29" s="1"/>
  <c r="AI31" i="43" s="1"/>
  <c r="Q64" i="42"/>
  <c r="I22" i="21" s="1"/>
  <c r="X14" i="21" s="1"/>
  <c r="AC29" i="43" s="1"/>
  <c r="AC28" i="43" s="1"/>
  <c r="I65" i="42"/>
  <c r="I23" i="13" s="1"/>
  <c r="Y65" i="42"/>
  <c r="I23" i="29" s="1"/>
  <c r="J19" i="20"/>
  <c r="AA34" i="4"/>
  <c r="W34" i="4"/>
  <c r="K34" i="4"/>
  <c r="G34" i="4"/>
  <c r="I30" i="26"/>
  <c r="E34" i="34"/>
  <c r="I34" i="34"/>
  <c r="M34" i="34"/>
  <c r="Q34" i="34"/>
  <c r="U34" i="34"/>
  <c r="I58" i="3"/>
  <c r="O67" i="3" s="1"/>
  <c r="U62" i="3" s="1"/>
  <c r="AD27" i="34"/>
  <c r="D34" i="35"/>
  <c r="B34" i="37"/>
  <c r="F34" i="37"/>
  <c r="V34" i="37"/>
  <c r="Z34" i="37"/>
  <c r="I106" i="11"/>
  <c r="I106" i="15"/>
  <c r="I106" i="19"/>
  <c r="I80" i="9"/>
  <c r="Z57" i="42"/>
  <c r="I15" i="30" s="1"/>
  <c r="X11" i="30" s="1"/>
  <c r="Y27" i="43" s="1"/>
  <c r="F60" i="42"/>
  <c r="I18" i="10" s="1"/>
  <c r="N62" i="42"/>
  <c r="I20" i="18" s="1"/>
  <c r="X17" i="18" s="1"/>
  <c r="AG25" i="43" s="1"/>
  <c r="V64" i="42"/>
  <c r="I22" i="26" s="1"/>
  <c r="X14" i="26" s="1"/>
  <c r="AC30" i="43" s="1"/>
  <c r="W56" i="42"/>
  <c r="I14" i="27" s="1"/>
  <c r="C59" i="42"/>
  <c r="K61" i="42"/>
  <c r="I19" i="15" s="1"/>
  <c r="X15" i="15" s="1"/>
  <c r="AE17" i="43" s="1"/>
  <c r="S63" i="42"/>
  <c r="I21" i="23" s="1"/>
  <c r="X18" i="23" s="1"/>
  <c r="AI20" i="43" s="1"/>
  <c r="AA65" i="42"/>
  <c r="I23" i="31" s="1"/>
  <c r="F58" i="42"/>
  <c r="I16" i="10" s="1"/>
  <c r="X12" i="10" s="1"/>
  <c r="AA15" i="43" s="1"/>
  <c r="N60" i="42"/>
  <c r="I18" i="18" s="1"/>
  <c r="V62" i="42"/>
  <c r="I20" i="26" s="1"/>
  <c r="X17" i="26" s="1"/>
  <c r="AG30" i="43" s="1"/>
  <c r="B65" i="42"/>
  <c r="I23" i="3" s="1"/>
  <c r="S57" i="42"/>
  <c r="I15" i="23" s="1"/>
  <c r="X11" i="23" s="1"/>
  <c r="Y20" i="43" s="1"/>
  <c r="AA59" i="42"/>
  <c r="I17" i="31" s="1"/>
  <c r="G62" i="42"/>
  <c r="I20" i="11" s="1"/>
  <c r="X17" i="11" s="1"/>
  <c r="AG16" i="43" s="1"/>
  <c r="O64" i="42"/>
  <c r="I22" i="19" s="1"/>
  <c r="X14" i="19" s="1"/>
  <c r="AC9" i="43" s="1"/>
  <c r="V61" i="42"/>
  <c r="I19" i="26" s="1"/>
  <c r="X15" i="26" s="1"/>
  <c r="AE30" i="43" s="1"/>
  <c r="F57" i="42"/>
  <c r="I15" i="10" s="1"/>
  <c r="X11" i="10" s="1"/>
  <c r="Y15" i="43" s="1"/>
  <c r="J58" i="42"/>
  <c r="I16" i="14" s="1"/>
  <c r="X12" i="14" s="1"/>
  <c r="AA34" i="43" s="1"/>
  <c r="N59" i="42"/>
  <c r="I17" i="18" s="1"/>
  <c r="R60" i="42"/>
  <c r="I18" i="22" s="1"/>
  <c r="B62" i="42"/>
  <c r="I20" i="3" s="1"/>
  <c r="X17" i="3" s="1"/>
  <c r="F63" i="42"/>
  <c r="I21" i="10" s="1"/>
  <c r="X18" i="10" s="1"/>
  <c r="AI15" i="43" s="1"/>
  <c r="J64" i="42"/>
  <c r="I22" i="14" s="1"/>
  <c r="X14" i="14" s="1"/>
  <c r="AC34" i="43" s="1"/>
  <c r="N65" i="42"/>
  <c r="I23" i="18" s="1"/>
  <c r="S56" i="42"/>
  <c r="I14" i="23" s="1"/>
  <c r="W57" i="42"/>
  <c r="I15" i="27" s="1"/>
  <c r="X11" i="27" s="1"/>
  <c r="Y10" i="43" s="1"/>
  <c r="AA58" i="42"/>
  <c r="I16" i="31" s="1"/>
  <c r="X12" i="31" s="1"/>
  <c r="AA22" i="43" s="1"/>
  <c r="C60" i="42"/>
  <c r="G61" i="42"/>
  <c r="I19" i="11" s="1"/>
  <c r="X15" i="11" s="1"/>
  <c r="AE16" i="43" s="1"/>
  <c r="K62" i="42"/>
  <c r="I20" i="15" s="1"/>
  <c r="X17" i="15" s="1"/>
  <c r="AG17" i="43" s="1"/>
  <c r="O63" i="42"/>
  <c r="I21" i="19" s="1"/>
  <c r="X18" i="19" s="1"/>
  <c r="AI9" i="43" s="1"/>
  <c r="S64" i="42"/>
  <c r="I22" i="23" s="1"/>
  <c r="X14" i="23" s="1"/>
  <c r="AC20" i="43" s="1"/>
  <c r="W65" i="42"/>
  <c r="I23" i="27" s="1"/>
  <c r="P56" i="42"/>
  <c r="I14" i="20" s="1"/>
  <c r="D57" i="42"/>
  <c r="I15" i="8" s="1"/>
  <c r="X11" i="8" s="1"/>
  <c r="Y7" i="43" s="1"/>
  <c r="T57" i="42"/>
  <c r="I15" i="24" s="1"/>
  <c r="X11" i="24" s="1"/>
  <c r="Y26" i="43" s="1"/>
  <c r="H58" i="42"/>
  <c r="I16" i="12" s="1"/>
  <c r="X12" i="12" s="1"/>
  <c r="AA33" i="43" s="1"/>
  <c r="X58" i="42"/>
  <c r="I16" i="28" s="1"/>
  <c r="X12" i="28" s="1"/>
  <c r="AA11" i="43" s="1"/>
  <c r="L59" i="42"/>
  <c r="I17" i="16" s="1"/>
  <c r="AB59" i="42"/>
  <c r="I17" i="32" s="1"/>
  <c r="P60" i="42"/>
  <c r="I18" i="20" s="1"/>
  <c r="D61" i="42"/>
  <c r="I19" i="8" s="1"/>
  <c r="X15" i="8" s="1"/>
  <c r="AE7" i="43" s="1"/>
  <c r="T61" i="42"/>
  <c r="I19" i="24" s="1"/>
  <c r="X15" i="24" s="1"/>
  <c r="AE26" i="43" s="1"/>
  <c r="H62" i="42"/>
  <c r="I20" i="12" s="1"/>
  <c r="X17" i="12" s="1"/>
  <c r="X62" i="42"/>
  <c r="I20" i="28" s="1"/>
  <c r="X17" i="28" s="1"/>
  <c r="AG11" i="43" s="1"/>
  <c r="L63" i="42"/>
  <c r="I21" i="16" s="1"/>
  <c r="X18" i="16" s="1"/>
  <c r="AI35" i="43" s="1"/>
  <c r="AB63" i="42"/>
  <c r="I21" i="32" s="1"/>
  <c r="X18" i="32" s="1"/>
  <c r="AI12" i="43" s="1"/>
  <c r="P64" i="42"/>
  <c r="I22" i="20" s="1"/>
  <c r="D65" i="42"/>
  <c r="I23" i="8" s="1"/>
  <c r="T65" i="42"/>
  <c r="I23" i="24" s="1"/>
  <c r="I56" i="42"/>
  <c r="I14" i="13" s="1"/>
  <c r="Y56" i="42"/>
  <c r="I14" i="29" s="1"/>
  <c r="Q57" i="42"/>
  <c r="I15" i="21" s="1"/>
  <c r="X11" i="21" s="1"/>
  <c r="Y29" i="43" s="1"/>
  <c r="Y28" i="43" s="1"/>
  <c r="I58" i="42"/>
  <c r="I16" i="13" s="1"/>
  <c r="X12" i="13" s="1"/>
  <c r="AA24" i="43" s="1"/>
  <c r="Y58" i="42"/>
  <c r="I16" i="29" s="1"/>
  <c r="X12" i="29" s="1"/>
  <c r="AA31" i="43" s="1"/>
  <c r="Q59" i="42"/>
  <c r="I17" i="21" s="1"/>
  <c r="I60" i="42"/>
  <c r="I18" i="13" s="1"/>
  <c r="Y60" i="42"/>
  <c r="I18" i="29" s="1"/>
  <c r="Q61" i="42"/>
  <c r="I19" i="21" s="1"/>
  <c r="X15" i="21" s="1"/>
  <c r="AE29" i="43" s="1"/>
  <c r="I62" i="42"/>
  <c r="I20" i="13" s="1"/>
  <c r="X17" i="13" s="1"/>
  <c r="AG24" i="43" s="1"/>
  <c r="AG23" i="43" s="1"/>
  <c r="Y62" i="42"/>
  <c r="I20" i="29" s="1"/>
  <c r="X17" i="29" s="1"/>
  <c r="AG31" i="43" s="1"/>
  <c r="Q63" i="42"/>
  <c r="I21" i="21" s="1"/>
  <c r="X18" i="21" s="1"/>
  <c r="AI29" i="43" s="1"/>
  <c r="I64" i="42"/>
  <c r="I22" i="13" s="1"/>
  <c r="X14" i="13" s="1"/>
  <c r="AC24" i="43" s="1"/>
  <c r="AC23" i="43" s="1"/>
  <c r="Y64" i="42"/>
  <c r="I22" i="29" s="1"/>
  <c r="X14" i="29" s="1"/>
  <c r="AC31" i="43" s="1"/>
  <c r="Q65" i="42"/>
  <c r="I23" i="21" s="1"/>
  <c r="J34" i="4"/>
  <c r="B34" i="4"/>
  <c r="F34" i="34"/>
  <c r="AD29" i="34"/>
  <c r="U34" i="35"/>
  <c r="W34" i="37"/>
  <c r="AD31" i="35"/>
  <c r="I56" i="10"/>
  <c r="F56" i="42"/>
  <c r="I14" i="10" s="1"/>
  <c r="N58" i="42"/>
  <c r="I16" i="18" s="1"/>
  <c r="X12" i="18" s="1"/>
  <c r="AA25" i="43" s="1"/>
  <c r="V60" i="42"/>
  <c r="I18" i="26" s="1"/>
  <c r="B63" i="42"/>
  <c r="I21" i="3" s="1"/>
  <c r="X18" i="3" s="1"/>
  <c r="J65" i="42"/>
  <c r="I23" i="14" s="1"/>
  <c r="K57" i="42"/>
  <c r="I15" i="15" s="1"/>
  <c r="X11" i="15" s="1"/>
  <c r="Y17" i="43" s="1"/>
  <c r="S59" i="42"/>
  <c r="I17" i="23" s="1"/>
  <c r="AA61" i="42"/>
  <c r="I19" i="31" s="1"/>
  <c r="X15" i="31" s="1"/>
  <c r="AE22" i="43" s="1"/>
  <c r="G64" i="42"/>
  <c r="I22" i="11" s="1"/>
  <c r="X14" i="11" s="1"/>
  <c r="AC16" i="43" s="1"/>
  <c r="N56" i="42"/>
  <c r="I14" i="18" s="1"/>
  <c r="V58" i="42"/>
  <c r="I16" i="26" s="1"/>
  <c r="X12" i="26" s="1"/>
  <c r="AA30" i="43" s="1"/>
  <c r="B61" i="42"/>
  <c r="I19" i="3" s="1"/>
  <c r="X15" i="3" s="1"/>
  <c r="J63" i="42"/>
  <c r="I21" i="14" s="1"/>
  <c r="X18" i="14" s="1"/>
  <c r="AI34" i="43" s="1"/>
  <c r="R65" i="42"/>
  <c r="I23" i="22" s="1"/>
  <c r="G58" i="42"/>
  <c r="I16" i="11" s="1"/>
  <c r="X12" i="11" s="1"/>
  <c r="AA16" i="43" s="1"/>
  <c r="O60" i="42"/>
  <c r="I18" i="19" s="1"/>
  <c r="W62" i="42"/>
  <c r="I20" i="27" s="1"/>
  <c r="X17" i="27" s="1"/>
  <c r="AG10" i="43" s="1"/>
  <c r="C65" i="42"/>
  <c r="B56" i="42"/>
  <c r="I14" i="3" s="1"/>
  <c r="N57" i="42"/>
  <c r="I15" i="18" s="1"/>
  <c r="X11" i="18" s="1"/>
  <c r="Y25" i="43" s="1"/>
  <c r="R58" i="42"/>
  <c r="I16" i="22" s="1"/>
  <c r="X12" i="22" s="1"/>
  <c r="AA19" i="43" s="1"/>
  <c r="V59" i="42"/>
  <c r="I17" i="26" s="1"/>
  <c r="Z60" i="42"/>
  <c r="I18" i="30" s="1"/>
  <c r="J62" i="42"/>
  <c r="I20" i="14" s="1"/>
  <c r="X17" i="14" s="1"/>
  <c r="AG34" i="43" s="1"/>
  <c r="N63" i="42"/>
  <c r="I21" i="18" s="1"/>
  <c r="X18" i="18" s="1"/>
  <c r="AI25" i="43" s="1"/>
  <c r="R64" i="42"/>
  <c r="I22" i="22" s="1"/>
  <c r="X14" i="22" s="1"/>
  <c r="AC19" i="43" s="1"/>
  <c r="V65" i="42"/>
  <c r="I23" i="26" s="1"/>
  <c r="AA56" i="42"/>
  <c r="I14" i="31" s="1"/>
  <c r="C58" i="42"/>
  <c r="G59" i="42"/>
  <c r="I17" i="11" s="1"/>
  <c r="K60" i="42"/>
  <c r="I18" i="15" s="1"/>
  <c r="O61" i="42"/>
  <c r="I19" i="19" s="1"/>
  <c r="S62" i="42"/>
  <c r="I20" i="23" s="1"/>
  <c r="X17" i="23" s="1"/>
  <c r="AG20" i="43" s="1"/>
  <c r="W63" i="42"/>
  <c r="I21" i="27" s="1"/>
  <c r="X18" i="27" s="1"/>
  <c r="AI10" i="43" s="1"/>
  <c r="AA64" i="42"/>
  <c r="I22" i="31" s="1"/>
  <c r="X14" i="31" s="1"/>
  <c r="AC22" i="43" s="1"/>
  <c r="D56" i="42"/>
  <c r="I14" i="8" s="1"/>
  <c r="T56" i="42"/>
  <c r="I14" i="24" s="1"/>
  <c r="H57" i="42"/>
  <c r="I15" i="12" s="1"/>
  <c r="X11" i="12" s="1"/>
  <c r="Y33" i="43" s="1"/>
  <c r="Y32" i="43" s="1"/>
  <c r="X57" i="42"/>
  <c r="I15" i="28" s="1"/>
  <c r="X11" i="28" s="1"/>
  <c r="Y11" i="43" s="1"/>
  <c r="L58" i="42"/>
  <c r="I16" i="16" s="1"/>
  <c r="X12" i="16" s="1"/>
  <c r="AA35" i="43" s="1"/>
  <c r="AB58" i="42"/>
  <c r="I16" i="32" s="1"/>
  <c r="X12" i="32" s="1"/>
  <c r="AA12" i="43" s="1"/>
  <c r="P59" i="42"/>
  <c r="I17" i="20" s="1"/>
  <c r="D60" i="42"/>
  <c r="I18" i="8" s="1"/>
  <c r="T60" i="42"/>
  <c r="I18" i="24" s="1"/>
  <c r="H61" i="42"/>
  <c r="I19" i="12" s="1"/>
  <c r="X15" i="12" s="1"/>
  <c r="AE33" i="43" s="1"/>
  <c r="X61" i="42"/>
  <c r="I19" i="28" s="1"/>
  <c r="X15" i="28" s="1"/>
  <c r="AE11" i="43" s="1"/>
  <c r="L62" i="42"/>
  <c r="I20" i="16" s="1"/>
  <c r="X17" i="16" s="1"/>
  <c r="AG35" i="43" s="1"/>
  <c r="AB62" i="42"/>
  <c r="I20" i="32" s="1"/>
  <c r="X17" i="32" s="1"/>
  <c r="AG12" i="43" s="1"/>
  <c r="P63" i="42"/>
  <c r="I21" i="20" s="1"/>
  <c r="X18" i="20" s="1"/>
  <c r="AI18" i="43" s="1"/>
  <c r="D64" i="42"/>
  <c r="I22" i="8" s="1"/>
  <c r="X14" i="8" s="1"/>
  <c r="AC7" i="43" s="1"/>
  <c r="T64" i="42"/>
  <c r="I22" i="24" s="1"/>
  <c r="X14" i="24" s="1"/>
  <c r="AC26" i="43" s="1"/>
  <c r="H65" i="42"/>
  <c r="I23" i="12" s="1"/>
  <c r="X65" i="42"/>
  <c r="I23" i="28" s="1"/>
  <c r="M56" i="42"/>
  <c r="I14" i="17" s="1"/>
  <c r="E57" i="42"/>
  <c r="I15" i="9" s="1"/>
  <c r="X11" i="9" s="1"/>
  <c r="Y8" i="43" s="1"/>
  <c r="U57" i="42"/>
  <c r="I15" i="25" s="1"/>
  <c r="X11" i="25" s="1"/>
  <c r="Y21" i="43" s="1"/>
  <c r="M58" i="42"/>
  <c r="I16" i="17" s="1"/>
  <c r="X12" i="17" s="1"/>
  <c r="AA36" i="43" s="1"/>
  <c r="E59" i="42"/>
  <c r="I17" i="9" s="1"/>
  <c r="U59" i="42"/>
  <c r="I17" i="25" s="1"/>
  <c r="M60" i="42"/>
  <c r="I18" i="17" s="1"/>
  <c r="E61" i="42"/>
  <c r="I19" i="9" s="1"/>
  <c r="X15" i="9" s="1"/>
  <c r="AE8" i="43" s="1"/>
  <c r="U61" i="42"/>
  <c r="I19" i="25" s="1"/>
  <c r="X15" i="25" s="1"/>
  <c r="AE21" i="43" s="1"/>
  <c r="M62" i="42"/>
  <c r="I20" i="17" s="1"/>
  <c r="X17" i="17" s="1"/>
  <c r="E63" i="42"/>
  <c r="I21" i="9" s="1"/>
  <c r="X18" i="9" s="1"/>
  <c r="AI8" i="43" s="1"/>
  <c r="U63" i="42"/>
  <c r="I21" i="25" s="1"/>
  <c r="X18" i="25" s="1"/>
  <c r="AI21" i="43" s="1"/>
  <c r="M64" i="42"/>
  <c r="I22" i="17" s="1"/>
  <c r="X14" i="17" s="1"/>
  <c r="AC36" i="43" s="1"/>
  <c r="E65" i="42"/>
  <c r="I23" i="9" s="1"/>
  <c r="J28" i="44"/>
  <c r="J23" i="44"/>
  <c r="J32" i="44"/>
  <c r="J5" i="44"/>
  <c r="I6" i="39"/>
  <c r="I28" i="44"/>
  <c r="I6" i="41"/>
  <c r="AD28" i="34"/>
  <c r="AD31" i="34"/>
  <c r="AD32" i="34"/>
  <c r="AD30" i="37"/>
  <c r="AD49" i="35"/>
  <c r="AD32" i="37"/>
  <c r="I84" i="7"/>
  <c r="AD32" i="35"/>
  <c r="AD31" i="4"/>
  <c r="I33" i="3"/>
  <c r="O42" i="3" s="1"/>
  <c r="AD29" i="35"/>
  <c r="AD27" i="35"/>
  <c r="AD28" i="35"/>
  <c r="I80" i="7"/>
  <c r="AD29" i="37"/>
  <c r="AD49" i="4"/>
  <c r="AD30" i="4"/>
  <c r="AD30" i="35"/>
  <c r="AD27" i="4"/>
  <c r="AD31" i="37"/>
  <c r="AD32" i="4"/>
  <c r="AD28" i="37"/>
  <c r="AD29" i="4"/>
  <c r="I31" i="3"/>
  <c r="AD28" i="4"/>
  <c r="I32" i="41" l="1"/>
  <c r="L51" i="37"/>
  <c r="U58" i="37" s="1"/>
  <c r="I115" i="25" s="1"/>
  <c r="X111" i="25" s="1"/>
  <c r="AA21" i="44" s="1"/>
  <c r="J20" i="9"/>
  <c r="J19" i="17"/>
  <c r="I28" i="39"/>
  <c r="I13" i="39"/>
  <c r="I23" i="39"/>
  <c r="I32" i="39"/>
  <c r="J28" i="41"/>
  <c r="Z67" i="42"/>
  <c r="J15" i="14"/>
  <c r="J22" i="32"/>
  <c r="J19" i="23"/>
  <c r="J22" i="15"/>
  <c r="J22" i="18"/>
  <c r="J19" i="30"/>
  <c r="J21" i="17"/>
  <c r="J21" i="12"/>
  <c r="J16" i="23"/>
  <c r="W67" i="42"/>
  <c r="X67" i="42"/>
  <c r="J21" i="31"/>
  <c r="J16" i="3"/>
  <c r="AD61" i="42"/>
  <c r="J22" i="3"/>
  <c r="J20" i="25"/>
  <c r="H67" i="42"/>
  <c r="D67" i="42"/>
  <c r="J20" i="30"/>
  <c r="K67" i="42"/>
  <c r="T67" i="42"/>
  <c r="S67" i="42"/>
  <c r="L67" i="42"/>
  <c r="J21" i="11"/>
  <c r="J22" i="10"/>
  <c r="J19" i="18"/>
  <c r="J16" i="19"/>
  <c r="J15" i="22"/>
  <c r="F67" i="42"/>
  <c r="J22" i="9"/>
  <c r="J21" i="28"/>
  <c r="J15" i="20"/>
  <c r="J15" i="17"/>
  <c r="J67" i="42"/>
  <c r="B67" i="42"/>
  <c r="P67" i="42"/>
  <c r="J16" i="9"/>
  <c r="J16" i="24"/>
  <c r="J22" i="16"/>
  <c r="J20" i="10"/>
  <c r="O67" i="42"/>
  <c r="AD56" i="42"/>
  <c r="AD67" i="42" s="1"/>
  <c r="AB67" i="42"/>
  <c r="J16" i="25"/>
  <c r="R67" i="42"/>
  <c r="J20" i="24"/>
  <c r="J15" i="19"/>
  <c r="J22" i="25"/>
  <c r="I13" i="41"/>
  <c r="J23" i="41"/>
  <c r="J32" i="41"/>
  <c r="J13" i="41"/>
  <c r="AG36" i="43"/>
  <c r="AG33" i="43"/>
  <c r="AG32" i="43" s="1"/>
  <c r="U37" i="3"/>
  <c r="J6" i="41" s="1"/>
  <c r="J5" i="41" s="1"/>
  <c r="R11" i="19"/>
  <c r="X15" i="19"/>
  <c r="AE9" i="43" s="1"/>
  <c r="L7" i="15"/>
  <c r="L9" i="15" s="1"/>
  <c r="J14" i="15" s="1"/>
  <c r="U14" i="15" s="1"/>
  <c r="K17" i="43" s="1"/>
  <c r="L7" i="30"/>
  <c r="L10" i="30" s="1"/>
  <c r="J17" i="30" s="1"/>
  <c r="U18" i="30" s="1"/>
  <c r="P27" i="43" s="1"/>
  <c r="L7" i="3"/>
  <c r="L12" i="3" s="1"/>
  <c r="J23" i="3" s="1"/>
  <c r="U8" i="3" s="1"/>
  <c r="D6" i="43" s="1"/>
  <c r="D5" i="43" s="1"/>
  <c r="D4" i="43" s="1"/>
  <c r="L7" i="19"/>
  <c r="L11" i="19" s="1"/>
  <c r="J18" i="19" s="1"/>
  <c r="X8" i="19" s="1"/>
  <c r="U9" i="43" s="1"/>
  <c r="R11" i="20"/>
  <c r="X14" i="20"/>
  <c r="AC18" i="43" s="1"/>
  <c r="L7" i="32"/>
  <c r="L10" i="32" s="1"/>
  <c r="J17" i="32" s="1"/>
  <c r="U18" i="32" s="1"/>
  <c r="P12" i="43" s="1"/>
  <c r="L7" i="13"/>
  <c r="L9" i="13" s="1"/>
  <c r="J14" i="13" s="1"/>
  <c r="U14" i="13" s="1"/>
  <c r="K24" i="43" s="1"/>
  <c r="K23" i="43" s="1"/>
  <c r="AD65" i="42"/>
  <c r="E67" i="42"/>
  <c r="C67" i="42"/>
  <c r="AD57" i="42"/>
  <c r="AA67" i="42"/>
  <c r="AD63" i="42"/>
  <c r="AD62" i="42"/>
  <c r="AD64" i="42"/>
  <c r="Y67" i="42"/>
  <c r="G67" i="42"/>
  <c r="AD60" i="42"/>
  <c r="AD59" i="42"/>
  <c r="AD58" i="42"/>
  <c r="I67" i="42"/>
  <c r="U67" i="42"/>
  <c r="R11" i="17"/>
  <c r="L7" i="8"/>
  <c r="L9" i="8" s="1"/>
  <c r="J14" i="8" s="1"/>
  <c r="U14" i="8" s="1"/>
  <c r="K7" i="43" s="1"/>
  <c r="L7" i="22"/>
  <c r="L10" i="22" s="1"/>
  <c r="J17" i="22" s="1"/>
  <c r="U18" i="22" s="1"/>
  <c r="P19" i="43" s="1"/>
  <c r="J22" i="17"/>
  <c r="J19" i="25"/>
  <c r="L7" i="17"/>
  <c r="L11" i="17" s="1"/>
  <c r="J18" i="17" s="1"/>
  <c r="X8" i="17" s="1"/>
  <c r="U36" i="43" s="1"/>
  <c r="J19" i="28"/>
  <c r="J15" i="12"/>
  <c r="J21" i="27"/>
  <c r="J22" i="22"/>
  <c r="I23" i="7"/>
  <c r="L7" i="18"/>
  <c r="L11" i="18" s="1"/>
  <c r="J18" i="18" s="1"/>
  <c r="X8" i="18" s="1"/>
  <c r="U25" i="43" s="1"/>
  <c r="J15" i="15"/>
  <c r="R11" i="15"/>
  <c r="J16" i="18"/>
  <c r="J22" i="13"/>
  <c r="J19" i="21"/>
  <c r="J16" i="29"/>
  <c r="J21" i="32"/>
  <c r="J19" i="24"/>
  <c r="J21" i="19"/>
  <c r="J16" i="31"/>
  <c r="J22" i="14"/>
  <c r="J22" i="19"/>
  <c r="J15" i="30"/>
  <c r="R11" i="30"/>
  <c r="L7" i="25"/>
  <c r="L10" i="25" s="1"/>
  <c r="J17" i="25" s="1"/>
  <c r="U18" i="25" s="1"/>
  <c r="P21" i="43" s="1"/>
  <c r="J20" i="7"/>
  <c r="L7" i="11"/>
  <c r="L9" i="11" s="1"/>
  <c r="J14" i="11" s="1"/>
  <c r="U14" i="11" s="1"/>
  <c r="K16" i="43" s="1"/>
  <c r="J22" i="21"/>
  <c r="J19" i="29"/>
  <c r="Q67" i="42"/>
  <c r="I14" i="21"/>
  <c r="J22" i="12"/>
  <c r="J19" i="32"/>
  <c r="J15" i="16"/>
  <c r="R11" i="16"/>
  <c r="I22" i="7"/>
  <c r="X14" i="7" s="1"/>
  <c r="AC14" i="43" s="1"/>
  <c r="AC13" i="43" s="1"/>
  <c r="J22" i="30"/>
  <c r="J15" i="3"/>
  <c r="Y6" i="43"/>
  <c r="R11" i="3"/>
  <c r="J15" i="31"/>
  <c r="R11" i="31"/>
  <c r="J21" i="25"/>
  <c r="J16" i="32"/>
  <c r="I16" i="7"/>
  <c r="X12" i="7" s="1"/>
  <c r="AA14" i="43" s="1"/>
  <c r="J20" i="27"/>
  <c r="L7" i="10"/>
  <c r="L9" i="10" s="1"/>
  <c r="J14" i="10" s="1"/>
  <c r="U14" i="10" s="1"/>
  <c r="K15" i="43" s="1"/>
  <c r="J21" i="21"/>
  <c r="J16" i="13"/>
  <c r="J21" i="16"/>
  <c r="J16" i="28"/>
  <c r="L7" i="20"/>
  <c r="L9" i="20" s="1"/>
  <c r="J14" i="20" s="1"/>
  <c r="U14" i="20" s="1"/>
  <c r="K18" i="43" s="1"/>
  <c r="J20" i="15"/>
  <c r="J15" i="27"/>
  <c r="R11" i="27"/>
  <c r="J21" i="10"/>
  <c r="J16" i="14"/>
  <c r="J20" i="11"/>
  <c r="J20" i="26"/>
  <c r="J21" i="23"/>
  <c r="J22" i="26"/>
  <c r="J20" i="8"/>
  <c r="J21" i="29"/>
  <c r="J19" i="13"/>
  <c r="AE23" i="43"/>
  <c r="J16" i="21"/>
  <c r="J21" i="24"/>
  <c r="J19" i="16"/>
  <c r="J20" i="31"/>
  <c r="J16" i="15"/>
  <c r="J21" i="26"/>
  <c r="J16" i="30"/>
  <c r="J21" i="15"/>
  <c r="J21" i="30"/>
  <c r="J22" i="27"/>
  <c r="V67" i="42"/>
  <c r="I14" i="26"/>
  <c r="J19" i="9"/>
  <c r="J21" i="20"/>
  <c r="L7" i="24"/>
  <c r="L11" i="24" s="1"/>
  <c r="J18" i="24" s="1"/>
  <c r="X8" i="24" s="1"/>
  <c r="U26" i="43" s="1"/>
  <c r="J16" i="22"/>
  <c r="J15" i="8"/>
  <c r="AD34" i="34"/>
  <c r="L51" i="34" s="1"/>
  <c r="Z65" i="34" s="1"/>
  <c r="I72" i="30" s="1"/>
  <c r="N67" i="42"/>
  <c r="J21" i="9"/>
  <c r="J15" i="25"/>
  <c r="R11" i="25"/>
  <c r="J20" i="32"/>
  <c r="J16" i="16"/>
  <c r="J19" i="19"/>
  <c r="L7" i="31"/>
  <c r="L11" i="31" s="1"/>
  <c r="J18" i="31" s="1"/>
  <c r="X8" i="31" s="1"/>
  <c r="U22" i="43" s="1"/>
  <c r="J20" i="14"/>
  <c r="J15" i="18"/>
  <c r="R11" i="18"/>
  <c r="J19" i="3"/>
  <c r="AE6" i="43"/>
  <c r="J19" i="31"/>
  <c r="AI6" i="43"/>
  <c r="J21" i="3"/>
  <c r="L7" i="9"/>
  <c r="L7" i="16"/>
  <c r="L10" i="16" s="1"/>
  <c r="J17" i="16" s="1"/>
  <c r="U18" i="16" s="1"/>
  <c r="P35" i="43" s="1"/>
  <c r="J15" i="7"/>
  <c r="R11" i="14"/>
  <c r="J20" i="29"/>
  <c r="J15" i="21"/>
  <c r="R11" i="21"/>
  <c r="J20" i="28"/>
  <c r="R11" i="12"/>
  <c r="J16" i="12"/>
  <c r="J19" i="11"/>
  <c r="AG6" i="43"/>
  <c r="J20" i="3"/>
  <c r="R11" i="10"/>
  <c r="J15" i="10"/>
  <c r="J19" i="15"/>
  <c r="J20" i="18"/>
  <c r="J21" i="8"/>
  <c r="J21" i="13"/>
  <c r="J15" i="29"/>
  <c r="R11" i="29"/>
  <c r="L7" i="28"/>
  <c r="L10" i="28" s="1"/>
  <c r="J17" i="28" s="1"/>
  <c r="U18" i="28" s="1"/>
  <c r="P11" i="43" s="1"/>
  <c r="J16" i="20"/>
  <c r="L7" i="12"/>
  <c r="L9" i="12" s="1"/>
  <c r="J14" i="12" s="1"/>
  <c r="U14" i="12" s="1"/>
  <c r="K33" i="43" s="1"/>
  <c r="K32" i="43" s="1"/>
  <c r="J19" i="27"/>
  <c r="J15" i="11"/>
  <c r="R11" i="11"/>
  <c r="J20" i="22"/>
  <c r="J15" i="26"/>
  <c r="R11" i="26"/>
  <c r="I19" i="7"/>
  <c r="X15" i="7" s="1"/>
  <c r="AE14" i="43" s="1"/>
  <c r="J19" i="22"/>
  <c r="J20" i="19"/>
  <c r="J21" i="22"/>
  <c r="J16" i="17"/>
  <c r="J19" i="12"/>
  <c r="J20" i="23"/>
  <c r="J21" i="18"/>
  <c r="J21" i="14"/>
  <c r="J22" i="11"/>
  <c r="AD34" i="4"/>
  <c r="L51" i="4" s="1"/>
  <c r="J13" i="44"/>
  <c r="J4" i="44" s="1"/>
  <c r="M67" i="42"/>
  <c r="J23" i="40"/>
  <c r="J20" i="17"/>
  <c r="J15" i="9"/>
  <c r="R11" i="9"/>
  <c r="J22" i="24"/>
  <c r="J20" i="16"/>
  <c r="J15" i="28"/>
  <c r="R11" i="28"/>
  <c r="J22" i="31"/>
  <c r="J16" i="11"/>
  <c r="J16" i="26"/>
  <c r="L7" i="27"/>
  <c r="J22" i="29"/>
  <c r="J20" i="13"/>
  <c r="L7" i="29"/>
  <c r="L11" i="29" s="1"/>
  <c r="J18" i="29" s="1"/>
  <c r="X8" i="29" s="1"/>
  <c r="U31" i="43" s="1"/>
  <c r="J22" i="20"/>
  <c r="J20" i="12"/>
  <c r="J15" i="24"/>
  <c r="R11" i="24"/>
  <c r="J22" i="23"/>
  <c r="I18" i="7"/>
  <c r="J19" i="26"/>
  <c r="J15" i="23"/>
  <c r="R11" i="23"/>
  <c r="J16" i="10"/>
  <c r="I17" i="7"/>
  <c r="R11" i="22"/>
  <c r="J21" i="7"/>
  <c r="J20" i="21"/>
  <c r="J15" i="13"/>
  <c r="R11" i="13"/>
  <c r="J22" i="28"/>
  <c r="J20" i="20"/>
  <c r="J15" i="32"/>
  <c r="R11" i="32"/>
  <c r="L7" i="23"/>
  <c r="L11" i="23" s="1"/>
  <c r="J18" i="23" s="1"/>
  <c r="X8" i="23" s="1"/>
  <c r="U20" i="43" s="1"/>
  <c r="J19" i="10"/>
  <c r="L7" i="14"/>
  <c r="L11" i="14" s="1"/>
  <c r="J18" i="14" s="1"/>
  <c r="X8" i="14" s="1"/>
  <c r="U34" i="43" s="1"/>
  <c r="J16" i="27"/>
  <c r="J19" i="14"/>
  <c r="I23" i="44"/>
  <c r="I32" i="44"/>
  <c r="J32" i="40"/>
  <c r="I5" i="44"/>
  <c r="J5" i="40"/>
  <c r="J28" i="40"/>
  <c r="J13" i="40"/>
  <c r="I23" i="40"/>
  <c r="I5" i="39"/>
  <c r="AB57" i="34"/>
  <c r="I64" i="32" s="1"/>
  <c r="X60" i="32" s="1"/>
  <c r="Y12" i="39" s="1"/>
  <c r="F56" i="37"/>
  <c r="C59" i="37"/>
  <c r="I116" i="7" s="1"/>
  <c r="AA57" i="37"/>
  <c r="I114" i="31" s="1"/>
  <c r="X110" i="31" s="1"/>
  <c r="Y22" i="44" s="1"/>
  <c r="T65" i="37"/>
  <c r="I122" i="24" s="1"/>
  <c r="O57" i="37"/>
  <c r="I114" i="19" s="1"/>
  <c r="X110" i="19" s="1"/>
  <c r="Y9" i="44" s="1"/>
  <c r="M57" i="37"/>
  <c r="I114" i="17" s="1"/>
  <c r="X110" i="17" s="1"/>
  <c r="Y36" i="44" s="1"/>
  <c r="R58" i="37"/>
  <c r="N64" i="37"/>
  <c r="I121" i="18" s="1"/>
  <c r="X113" i="18" s="1"/>
  <c r="AC25" i="44" s="1"/>
  <c r="L59" i="37"/>
  <c r="I116" i="16" s="1"/>
  <c r="O63" i="37"/>
  <c r="I120" i="19" s="1"/>
  <c r="X117" i="19" s="1"/>
  <c r="AI9" i="44" s="1"/>
  <c r="M58" i="37"/>
  <c r="I115" i="17" s="1"/>
  <c r="X111" i="17" s="1"/>
  <c r="AA36" i="44" s="1"/>
  <c r="R63" i="37"/>
  <c r="Q57" i="37"/>
  <c r="I114" i="21" s="1"/>
  <c r="X110" i="21" s="1"/>
  <c r="Y29" i="44" s="1"/>
  <c r="N65" i="37"/>
  <c r="I122" i="18" s="1"/>
  <c r="V60" i="37"/>
  <c r="I117" i="26" s="1"/>
  <c r="E59" i="37"/>
  <c r="I116" i="9" s="1"/>
  <c r="E63" i="37"/>
  <c r="I120" i="9" s="1"/>
  <c r="X117" i="9" s="1"/>
  <c r="AI8" i="44" s="1"/>
  <c r="K56" i="37"/>
  <c r="I57" i="37"/>
  <c r="I114" i="13" s="1"/>
  <c r="X110" i="13" s="1"/>
  <c r="Y24" i="44" s="1"/>
  <c r="Q62" i="37"/>
  <c r="I119" i="21" s="1"/>
  <c r="X116" i="21" s="1"/>
  <c r="AG29" i="44" s="1"/>
  <c r="P61" i="37"/>
  <c r="I118" i="20" s="1"/>
  <c r="X114" i="20" s="1"/>
  <c r="AE18" i="44" s="1"/>
  <c r="E60" i="37"/>
  <c r="I117" i="9" s="1"/>
  <c r="E64" i="37"/>
  <c r="I121" i="9" s="1"/>
  <c r="X113" i="9" s="1"/>
  <c r="AC8" i="44" s="1"/>
  <c r="I58" i="37"/>
  <c r="I115" i="13" s="1"/>
  <c r="X111" i="13" s="1"/>
  <c r="AA24" i="44" s="1"/>
  <c r="I62" i="37"/>
  <c r="I119" i="13" s="1"/>
  <c r="X116" i="13" s="1"/>
  <c r="AG24" i="44" s="1"/>
  <c r="N62" i="37"/>
  <c r="I119" i="18" s="1"/>
  <c r="X116" i="18" s="1"/>
  <c r="AG25" i="44" s="1"/>
  <c r="M59" i="37"/>
  <c r="I116" i="17" s="1"/>
  <c r="E57" i="37"/>
  <c r="I114" i="9" s="1"/>
  <c r="X110" i="9" s="1"/>
  <c r="Y8" i="44" s="1"/>
  <c r="E61" i="37"/>
  <c r="I118" i="9" s="1"/>
  <c r="X114" i="9" s="1"/>
  <c r="AE8" i="44" s="1"/>
  <c r="K64" i="37"/>
  <c r="I121" i="15" s="1"/>
  <c r="X113" i="15" s="1"/>
  <c r="AC17" i="44" s="1"/>
  <c r="I59" i="37"/>
  <c r="I116" i="13" s="1"/>
  <c r="R64" i="37"/>
  <c r="I64" i="37"/>
  <c r="I121" i="13" s="1"/>
  <c r="X113" i="13" s="1"/>
  <c r="AC24" i="44" s="1"/>
  <c r="E56" i="37"/>
  <c r="B58" i="37"/>
  <c r="D65" i="37"/>
  <c r="I122" i="8" s="1"/>
  <c r="C61" i="37"/>
  <c r="I118" i="7" s="1"/>
  <c r="X114" i="7" s="1"/>
  <c r="AE14" i="44" s="1"/>
  <c r="J62" i="37"/>
  <c r="I119" i="14" s="1"/>
  <c r="X116" i="14" s="1"/>
  <c r="AG34" i="44" s="1"/>
  <c r="D58" i="37"/>
  <c r="I115" i="8" s="1"/>
  <c r="X111" i="8" s="1"/>
  <c r="AA7" i="44" s="1"/>
  <c r="B64" i="37"/>
  <c r="D61" i="37"/>
  <c r="I118" i="8" s="1"/>
  <c r="X114" i="8" s="1"/>
  <c r="AE7" i="44" s="1"/>
  <c r="I60" i="37"/>
  <c r="I117" i="13" s="1"/>
  <c r="C63" i="37"/>
  <c r="I120" i="7" s="1"/>
  <c r="X117" i="7" s="1"/>
  <c r="AI14" i="44" s="1"/>
  <c r="B62" i="4"/>
  <c r="B59" i="4"/>
  <c r="B57" i="4"/>
  <c r="E59" i="4"/>
  <c r="I41" i="9" s="1"/>
  <c r="Q59" i="4"/>
  <c r="I41" i="21" s="1"/>
  <c r="W59" i="4"/>
  <c r="I41" i="27" s="1"/>
  <c r="X56" i="4"/>
  <c r="B63" i="4"/>
  <c r="B60" i="4"/>
  <c r="B58" i="4"/>
  <c r="E60" i="4"/>
  <c r="I42" i="9" s="1"/>
  <c r="Q60" i="4"/>
  <c r="I42" i="21" s="1"/>
  <c r="W60" i="4"/>
  <c r="I42" i="27" s="1"/>
  <c r="X59" i="4"/>
  <c r="I41" i="28" s="1"/>
  <c r="E56" i="4"/>
  <c r="E65" i="4"/>
  <c r="I47" i="9" s="1"/>
  <c r="Q56" i="4"/>
  <c r="Q65" i="4"/>
  <c r="I47" i="21" s="1"/>
  <c r="W56" i="4"/>
  <c r="B61" i="4"/>
  <c r="X60" i="4"/>
  <c r="I42" i="28" s="1"/>
  <c r="B65" i="4"/>
  <c r="W65" i="4"/>
  <c r="I47" i="27" s="1"/>
  <c r="B56" i="4"/>
  <c r="B64" i="4"/>
  <c r="X65" i="4"/>
  <c r="I47" i="28" s="1"/>
  <c r="I56" i="4"/>
  <c r="R56" i="4"/>
  <c r="AB56" i="4"/>
  <c r="I57" i="4"/>
  <c r="I39" i="13" s="1"/>
  <c r="X35" i="13" s="1"/>
  <c r="Y24" i="41" s="1"/>
  <c r="Q57" i="4"/>
  <c r="I39" i="21" s="1"/>
  <c r="X35" i="21" s="1"/>
  <c r="Y29" i="41" s="1"/>
  <c r="Y57" i="4"/>
  <c r="I39" i="29" s="1"/>
  <c r="X35" i="29" s="1"/>
  <c r="Y31" i="41" s="1"/>
  <c r="F58" i="4"/>
  <c r="I40" i="10" s="1"/>
  <c r="N58" i="4"/>
  <c r="I40" i="18" s="1"/>
  <c r="V58" i="4"/>
  <c r="I40" i="26" s="1"/>
  <c r="C59" i="4"/>
  <c r="I41" i="7" s="1"/>
  <c r="L59" i="4"/>
  <c r="I41" i="16" s="1"/>
  <c r="U59" i="4"/>
  <c r="I41" i="25" s="1"/>
  <c r="D60" i="4"/>
  <c r="I42" i="8" s="1"/>
  <c r="M60" i="4"/>
  <c r="I42" i="17" s="1"/>
  <c r="V60" i="4"/>
  <c r="I42" i="26" s="1"/>
  <c r="E61" i="4"/>
  <c r="I43" i="9" s="1"/>
  <c r="M61" i="4"/>
  <c r="I43" i="17" s="1"/>
  <c r="U61" i="4"/>
  <c r="I43" i="25" s="1"/>
  <c r="J62" i="4"/>
  <c r="I44" i="14" s="1"/>
  <c r="R62" i="4"/>
  <c r="I44" i="22" s="1"/>
  <c r="Z62" i="4"/>
  <c r="I44" i="30" s="1"/>
  <c r="G63" i="4"/>
  <c r="I45" i="11" s="1"/>
  <c r="O63" i="4"/>
  <c r="I45" i="19" s="1"/>
  <c r="W63" i="4"/>
  <c r="I45" i="27" s="1"/>
  <c r="D64" i="4"/>
  <c r="I46" i="8" s="1"/>
  <c r="L64" i="4"/>
  <c r="I46" i="16" s="1"/>
  <c r="X38" i="16" s="1"/>
  <c r="AC35" i="41" s="1"/>
  <c r="T64" i="4"/>
  <c r="I46" i="24" s="1"/>
  <c r="X38" i="24" s="1"/>
  <c r="AC26" i="41" s="1"/>
  <c r="AB64" i="4"/>
  <c r="I46" i="32" s="1"/>
  <c r="J65" i="4"/>
  <c r="I47" i="14" s="1"/>
  <c r="S65" i="4"/>
  <c r="I47" i="23" s="1"/>
  <c r="J56" i="4"/>
  <c r="S56" i="4"/>
  <c r="I38" i="23" s="1"/>
  <c r="J57" i="4"/>
  <c r="I39" i="14" s="1"/>
  <c r="X35" i="14" s="1"/>
  <c r="Y34" i="41" s="1"/>
  <c r="R57" i="4"/>
  <c r="I39" i="22" s="1"/>
  <c r="X35" i="22" s="1"/>
  <c r="Y19" i="41" s="1"/>
  <c r="Z57" i="4"/>
  <c r="I39" i="30" s="1"/>
  <c r="X35" i="30" s="1"/>
  <c r="Y27" i="41" s="1"/>
  <c r="G58" i="4"/>
  <c r="I40" i="11" s="1"/>
  <c r="O58" i="4"/>
  <c r="I40" i="19" s="1"/>
  <c r="W58" i="4"/>
  <c r="I40" i="27" s="1"/>
  <c r="D59" i="4"/>
  <c r="I41" i="8" s="1"/>
  <c r="M59" i="4"/>
  <c r="I41" i="17" s="1"/>
  <c r="V59" i="4"/>
  <c r="I41" i="26" s="1"/>
  <c r="F60" i="4"/>
  <c r="I42" i="10" s="1"/>
  <c r="N60" i="4"/>
  <c r="I42" i="18" s="1"/>
  <c r="Y60" i="4"/>
  <c r="I42" i="29" s="1"/>
  <c r="F61" i="4"/>
  <c r="I43" i="10" s="1"/>
  <c r="N61" i="4"/>
  <c r="I43" i="18" s="1"/>
  <c r="V61" i="4"/>
  <c r="I43" i="26" s="1"/>
  <c r="C62" i="4"/>
  <c r="I44" i="7" s="1"/>
  <c r="K62" i="4"/>
  <c r="I44" i="15" s="1"/>
  <c r="S62" i="4"/>
  <c r="I44" i="23" s="1"/>
  <c r="X41" i="23" s="1"/>
  <c r="AG20" i="41" s="1"/>
  <c r="AA62" i="4"/>
  <c r="I44" i="31" s="1"/>
  <c r="H63" i="4"/>
  <c r="I45" i="12" s="1"/>
  <c r="P63" i="4"/>
  <c r="I45" i="20" s="1"/>
  <c r="X63" i="4"/>
  <c r="I45" i="28" s="1"/>
  <c r="E64" i="4"/>
  <c r="I46" i="9" s="1"/>
  <c r="M64" i="4"/>
  <c r="I46" i="17" s="1"/>
  <c r="U64" i="4"/>
  <c r="I46" i="25" s="1"/>
  <c r="K65" i="4"/>
  <c r="T65" i="4"/>
  <c r="I47" i="24" s="1"/>
  <c r="K56" i="4"/>
  <c r="T56" i="4"/>
  <c r="I38" i="24" s="1"/>
  <c r="C57" i="4"/>
  <c r="I39" i="7" s="1"/>
  <c r="X35" i="7" s="1"/>
  <c r="Y14" i="41" s="1"/>
  <c r="K57" i="4"/>
  <c r="I39" i="15" s="1"/>
  <c r="X35" i="15" s="1"/>
  <c r="Y17" i="41" s="1"/>
  <c r="S57" i="4"/>
  <c r="I39" i="23" s="1"/>
  <c r="X35" i="23" s="1"/>
  <c r="Y20" i="41" s="1"/>
  <c r="AA57" i="4"/>
  <c r="I39" i="31" s="1"/>
  <c r="X35" i="31" s="1"/>
  <c r="Y22" i="41" s="1"/>
  <c r="H58" i="4"/>
  <c r="I40" i="12" s="1"/>
  <c r="P58" i="4"/>
  <c r="I40" i="20" s="1"/>
  <c r="X58" i="4"/>
  <c r="I40" i="28" s="1"/>
  <c r="F59" i="4"/>
  <c r="I41" i="10" s="1"/>
  <c r="N59" i="4"/>
  <c r="I41" i="18" s="1"/>
  <c r="Y59" i="4"/>
  <c r="I41" i="29" s="1"/>
  <c r="G60" i="4"/>
  <c r="I42" i="11" s="1"/>
  <c r="O60" i="4"/>
  <c r="I42" i="19" s="1"/>
  <c r="Z60" i="4"/>
  <c r="I42" i="30" s="1"/>
  <c r="G61" i="4"/>
  <c r="I43" i="11" s="1"/>
  <c r="O61" i="4"/>
  <c r="I43" i="19" s="1"/>
  <c r="W61" i="4"/>
  <c r="I43" i="27" s="1"/>
  <c r="D62" i="4"/>
  <c r="I44" i="8" s="1"/>
  <c r="L62" i="4"/>
  <c r="I44" i="16" s="1"/>
  <c r="X41" i="16" s="1"/>
  <c r="AG35" i="41" s="1"/>
  <c r="T62" i="4"/>
  <c r="I44" i="24" s="1"/>
  <c r="X41" i="24" s="1"/>
  <c r="AG26" i="41" s="1"/>
  <c r="AB62" i="4"/>
  <c r="I44" i="32" s="1"/>
  <c r="I63" i="4"/>
  <c r="I45" i="13" s="1"/>
  <c r="Q63" i="4"/>
  <c r="I45" i="21" s="1"/>
  <c r="Y63" i="4"/>
  <c r="I45" i="29" s="1"/>
  <c r="F64" i="4"/>
  <c r="I46" i="10" s="1"/>
  <c r="N64" i="4"/>
  <c r="I46" i="18" s="1"/>
  <c r="V64" i="4"/>
  <c r="I46" i="26" s="1"/>
  <c r="C65" i="4"/>
  <c r="I47" i="7" s="1"/>
  <c r="L65" i="4"/>
  <c r="I47" i="16" s="1"/>
  <c r="U65" i="4"/>
  <c r="I47" i="25" s="1"/>
  <c r="C56" i="4"/>
  <c r="L56" i="4"/>
  <c r="I38" i="16" s="1"/>
  <c r="U56" i="4"/>
  <c r="D57" i="4"/>
  <c r="I39" i="8" s="1"/>
  <c r="X35" i="8" s="1"/>
  <c r="Y7" i="41" s="1"/>
  <c r="L57" i="4"/>
  <c r="I39" i="16" s="1"/>
  <c r="X35" i="16" s="1"/>
  <c r="Y35" i="41" s="1"/>
  <c r="T57" i="4"/>
  <c r="I39" i="24" s="1"/>
  <c r="X35" i="24" s="1"/>
  <c r="Y26" i="41" s="1"/>
  <c r="AB57" i="4"/>
  <c r="I39" i="32" s="1"/>
  <c r="X35" i="32" s="1"/>
  <c r="Y12" i="41" s="1"/>
  <c r="I58" i="4"/>
  <c r="I40" i="13" s="1"/>
  <c r="Q58" i="4"/>
  <c r="I40" i="21" s="1"/>
  <c r="Y58" i="4"/>
  <c r="I40" i="29" s="1"/>
  <c r="G59" i="4"/>
  <c r="I41" i="11" s="1"/>
  <c r="O59" i="4"/>
  <c r="I41" i="19" s="1"/>
  <c r="Z59" i="4"/>
  <c r="I41" i="30" s="1"/>
  <c r="H60" i="4"/>
  <c r="I42" i="12" s="1"/>
  <c r="P60" i="4"/>
  <c r="I42" i="20" s="1"/>
  <c r="AA60" i="4"/>
  <c r="I42" i="31" s="1"/>
  <c r="H61" i="4"/>
  <c r="I43" i="12" s="1"/>
  <c r="P61" i="4"/>
  <c r="I43" i="20" s="1"/>
  <c r="X61" i="4"/>
  <c r="I43" i="28" s="1"/>
  <c r="E62" i="4"/>
  <c r="I44" i="9" s="1"/>
  <c r="M62" i="4"/>
  <c r="I44" i="17" s="1"/>
  <c r="U62" i="4"/>
  <c r="I44" i="25" s="1"/>
  <c r="J63" i="4"/>
  <c r="I45" i="14" s="1"/>
  <c r="R63" i="4"/>
  <c r="I45" i="22" s="1"/>
  <c r="Z63" i="4"/>
  <c r="I45" i="30" s="1"/>
  <c r="G64" i="4"/>
  <c r="I46" i="11" s="1"/>
  <c r="O64" i="4"/>
  <c r="I46" i="19" s="1"/>
  <c r="W64" i="4"/>
  <c r="I46" i="27" s="1"/>
  <c r="D65" i="4"/>
  <c r="I47" i="8" s="1"/>
  <c r="M65" i="4"/>
  <c r="I47" i="17" s="1"/>
  <c r="V65" i="4"/>
  <c r="I47" i="26" s="1"/>
  <c r="D56" i="4"/>
  <c r="M56" i="4"/>
  <c r="V56" i="4"/>
  <c r="E57" i="4"/>
  <c r="I39" i="9" s="1"/>
  <c r="X35" i="9" s="1"/>
  <c r="Y8" i="41" s="1"/>
  <c r="M57" i="4"/>
  <c r="I39" i="17" s="1"/>
  <c r="X35" i="17" s="1"/>
  <c r="Y36" i="41" s="1"/>
  <c r="U57" i="4"/>
  <c r="I39" i="25" s="1"/>
  <c r="X35" i="25" s="1"/>
  <c r="Y21" i="41" s="1"/>
  <c r="J58" i="4"/>
  <c r="I40" i="14" s="1"/>
  <c r="R58" i="4"/>
  <c r="I40" i="22" s="1"/>
  <c r="Z58" i="4"/>
  <c r="I40" i="30" s="1"/>
  <c r="H59" i="4"/>
  <c r="I41" i="12" s="1"/>
  <c r="P59" i="4"/>
  <c r="I41" i="20" s="1"/>
  <c r="AA59" i="4"/>
  <c r="I41" i="31" s="1"/>
  <c r="I60" i="4"/>
  <c r="I42" i="13" s="1"/>
  <c r="R60" i="4"/>
  <c r="I42" i="22" s="1"/>
  <c r="AB60" i="4"/>
  <c r="I42" i="32" s="1"/>
  <c r="I61" i="4"/>
  <c r="I43" i="13" s="1"/>
  <c r="Q61" i="4"/>
  <c r="I43" i="21" s="1"/>
  <c r="Y61" i="4"/>
  <c r="I43" i="29" s="1"/>
  <c r="F62" i="4"/>
  <c r="I44" i="10" s="1"/>
  <c r="N62" i="4"/>
  <c r="I44" i="18" s="1"/>
  <c r="V62" i="4"/>
  <c r="I44" i="26" s="1"/>
  <c r="C63" i="4"/>
  <c r="I45" i="7" s="1"/>
  <c r="K63" i="4"/>
  <c r="I45" i="15" s="1"/>
  <c r="S63" i="4"/>
  <c r="I45" i="23" s="1"/>
  <c r="X42" i="23" s="1"/>
  <c r="AI20" i="41" s="1"/>
  <c r="AA63" i="4"/>
  <c r="I45" i="31" s="1"/>
  <c r="H64" i="4"/>
  <c r="I46" i="12" s="1"/>
  <c r="P64" i="4"/>
  <c r="I46" i="20" s="1"/>
  <c r="X64" i="4"/>
  <c r="I46" i="28" s="1"/>
  <c r="F65" i="4"/>
  <c r="I47" i="10" s="1"/>
  <c r="N65" i="4"/>
  <c r="I47" i="18" s="1"/>
  <c r="Y65" i="4"/>
  <c r="I47" i="29" s="1"/>
  <c r="F56" i="4"/>
  <c r="N56" i="4"/>
  <c r="Y56" i="4"/>
  <c r="F57" i="4"/>
  <c r="I39" i="10" s="1"/>
  <c r="X35" i="10" s="1"/>
  <c r="Y15" i="41" s="1"/>
  <c r="N57" i="4"/>
  <c r="I39" i="18" s="1"/>
  <c r="X35" i="18" s="1"/>
  <c r="Y25" i="41" s="1"/>
  <c r="V57" i="4"/>
  <c r="I39" i="26" s="1"/>
  <c r="X35" i="26" s="1"/>
  <c r="Y30" i="41" s="1"/>
  <c r="C58" i="4"/>
  <c r="I40" i="7" s="1"/>
  <c r="K58" i="4"/>
  <c r="I40" i="15" s="1"/>
  <c r="S58" i="4"/>
  <c r="I40" i="23" s="1"/>
  <c r="X36" i="23" s="1"/>
  <c r="AA20" i="41" s="1"/>
  <c r="AA58" i="4"/>
  <c r="I40" i="31" s="1"/>
  <c r="I59" i="4"/>
  <c r="I41" i="13" s="1"/>
  <c r="R59" i="4"/>
  <c r="I41" i="22" s="1"/>
  <c r="AB59" i="4"/>
  <c r="I41" i="32" s="1"/>
  <c r="J60" i="4"/>
  <c r="I42" i="14" s="1"/>
  <c r="S60" i="4"/>
  <c r="I42" i="23" s="1"/>
  <c r="J61" i="4"/>
  <c r="I43" i="14" s="1"/>
  <c r="R61" i="4"/>
  <c r="I43" i="22" s="1"/>
  <c r="Z61" i="4"/>
  <c r="I43" i="30" s="1"/>
  <c r="G62" i="4"/>
  <c r="I44" i="11" s="1"/>
  <c r="O62" i="4"/>
  <c r="I44" i="19" s="1"/>
  <c r="W62" i="4"/>
  <c r="I44" i="27" s="1"/>
  <c r="D63" i="4"/>
  <c r="I45" i="8" s="1"/>
  <c r="L63" i="4"/>
  <c r="I45" i="16" s="1"/>
  <c r="X42" i="16" s="1"/>
  <c r="AI35" i="41" s="1"/>
  <c r="T63" i="4"/>
  <c r="I45" i="24" s="1"/>
  <c r="X42" i="24" s="1"/>
  <c r="AI26" i="41" s="1"/>
  <c r="AB63" i="4"/>
  <c r="I45" i="32" s="1"/>
  <c r="I64" i="4"/>
  <c r="I46" i="13" s="1"/>
  <c r="Q64" i="4"/>
  <c r="I46" i="21" s="1"/>
  <c r="Y64" i="4"/>
  <c r="I46" i="29" s="1"/>
  <c r="G65" i="4"/>
  <c r="I47" i="11" s="1"/>
  <c r="O65" i="4"/>
  <c r="I47" i="19" s="1"/>
  <c r="Z65" i="4"/>
  <c r="I47" i="30" s="1"/>
  <c r="P56" i="4"/>
  <c r="X57" i="4"/>
  <c r="I39" i="28" s="1"/>
  <c r="X35" i="28" s="1"/>
  <c r="Y11" i="41" s="1"/>
  <c r="L60" i="4"/>
  <c r="I42" i="16" s="1"/>
  <c r="T61" i="4"/>
  <c r="I43" i="24" s="1"/>
  <c r="X39" i="24" s="1"/>
  <c r="AE26" i="41" s="1"/>
  <c r="Y62" i="4"/>
  <c r="I44" i="29" s="1"/>
  <c r="C64" i="4"/>
  <c r="I46" i="7" s="1"/>
  <c r="I65" i="4"/>
  <c r="I47" i="13" s="1"/>
  <c r="Z56" i="4"/>
  <c r="D58" i="4"/>
  <c r="I40" i="8" s="1"/>
  <c r="J59" i="4"/>
  <c r="I41" i="14" s="1"/>
  <c r="T60" i="4"/>
  <c r="I42" i="24" s="1"/>
  <c r="AA61" i="4"/>
  <c r="I43" i="31" s="1"/>
  <c r="E63" i="4"/>
  <c r="I45" i="9" s="1"/>
  <c r="J64" i="4"/>
  <c r="I46" i="14" s="1"/>
  <c r="P65" i="4"/>
  <c r="I47" i="20" s="1"/>
  <c r="AA56" i="4"/>
  <c r="E58" i="4"/>
  <c r="I40" i="9" s="1"/>
  <c r="K59" i="4"/>
  <c r="I41" i="15" s="1"/>
  <c r="U60" i="4"/>
  <c r="I42" i="25" s="1"/>
  <c r="AB61" i="4"/>
  <c r="I43" i="32" s="1"/>
  <c r="F63" i="4"/>
  <c r="I45" i="10" s="1"/>
  <c r="K64" i="4"/>
  <c r="I46" i="15" s="1"/>
  <c r="R65" i="4"/>
  <c r="I47" i="22" s="1"/>
  <c r="G57" i="4"/>
  <c r="I39" i="11" s="1"/>
  <c r="X35" i="11" s="1"/>
  <c r="Y16" i="41" s="1"/>
  <c r="L58" i="4"/>
  <c r="I40" i="16" s="1"/>
  <c r="X36" i="16" s="1"/>
  <c r="AA35" i="41" s="1"/>
  <c r="S59" i="4"/>
  <c r="I41" i="23" s="1"/>
  <c r="C61" i="4"/>
  <c r="I43" i="7" s="1"/>
  <c r="H62" i="4"/>
  <c r="I44" i="12" s="1"/>
  <c r="M63" i="4"/>
  <c r="I45" i="17" s="1"/>
  <c r="R64" i="4"/>
  <c r="I46" i="22" s="1"/>
  <c r="AA65" i="4"/>
  <c r="I47" i="31" s="1"/>
  <c r="H57" i="4"/>
  <c r="I39" i="12" s="1"/>
  <c r="X35" i="12" s="1"/>
  <c r="Y33" i="41" s="1"/>
  <c r="M58" i="4"/>
  <c r="I40" i="17" s="1"/>
  <c r="T59" i="4"/>
  <c r="I41" i="24" s="1"/>
  <c r="D61" i="4"/>
  <c r="I43" i="8" s="1"/>
  <c r="I62" i="4"/>
  <c r="I44" i="13" s="1"/>
  <c r="N63" i="4"/>
  <c r="I45" i="18" s="1"/>
  <c r="S64" i="4"/>
  <c r="I46" i="23" s="1"/>
  <c r="X38" i="23" s="1"/>
  <c r="AC20" i="41" s="1"/>
  <c r="AB65" i="4"/>
  <c r="I47" i="32" s="1"/>
  <c r="G56" i="4"/>
  <c r="O57" i="4"/>
  <c r="I39" i="19" s="1"/>
  <c r="X35" i="19" s="1"/>
  <c r="Y9" i="41" s="1"/>
  <c r="T58" i="4"/>
  <c r="I40" i="24" s="1"/>
  <c r="X36" i="24" s="1"/>
  <c r="AA26" i="41" s="1"/>
  <c r="K61" i="4"/>
  <c r="I43" i="15" s="1"/>
  <c r="P62" i="4"/>
  <c r="I44" i="20" s="1"/>
  <c r="U63" i="4"/>
  <c r="I45" i="25" s="1"/>
  <c r="Z64" i="4"/>
  <c r="I46" i="30" s="1"/>
  <c r="W57" i="4"/>
  <c r="I39" i="27" s="1"/>
  <c r="X35" i="27" s="1"/>
  <c r="Y10" i="41" s="1"/>
  <c r="X62" i="4"/>
  <c r="I44" i="28" s="1"/>
  <c r="U58" i="4"/>
  <c r="I40" i="25" s="1"/>
  <c r="V63" i="4"/>
  <c r="I45" i="26" s="1"/>
  <c r="AB58" i="4"/>
  <c r="I40" i="32" s="1"/>
  <c r="C60" i="4"/>
  <c r="I42" i="7" s="1"/>
  <c r="AA64" i="4"/>
  <c r="I46" i="31" s="1"/>
  <c r="K60" i="4"/>
  <c r="I42" i="15" s="1"/>
  <c r="H65" i="4"/>
  <c r="I47" i="12" s="1"/>
  <c r="O56" i="4"/>
  <c r="S61" i="4"/>
  <c r="I43" i="23" s="1"/>
  <c r="X39" i="23" s="1"/>
  <c r="AE20" i="41" s="1"/>
  <c r="H56" i="4"/>
  <c r="L61" i="4"/>
  <c r="I43" i="16" s="1"/>
  <c r="X39" i="16" s="1"/>
  <c r="AE35" i="41" s="1"/>
  <c r="Q62" i="4"/>
  <c r="I44" i="21" s="1"/>
  <c r="P57" i="4"/>
  <c r="I39" i="20" s="1"/>
  <c r="X35" i="20" s="1"/>
  <c r="Y18" i="41" s="1"/>
  <c r="AD34" i="35"/>
  <c r="L51" i="35" s="1"/>
  <c r="U61" i="37" l="1"/>
  <c r="I118" i="25" s="1"/>
  <c r="X114" i="25" s="1"/>
  <c r="AE21" i="44" s="1"/>
  <c r="L12" i="19"/>
  <c r="J23" i="19" s="1"/>
  <c r="U8" i="19" s="1"/>
  <c r="D9" i="43" s="1"/>
  <c r="L11" i="22"/>
  <c r="J18" i="22" s="1"/>
  <c r="X8" i="22" s="1"/>
  <c r="U19" i="43" s="1"/>
  <c r="B60" i="34"/>
  <c r="G60" i="34"/>
  <c r="I67" i="11" s="1"/>
  <c r="F58" i="34"/>
  <c r="I65" i="10" s="1"/>
  <c r="X61" i="10" s="1"/>
  <c r="AA15" i="39" s="1"/>
  <c r="L65" i="34"/>
  <c r="I72" i="16" s="1"/>
  <c r="P56" i="34"/>
  <c r="I63" i="20" s="1"/>
  <c r="S57" i="34"/>
  <c r="I64" i="23" s="1"/>
  <c r="X60" i="23" s="1"/>
  <c r="Y20" i="39" s="1"/>
  <c r="Y63" i="34"/>
  <c r="I70" i="29" s="1"/>
  <c r="X67" i="29" s="1"/>
  <c r="AI31" i="39" s="1"/>
  <c r="AI28" i="39" s="1"/>
  <c r="T62" i="34"/>
  <c r="I69" i="24" s="1"/>
  <c r="X66" i="24" s="1"/>
  <c r="AG26" i="39" s="1"/>
  <c r="E60" i="34"/>
  <c r="I67" i="9" s="1"/>
  <c r="Z62" i="37"/>
  <c r="I119" i="30" s="1"/>
  <c r="X116" i="30" s="1"/>
  <c r="AG27" i="44" s="1"/>
  <c r="Z59" i="37"/>
  <c r="I116" i="30" s="1"/>
  <c r="AB63" i="37"/>
  <c r="I120" i="32" s="1"/>
  <c r="X117" i="32" s="1"/>
  <c r="AI12" i="44" s="1"/>
  <c r="R62" i="37"/>
  <c r="I94" i="22" s="1"/>
  <c r="Y62" i="37"/>
  <c r="I119" i="29" s="1"/>
  <c r="X116" i="29" s="1"/>
  <c r="AG31" i="44" s="1"/>
  <c r="L62" i="37"/>
  <c r="I119" i="16" s="1"/>
  <c r="X116" i="16" s="1"/>
  <c r="AG35" i="44" s="1"/>
  <c r="X63" i="37"/>
  <c r="I120" i="28" s="1"/>
  <c r="X117" i="28" s="1"/>
  <c r="AI11" i="44" s="1"/>
  <c r="R61" i="37"/>
  <c r="I93" i="22" s="1"/>
  <c r="X89" i="22" s="1"/>
  <c r="AE19" i="40" s="1"/>
  <c r="AB57" i="37"/>
  <c r="I114" i="32" s="1"/>
  <c r="X110" i="32" s="1"/>
  <c r="Y12" i="44" s="1"/>
  <c r="AA60" i="37"/>
  <c r="I117" i="31" s="1"/>
  <c r="AA61" i="37"/>
  <c r="I118" i="31" s="1"/>
  <c r="X114" i="31" s="1"/>
  <c r="AE22" i="44" s="1"/>
  <c r="Z63" i="37"/>
  <c r="I120" i="30" s="1"/>
  <c r="X117" i="30" s="1"/>
  <c r="AI27" i="44" s="1"/>
  <c r="U62" i="37"/>
  <c r="I119" i="25" s="1"/>
  <c r="X116" i="25" s="1"/>
  <c r="AG21" i="44" s="1"/>
  <c r="V57" i="37"/>
  <c r="I114" i="26" s="1"/>
  <c r="X110" i="26" s="1"/>
  <c r="Y30" i="44" s="1"/>
  <c r="W60" i="37"/>
  <c r="I117" i="27" s="1"/>
  <c r="Z61" i="37"/>
  <c r="I118" i="30" s="1"/>
  <c r="X114" i="30" s="1"/>
  <c r="AE27" i="44" s="1"/>
  <c r="W57" i="37"/>
  <c r="I114" i="27" s="1"/>
  <c r="X110" i="27" s="1"/>
  <c r="Y10" i="44" s="1"/>
  <c r="AB58" i="37"/>
  <c r="I115" i="32" s="1"/>
  <c r="X111" i="32" s="1"/>
  <c r="AA12" i="44" s="1"/>
  <c r="U65" i="37"/>
  <c r="I122" i="25" s="1"/>
  <c r="O61" i="37"/>
  <c r="I118" i="19" s="1"/>
  <c r="X114" i="19" s="1"/>
  <c r="AE9" i="44" s="1"/>
  <c r="R65" i="37"/>
  <c r="I97" i="22" s="1"/>
  <c r="L56" i="37"/>
  <c r="M61" i="37"/>
  <c r="I118" i="17" s="1"/>
  <c r="X114" i="17" s="1"/>
  <c r="AE36" i="44" s="1"/>
  <c r="R56" i="37"/>
  <c r="I113" i="22" s="1"/>
  <c r="L63" i="37"/>
  <c r="I120" i="16" s="1"/>
  <c r="X117" i="16" s="1"/>
  <c r="AI35" i="44" s="1"/>
  <c r="M62" i="37"/>
  <c r="I119" i="17" s="1"/>
  <c r="X116" i="17" s="1"/>
  <c r="AG36" i="44" s="1"/>
  <c r="Q61" i="37"/>
  <c r="I118" i="21" s="1"/>
  <c r="X114" i="21" s="1"/>
  <c r="AE29" i="44" s="1"/>
  <c r="Q58" i="37"/>
  <c r="I115" i="21" s="1"/>
  <c r="X111" i="21" s="1"/>
  <c r="AA29" i="44" s="1"/>
  <c r="Y56" i="37"/>
  <c r="I113" i="29" s="1"/>
  <c r="I61" i="37"/>
  <c r="I118" i="13" s="1"/>
  <c r="X114" i="13" s="1"/>
  <c r="AE24" i="44" s="1"/>
  <c r="N58" i="37"/>
  <c r="I115" i="18" s="1"/>
  <c r="X111" i="18" s="1"/>
  <c r="AA25" i="44" s="1"/>
  <c r="D59" i="37"/>
  <c r="I116" i="8" s="1"/>
  <c r="I56" i="37"/>
  <c r="I113" i="13" s="1"/>
  <c r="L65" i="37"/>
  <c r="I122" i="16" s="1"/>
  <c r="E65" i="37"/>
  <c r="I122" i="9" s="1"/>
  <c r="I63" i="37"/>
  <c r="I120" i="13" s="1"/>
  <c r="X117" i="13" s="1"/>
  <c r="AI24" i="44" s="1"/>
  <c r="G61" i="37"/>
  <c r="I118" i="11" s="1"/>
  <c r="X114" i="11" s="1"/>
  <c r="AE16" i="44" s="1"/>
  <c r="B62" i="37"/>
  <c r="I119" i="3" s="1"/>
  <c r="L57" i="37"/>
  <c r="I114" i="16" s="1"/>
  <c r="X110" i="16" s="1"/>
  <c r="Y35" i="44" s="1"/>
  <c r="D56" i="37"/>
  <c r="I113" i="8" s="1"/>
  <c r="N56" i="37"/>
  <c r="I113" i="18" s="1"/>
  <c r="B61" i="37"/>
  <c r="I118" i="3" s="1"/>
  <c r="Y64" i="37"/>
  <c r="I121" i="29" s="1"/>
  <c r="X113" i="29" s="1"/>
  <c r="AC31" i="44" s="1"/>
  <c r="U63" i="37"/>
  <c r="I120" i="25" s="1"/>
  <c r="X117" i="25" s="1"/>
  <c r="AI21" i="44" s="1"/>
  <c r="W58" i="37"/>
  <c r="I115" i="27" s="1"/>
  <c r="X111" i="27" s="1"/>
  <c r="AA10" i="44" s="1"/>
  <c r="Z57" i="37"/>
  <c r="I114" i="30" s="1"/>
  <c r="X110" i="30" s="1"/>
  <c r="Y27" i="44" s="1"/>
  <c r="Y65" i="37"/>
  <c r="I122" i="29" s="1"/>
  <c r="G58" i="37"/>
  <c r="I115" i="11" s="1"/>
  <c r="X111" i="11" s="1"/>
  <c r="AA16" i="44" s="1"/>
  <c r="J65" i="37"/>
  <c r="I122" i="14" s="1"/>
  <c r="C64" i="37"/>
  <c r="I121" i="7" s="1"/>
  <c r="X113" i="7" s="1"/>
  <c r="AC14" i="44" s="1"/>
  <c r="K65" i="37"/>
  <c r="I122" i="15" s="1"/>
  <c r="F65" i="37"/>
  <c r="I122" i="10" s="1"/>
  <c r="T60" i="37"/>
  <c r="I117" i="24" s="1"/>
  <c r="V63" i="37"/>
  <c r="I120" i="26" s="1"/>
  <c r="X117" i="26" s="1"/>
  <c r="AI30" i="44" s="1"/>
  <c r="Y58" i="37"/>
  <c r="I115" i="29" s="1"/>
  <c r="X111" i="29" s="1"/>
  <c r="AA31" i="44" s="1"/>
  <c r="X62" i="37"/>
  <c r="I119" i="28" s="1"/>
  <c r="X116" i="28" s="1"/>
  <c r="AG11" i="44" s="1"/>
  <c r="G62" i="37"/>
  <c r="I119" i="11" s="1"/>
  <c r="X116" i="11" s="1"/>
  <c r="AG16" i="44" s="1"/>
  <c r="R60" i="37"/>
  <c r="I92" i="22" s="1"/>
  <c r="H65" i="37"/>
  <c r="I122" i="12" s="1"/>
  <c r="H61" i="37"/>
  <c r="I118" i="12" s="1"/>
  <c r="X114" i="12" s="1"/>
  <c r="AE33" i="44" s="1"/>
  <c r="P60" i="37"/>
  <c r="I117" i="20" s="1"/>
  <c r="W59" i="37"/>
  <c r="I116" i="27" s="1"/>
  <c r="AB62" i="37"/>
  <c r="I119" i="32" s="1"/>
  <c r="X116" i="32" s="1"/>
  <c r="AG12" i="44" s="1"/>
  <c r="T57" i="37"/>
  <c r="I114" i="24" s="1"/>
  <c r="X110" i="24" s="1"/>
  <c r="Y26" i="44" s="1"/>
  <c r="V64" i="37"/>
  <c r="I121" i="26" s="1"/>
  <c r="X113" i="26" s="1"/>
  <c r="AC30" i="44" s="1"/>
  <c r="X58" i="37"/>
  <c r="I115" i="28" s="1"/>
  <c r="X111" i="28" s="1"/>
  <c r="AA11" i="44" s="1"/>
  <c r="R59" i="37"/>
  <c r="I91" i="22" s="1"/>
  <c r="G56" i="37"/>
  <c r="I113" i="11" s="1"/>
  <c r="H64" i="37"/>
  <c r="I121" i="12" s="1"/>
  <c r="X113" i="12" s="1"/>
  <c r="AC33" i="44" s="1"/>
  <c r="F58" i="37"/>
  <c r="I115" i="10" s="1"/>
  <c r="X111" i="10" s="1"/>
  <c r="AA15" i="44" s="1"/>
  <c r="B57" i="37"/>
  <c r="I114" i="3" s="1"/>
  <c r="X110" i="3" s="1"/>
  <c r="Y6" i="44" s="1"/>
  <c r="AB64" i="37"/>
  <c r="I121" i="32" s="1"/>
  <c r="X113" i="32" s="1"/>
  <c r="AC12" i="44" s="1"/>
  <c r="AA63" i="37"/>
  <c r="I120" i="31" s="1"/>
  <c r="X117" i="31" s="1"/>
  <c r="AI22" i="44" s="1"/>
  <c r="T61" i="37"/>
  <c r="I118" i="24" s="1"/>
  <c r="X114" i="24" s="1"/>
  <c r="AE26" i="44" s="1"/>
  <c r="L58" i="37"/>
  <c r="I115" i="16" s="1"/>
  <c r="X111" i="16" s="1"/>
  <c r="AA35" i="44" s="1"/>
  <c r="AB61" i="37"/>
  <c r="I118" i="32" s="1"/>
  <c r="X114" i="32" s="1"/>
  <c r="AE12" i="44" s="1"/>
  <c r="AA64" i="37"/>
  <c r="I121" i="31" s="1"/>
  <c r="X113" i="31" s="1"/>
  <c r="AC22" i="44" s="1"/>
  <c r="AA65" i="37"/>
  <c r="I122" i="31" s="1"/>
  <c r="C56" i="37"/>
  <c r="U56" i="37"/>
  <c r="I113" i="25" s="1"/>
  <c r="V61" i="37"/>
  <c r="I118" i="26" s="1"/>
  <c r="X114" i="26" s="1"/>
  <c r="AE30" i="44" s="1"/>
  <c r="W64" i="37"/>
  <c r="I121" i="27" s="1"/>
  <c r="X113" i="27" s="1"/>
  <c r="AC10" i="44" s="1"/>
  <c r="Y57" i="37"/>
  <c r="I114" i="29" s="1"/>
  <c r="X110" i="29" s="1"/>
  <c r="Y31" i="44" s="1"/>
  <c r="W61" i="37"/>
  <c r="I118" i="27" s="1"/>
  <c r="X114" i="27" s="1"/>
  <c r="AE10" i="44" s="1"/>
  <c r="AB56" i="37"/>
  <c r="I113" i="32" s="1"/>
  <c r="T58" i="37"/>
  <c r="I115" i="24" s="1"/>
  <c r="X111" i="24" s="1"/>
  <c r="AA26" i="44" s="1"/>
  <c r="O65" i="37"/>
  <c r="I122" i="19" s="1"/>
  <c r="Q59" i="37"/>
  <c r="I116" i="21" s="1"/>
  <c r="X57" i="37"/>
  <c r="I114" i="28" s="1"/>
  <c r="X110" i="28" s="1"/>
  <c r="Y11" i="44" s="1"/>
  <c r="M65" i="37"/>
  <c r="I122" i="17" s="1"/>
  <c r="Q60" i="37"/>
  <c r="I117" i="21" s="1"/>
  <c r="AB59" i="37"/>
  <c r="I116" i="32" s="1"/>
  <c r="M56" i="37"/>
  <c r="Q65" i="37"/>
  <c r="I122" i="21" s="1"/>
  <c r="J59" i="37"/>
  <c r="I116" i="14" s="1"/>
  <c r="S58" i="37"/>
  <c r="I115" i="23" s="1"/>
  <c r="X111" i="23" s="1"/>
  <c r="AA20" i="44" s="1"/>
  <c r="I65" i="37"/>
  <c r="I122" i="13" s="1"/>
  <c r="L64" i="37"/>
  <c r="I121" i="16" s="1"/>
  <c r="X113" i="16" s="1"/>
  <c r="AC35" i="44" s="1"/>
  <c r="D63" i="37"/>
  <c r="I120" i="8" s="1"/>
  <c r="X117" i="8" s="1"/>
  <c r="AI7" i="44" s="1"/>
  <c r="F62" i="37"/>
  <c r="I119" i="10" s="1"/>
  <c r="X116" i="10" s="1"/>
  <c r="AG15" i="44" s="1"/>
  <c r="J57" i="37"/>
  <c r="I114" i="14" s="1"/>
  <c r="X110" i="14" s="1"/>
  <c r="Y34" i="44" s="1"/>
  <c r="D60" i="37"/>
  <c r="I117" i="8" s="1"/>
  <c r="F57" i="37"/>
  <c r="I114" i="10" s="1"/>
  <c r="X110" i="10" s="1"/>
  <c r="Y15" i="44" s="1"/>
  <c r="D62" i="37"/>
  <c r="I119" i="8" s="1"/>
  <c r="X116" i="8" s="1"/>
  <c r="AG7" i="44" s="1"/>
  <c r="B56" i="37"/>
  <c r="I113" i="3" s="1"/>
  <c r="K57" i="37"/>
  <c r="I114" i="15" s="1"/>
  <c r="X110" i="15" s="1"/>
  <c r="Y17" i="44" s="1"/>
  <c r="C62" i="37"/>
  <c r="I119" i="7" s="1"/>
  <c r="X116" i="7" s="1"/>
  <c r="AG14" i="44" s="1"/>
  <c r="E62" i="37"/>
  <c r="I119" i="9" s="1"/>
  <c r="X116" i="9" s="1"/>
  <c r="AG8" i="44" s="1"/>
  <c r="B65" i="37"/>
  <c r="I122" i="3" s="1"/>
  <c r="Y63" i="37"/>
  <c r="I120" i="29" s="1"/>
  <c r="X117" i="29" s="1"/>
  <c r="AI31" i="44" s="1"/>
  <c r="Z56" i="37"/>
  <c r="I113" i="30" s="1"/>
  <c r="T63" i="37"/>
  <c r="I120" i="24" s="1"/>
  <c r="X117" i="24" s="1"/>
  <c r="AI26" i="44" s="1"/>
  <c r="X64" i="37"/>
  <c r="I121" i="28" s="1"/>
  <c r="X113" i="28" s="1"/>
  <c r="AC11" i="44" s="1"/>
  <c r="T56" i="37"/>
  <c r="I113" i="24" s="1"/>
  <c r="M64" i="37"/>
  <c r="I121" i="17" s="1"/>
  <c r="X113" i="17" s="1"/>
  <c r="AC36" i="44" s="1"/>
  <c r="S64" i="37"/>
  <c r="I121" i="23" s="1"/>
  <c r="X113" i="23" s="1"/>
  <c r="AC20" i="44" s="1"/>
  <c r="P57" i="37"/>
  <c r="I114" i="20" s="1"/>
  <c r="X110" i="20" s="1"/>
  <c r="Y18" i="44" s="1"/>
  <c r="P64" i="37"/>
  <c r="I121" i="20" s="1"/>
  <c r="X113" i="20" s="1"/>
  <c r="AC18" i="44" s="1"/>
  <c r="L61" i="37"/>
  <c r="I118" i="16" s="1"/>
  <c r="X114" i="16" s="1"/>
  <c r="AE35" i="44" s="1"/>
  <c r="J64" i="37"/>
  <c r="I121" i="14" s="1"/>
  <c r="X113" i="14" s="1"/>
  <c r="AC34" i="44" s="1"/>
  <c r="G63" i="37"/>
  <c r="I120" i="11" s="1"/>
  <c r="X117" i="11" s="1"/>
  <c r="AI16" i="44" s="1"/>
  <c r="X65" i="37"/>
  <c r="I122" i="28" s="1"/>
  <c r="J58" i="37"/>
  <c r="I115" i="14" s="1"/>
  <c r="X111" i="14" s="1"/>
  <c r="AA34" i="44" s="1"/>
  <c r="H57" i="37"/>
  <c r="I114" i="12" s="1"/>
  <c r="X110" i="12" s="1"/>
  <c r="Y33" i="44" s="1"/>
  <c r="J56" i="37"/>
  <c r="F60" i="37"/>
  <c r="I117" i="10" s="1"/>
  <c r="Y61" i="37"/>
  <c r="I118" i="29" s="1"/>
  <c r="X114" i="29" s="1"/>
  <c r="AE31" i="44" s="1"/>
  <c r="P65" i="37"/>
  <c r="I122" i="20" s="1"/>
  <c r="V58" i="37"/>
  <c r="I115" i="26" s="1"/>
  <c r="X111" i="26" s="1"/>
  <c r="AA30" i="44" s="1"/>
  <c r="W62" i="37"/>
  <c r="I119" i="27" s="1"/>
  <c r="X116" i="27" s="1"/>
  <c r="AG10" i="44" s="1"/>
  <c r="AA58" i="37"/>
  <c r="I115" i="31" s="1"/>
  <c r="X111" i="31" s="1"/>
  <c r="AA22" i="44" s="1"/>
  <c r="O58" i="37"/>
  <c r="I115" i="19" s="1"/>
  <c r="X111" i="19" s="1"/>
  <c r="AA9" i="44" s="1"/>
  <c r="P63" i="37"/>
  <c r="I120" i="20" s="1"/>
  <c r="X117" i="20" s="1"/>
  <c r="AI18" i="44" s="1"/>
  <c r="N57" i="37"/>
  <c r="I114" i="18" s="1"/>
  <c r="X110" i="18" s="1"/>
  <c r="Y25" i="44" s="1"/>
  <c r="K58" i="37"/>
  <c r="I115" i="15" s="1"/>
  <c r="X111" i="15" s="1"/>
  <c r="AA17" i="44" s="1"/>
  <c r="K59" i="37"/>
  <c r="I116" i="15" s="1"/>
  <c r="H60" i="37"/>
  <c r="I117" i="12" s="1"/>
  <c r="G64" i="37"/>
  <c r="I121" i="11" s="1"/>
  <c r="X113" i="11" s="1"/>
  <c r="AC16" i="44" s="1"/>
  <c r="G65" i="37"/>
  <c r="I122" i="11" s="1"/>
  <c r="E58" i="37"/>
  <c r="I115" i="9" s="1"/>
  <c r="X111" i="9" s="1"/>
  <c r="AA8" i="44" s="1"/>
  <c r="G57" i="37"/>
  <c r="I114" i="11" s="1"/>
  <c r="X110" i="11" s="1"/>
  <c r="Y16" i="44" s="1"/>
  <c r="F59" i="37"/>
  <c r="I116" i="10" s="1"/>
  <c r="V62" i="37"/>
  <c r="I119" i="26" s="1"/>
  <c r="X116" i="26" s="1"/>
  <c r="AG30" i="44" s="1"/>
  <c r="AG28" i="44" s="1"/>
  <c r="S59" i="37"/>
  <c r="I116" i="23" s="1"/>
  <c r="O62" i="37"/>
  <c r="I119" i="19" s="1"/>
  <c r="X116" i="19" s="1"/>
  <c r="AG9" i="44" s="1"/>
  <c r="O59" i="37"/>
  <c r="I116" i="19" s="1"/>
  <c r="N61" i="37"/>
  <c r="I118" i="18" s="1"/>
  <c r="X114" i="18" s="1"/>
  <c r="AE25" i="44" s="1"/>
  <c r="K62" i="37"/>
  <c r="I119" i="15" s="1"/>
  <c r="X116" i="15" s="1"/>
  <c r="AG17" i="44" s="1"/>
  <c r="H63" i="37"/>
  <c r="I120" i="12" s="1"/>
  <c r="X117" i="12" s="1"/>
  <c r="AI33" i="44" s="1"/>
  <c r="Q56" i="37"/>
  <c r="X56" i="37"/>
  <c r="I113" i="28" s="1"/>
  <c r="D57" i="37"/>
  <c r="I114" i="8" s="1"/>
  <c r="X110" i="8" s="1"/>
  <c r="Y7" i="44" s="1"/>
  <c r="B60" i="37"/>
  <c r="I117" i="3" s="1"/>
  <c r="C60" i="37"/>
  <c r="I117" i="7" s="1"/>
  <c r="W63" i="37"/>
  <c r="I120" i="27" s="1"/>
  <c r="X117" i="27" s="1"/>
  <c r="AI10" i="44" s="1"/>
  <c r="C65" i="37"/>
  <c r="I122" i="7" s="1"/>
  <c r="U57" i="37"/>
  <c r="I114" i="25" s="1"/>
  <c r="X110" i="25" s="1"/>
  <c r="Y21" i="44" s="1"/>
  <c r="S63" i="37"/>
  <c r="I120" i="23" s="1"/>
  <c r="X117" i="23" s="1"/>
  <c r="AI20" i="44" s="1"/>
  <c r="O56" i="37"/>
  <c r="I113" i="19" s="1"/>
  <c r="AB65" i="37"/>
  <c r="I122" i="32" s="1"/>
  <c r="Y59" i="37"/>
  <c r="I116" i="29" s="1"/>
  <c r="Y60" i="37"/>
  <c r="I117" i="29" s="1"/>
  <c r="Z58" i="37"/>
  <c r="I115" i="30" s="1"/>
  <c r="X111" i="30" s="1"/>
  <c r="AA27" i="44" s="1"/>
  <c r="T59" i="37"/>
  <c r="I116" i="24" s="1"/>
  <c r="V65" i="37"/>
  <c r="I122" i="26" s="1"/>
  <c r="U59" i="37"/>
  <c r="I116" i="25" s="1"/>
  <c r="X60" i="37"/>
  <c r="I117" i="28" s="1"/>
  <c r="W65" i="37"/>
  <c r="I122" i="27" s="1"/>
  <c r="AA59" i="37"/>
  <c r="I116" i="31" s="1"/>
  <c r="T62" i="37"/>
  <c r="I119" i="24" s="1"/>
  <c r="X116" i="24" s="1"/>
  <c r="AG26" i="44" s="1"/>
  <c r="AG23" i="44" s="1"/>
  <c r="M60" i="37"/>
  <c r="I117" i="17" s="1"/>
  <c r="Q63" i="37"/>
  <c r="I120" i="21" s="1"/>
  <c r="X117" i="21" s="1"/>
  <c r="AI29" i="44" s="1"/>
  <c r="S60" i="37"/>
  <c r="I117" i="23" s="1"/>
  <c r="AA56" i="37"/>
  <c r="I113" i="31" s="1"/>
  <c r="Q64" i="37"/>
  <c r="I121" i="21" s="1"/>
  <c r="X113" i="21" s="1"/>
  <c r="AC29" i="44" s="1"/>
  <c r="X61" i="37"/>
  <c r="I118" i="28" s="1"/>
  <c r="X114" i="28" s="1"/>
  <c r="AE11" i="44" s="1"/>
  <c r="Z65" i="37"/>
  <c r="I122" i="30" s="1"/>
  <c r="P58" i="37"/>
  <c r="I115" i="20" s="1"/>
  <c r="X111" i="20" s="1"/>
  <c r="AA18" i="44" s="1"/>
  <c r="J63" i="37"/>
  <c r="I120" i="14" s="1"/>
  <c r="X117" i="14" s="1"/>
  <c r="AI34" i="44" s="1"/>
  <c r="O60" i="37"/>
  <c r="I117" i="19" s="1"/>
  <c r="F61" i="37"/>
  <c r="I118" i="10" s="1"/>
  <c r="X114" i="10" s="1"/>
  <c r="AE15" i="44" s="1"/>
  <c r="J60" i="37"/>
  <c r="I117" i="14" s="1"/>
  <c r="S62" i="37"/>
  <c r="I119" i="23" s="1"/>
  <c r="X116" i="23" s="1"/>
  <c r="AG20" i="44" s="1"/>
  <c r="G59" i="37"/>
  <c r="I116" i="11" s="1"/>
  <c r="J61" i="37"/>
  <c r="I118" i="14" s="1"/>
  <c r="X114" i="14" s="1"/>
  <c r="AE34" i="44" s="1"/>
  <c r="D64" i="37"/>
  <c r="I121" i="8" s="1"/>
  <c r="X113" i="8" s="1"/>
  <c r="AC7" i="44" s="1"/>
  <c r="F63" i="37"/>
  <c r="I120" i="10" s="1"/>
  <c r="X117" i="10" s="1"/>
  <c r="AI15" i="44" s="1"/>
  <c r="C58" i="37"/>
  <c r="I115" i="7" s="1"/>
  <c r="X111" i="7" s="1"/>
  <c r="AA14" i="44" s="1"/>
  <c r="V59" i="37"/>
  <c r="I116" i="26" s="1"/>
  <c r="F64" i="37"/>
  <c r="I121" i="10" s="1"/>
  <c r="X113" i="10" s="1"/>
  <c r="AC15" i="44" s="1"/>
  <c r="K61" i="37"/>
  <c r="I118" i="15" s="1"/>
  <c r="X114" i="15" s="1"/>
  <c r="AE17" i="44" s="1"/>
  <c r="C57" i="37"/>
  <c r="I114" i="7" s="1"/>
  <c r="X110" i="7" s="1"/>
  <c r="Y14" i="44" s="1"/>
  <c r="M63" i="37"/>
  <c r="I120" i="17" s="1"/>
  <c r="X117" i="17" s="1"/>
  <c r="AI36" i="44" s="1"/>
  <c r="Z60" i="37"/>
  <c r="I117" i="30" s="1"/>
  <c r="S57" i="37"/>
  <c r="I114" i="23" s="1"/>
  <c r="X110" i="23" s="1"/>
  <c r="Y20" i="44" s="1"/>
  <c r="U60" i="37"/>
  <c r="I117" i="25" s="1"/>
  <c r="P62" i="37"/>
  <c r="I119" i="20" s="1"/>
  <c r="X116" i="20" s="1"/>
  <c r="AG18" i="44" s="1"/>
  <c r="S61" i="37"/>
  <c r="I118" i="23" s="1"/>
  <c r="X114" i="23" s="1"/>
  <c r="AE20" i="44" s="1"/>
  <c r="H58" i="37"/>
  <c r="I115" i="12" s="1"/>
  <c r="X111" i="12" s="1"/>
  <c r="AA33" i="44" s="1"/>
  <c r="O64" i="37"/>
  <c r="I121" i="19" s="1"/>
  <c r="X113" i="19" s="1"/>
  <c r="AC9" i="44" s="1"/>
  <c r="G60" i="37"/>
  <c r="I117" i="11" s="1"/>
  <c r="B59" i="37"/>
  <c r="I116" i="3" s="1"/>
  <c r="Z64" i="37"/>
  <c r="I121" i="30" s="1"/>
  <c r="X113" i="30" s="1"/>
  <c r="AC27" i="44" s="1"/>
  <c r="P56" i="37"/>
  <c r="I113" i="20" s="1"/>
  <c r="U64" i="37"/>
  <c r="I121" i="25" s="1"/>
  <c r="X113" i="25" s="1"/>
  <c r="AC21" i="44" s="1"/>
  <c r="N59" i="37"/>
  <c r="I116" i="18" s="1"/>
  <c r="S65" i="37"/>
  <c r="I122" i="23" s="1"/>
  <c r="H62" i="37"/>
  <c r="I119" i="12" s="1"/>
  <c r="X116" i="12" s="1"/>
  <c r="AG33" i="44" s="1"/>
  <c r="H59" i="37"/>
  <c r="I116" i="12" s="1"/>
  <c r="S56" i="37"/>
  <c r="I113" i="23" s="1"/>
  <c r="B63" i="37"/>
  <c r="I120" i="3" s="1"/>
  <c r="AB60" i="37"/>
  <c r="I117" i="32" s="1"/>
  <c r="AA62" i="37"/>
  <c r="I119" i="31" s="1"/>
  <c r="X116" i="31" s="1"/>
  <c r="AG22" i="44" s="1"/>
  <c r="T64" i="37"/>
  <c r="I121" i="24" s="1"/>
  <c r="X113" i="24" s="1"/>
  <c r="AC26" i="44" s="1"/>
  <c r="W56" i="37"/>
  <c r="I113" i="27" s="1"/>
  <c r="N63" i="37"/>
  <c r="I120" i="18" s="1"/>
  <c r="X117" i="18" s="1"/>
  <c r="AI25" i="44" s="1"/>
  <c r="N60" i="37"/>
  <c r="I117" i="18" s="1"/>
  <c r="H56" i="37"/>
  <c r="I113" i="12" s="1"/>
  <c r="K63" i="37"/>
  <c r="I120" i="15" s="1"/>
  <c r="X117" i="15" s="1"/>
  <c r="AI17" i="44" s="1"/>
  <c r="K60" i="37"/>
  <c r="I117" i="15" s="1"/>
  <c r="L60" i="37"/>
  <c r="I117" i="16" s="1"/>
  <c r="P59" i="37"/>
  <c r="I116" i="20" s="1"/>
  <c r="X59" i="37"/>
  <c r="I116" i="28" s="1"/>
  <c r="V56" i="37"/>
  <c r="R57" i="37"/>
  <c r="I89" i="22" s="1"/>
  <c r="X85" i="22" s="1"/>
  <c r="Y19" i="40" s="1"/>
  <c r="H58" i="34"/>
  <c r="I65" i="12" s="1"/>
  <c r="X61" i="12" s="1"/>
  <c r="AA33" i="39" s="1"/>
  <c r="Z60" i="34"/>
  <c r="I67" i="30" s="1"/>
  <c r="G63" i="34"/>
  <c r="I70" i="11" s="1"/>
  <c r="X67" i="11" s="1"/>
  <c r="AI16" i="39" s="1"/>
  <c r="B62" i="34"/>
  <c r="I69" i="3" s="1"/>
  <c r="X66" i="3" s="1"/>
  <c r="AG6" i="39" s="1"/>
  <c r="W58" i="34"/>
  <c r="I65" i="27" s="1"/>
  <c r="X61" i="27" s="1"/>
  <c r="AA10" i="39" s="1"/>
  <c r="F62" i="34"/>
  <c r="I69" i="10" s="1"/>
  <c r="X66" i="10" s="1"/>
  <c r="AG15" i="39" s="1"/>
  <c r="Q56" i="34"/>
  <c r="Q61" i="34"/>
  <c r="I68" i="21" s="1"/>
  <c r="X64" i="21" s="1"/>
  <c r="AE29" i="39" s="1"/>
  <c r="X56" i="34"/>
  <c r="AB62" i="34"/>
  <c r="I69" i="32" s="1"/>
  <c r="X66" i="32" s="1"/>
  <c r="AG12" i="39" s="1"/>
  <c r="S64" i="34"/>
  <c r="I71" i="23" s="1"/>
  <c r="X63" i="23" s="1"/>
  <c r="AC20" i="39" s="1"/>
  <c r="F61" i="34"/>
  <c r="I68" i="10" s="1"/>
  <c r="X64" i="10" s="1"/>
  <c r="AE15" i="39" s="1"/>
  <c r="I60" i="34"/>
  <c r="I67" i="13" s="1"/>
  <c r="B58" i="34"/>
  <c r="I65" i="3" s="1"/>
  <c r="X61" i="3" s="1"/>
  <c r="AA6" i="39" s="1"/>
  <c r="J65" i="34"/>
  <c r="I72" i="14" s="1"/>
  <c r="G57" i="34"/>
  <c r="I64" i="11" s="1"/>
  <c r="X60" i="11" s="1"/>
  <c r="Y16" i="39" s="1"/>
  <c r="S59" i="34"/>
  <c r="I66" i="23" s="1"/>
  <c r="X63" i="34"/>
  <c r="I70" i="28" s="1"/>
  <c r="X67" i="28" s="1"/>
  <c r="AI11" i="39" s="1"/>
  <c r="M61" i="34"/>
  <c r="I68" i="17" s="1"/>
  <c r="X64" i="17" s="1"/>
  <c r="AE36" i="39" s="1"/>
  <c r="AA63" i="34"/>
  <c r="I70" i="31" s="1"/>
  <c r="X67" i="31" s="1"/>
  <c r="AI22" i="39" s="1"/>
  <c r="E63" i="34"/>
  <c r="I70" i="9" s="1"/>
  <c r="X67" i="9" s="1"/>
  <c r="AI8" i="39" s="1"/>
  <c r="I57" i="34"/>
  <c r="I64" i="13" s="1"/>
  <c r="X60" i="13" s="1"/>
  <c r="Y24" i="39" s="1"/>
  <c r="V60" i="34"/>
  <c r="I67" i="26" s="1"/>
  <c r="D64" i="34"/>
  <c r="I71" i="8" s="1"/>
  <c r="X63" i="8" s="1"/>
  <c r="AC7" i="39" s="1"/>
  <c r="J57" i="34"/>
  <c r="I64" i="14" s="1"/>
  <c r="X60" i="14" s="1"/>
  <c r="Y34" i="39" s="1"/>
  <c r="L62" i="34"/>
  <c r="I69" i="16" s="1"/>
  <c r="X66" i="16" s="1"/>
  <c r="AG35" i="39" s="1"/>
  <c r="X60" i="34"/>
  <c r="I67" i="28" s="1"/>
  <c r="K61" i="34"/>
  <c r="I68" i="15" s="1"/>
  <c r="X64" i="15" s="1"/>
  <c r="AE17" i="39" s="1"/>
  <c r="T63" i="34"/>
  <c r="I70" i="24" s="1"/>
  <c r="X67" i="24" s="1"/>
  <c r="AI26" i="39" s="1"/>
  <c r="U65" i="34"/>
  <c r="I72" i="25" s="1"/>
  <c r="T56" i="34"/>
  <c r="W62" i="34"/>
  <c r="I69" i="27" s="1"/>
  <c r="X66" i="27" s="1"/>
  <c r="AG10" i="39" s="1"/>
  <c r="E61" i="34"/>
  <c r="I68" i="9" s="1"/>
  <c r="X64" i="9" s="1"/>
  <c r="AE8" i="39" s="1"/>
  <c r="T58" i="34"/>
  <c r="I65" i="24" s="1"/>
  <c r="X61" i="24" s="1"/>
  <c r="AA26" i="39" s="1"/>
  <c r="M64" i="34"/>
  <c r="I71" i="17" s="1"/>
  <c r="X63" i="17" s="1"/>
  <c r="AC36" i="39" s="1"/>
  <c r="O64" i="34"/>
  <c r="I71" i="19" s="1"/>
  <c r="X63" i="19" s="1"/>
  <c r="AC9" i="39" s="1"/>
  <c r="O63" i="34"/>
  <c r="I70" i="19" s="1"/>
  <c r="X67" i="19" s="1"/>
  <c r="AI9" i="39" s="1"/>
  <c r="U58" i="34"/>
  <c r="I65" i="25" s="1"/>
  <c r="X61" i="25" s="1"/>
  <c r="AA21" i="39" s="1"/>
  <c r="Y61" i="34"/>
  <c r="I68" i="29" s="1"/>
  <c r="X64" i="29" s="1"/>
  <c r="AE31" i="39" s="1"/>
  <c r="C63" i="34"/>
  <c r="I70" i="7" s="1"/>
  <c r="X67" i="7" s="1"/>
  <c r="AI14" i="39" s="1"/>
  <c r="H61" i="34"/>
  <c r="I68" i="12" s="1"/>
  <c r="X64" i="12" s="1"/>
  <c r="AE33" i="39" s="1"/>
  <c r="E57" i="34"/>
  <c r="I64" i="9" s="1"/>
  <c r="X60" i="9" s="1"/>
  <c r="Y8" i="39" s="1"/>
  <c r="B61" i="34"/>
  <c r="F59" i="34"/>
  <c r="I66" i="10" s="1"/>
  <c r="T65" i="34"/>
  <c r="I72" i="24" s="1"/>
  <c r="W64" i="34"/>
  <c r="I71" i="27" s="1"/>
  <c r="X63" i="27" s="1"/>
  <c r="AC10" i="39" s="1"/>
  <c r="AA56" i="34"/>
  <c r="J61" i="34"/>
  <c r="I68" i="14" s="1"/>
  <c r="X64" i="14" s="1"/>
  <c r="AE34" i="39" s="1"/>
  <c r="C59" i="34"/>
  <c r="I66" i="7" s="1"/>
  <c r="K63" i="34"/>
  <c r="I70" i="15" s="1"/>
  <c r="X67" i="15" s="1"/>
  <c r="AI17" i="39" s="1"/>
  <c r="G56" i="34"/>
  <c r="B57" i="34"/>
  <c r="I64" i="3" s="1"/>
  <c r="X60" i="3" s="1"/>
  <c r="Y6" i="39" s="1"/>
  <c r="K59" i="34"/>
  <c r="I66" i="15" s="1"/>
  <c r="U60" i="34"/>
  <c r="I67" i="25" s="1"/>
  <c r="J58" i="34"/>
  <c r="I65" i="14" s="1"/>
  <c r="X61" i="14" s="1"/>
  <c r="AA34" i="39" s="1"/>
  <c r="AA65" i="34"/>
  <c r="I72" i="31" s="1"/>
  <c r="C64" i="34"/>
  <c r="I71" i="7" s="1"/>
  <c r="X63" i="7" s="1"/>
  <c r="AC14" i="39" s="1"/>
  <c r="D57" i="34"/>
  <c r="I64" i="8" s="1"/>
  <c r="X60" i="8" s="1"/>
  <c r="Y7" i="39" s="1"/>
  <c r="M65" i="34"/>
  <c r="I72" i="17" s="1"/>
  <c r="I59" i="34"/>
  <c r="I66" i="13" s="1"/>
  <c r="C57" i="34"/>
  <c r="I64" i="7" s="1"/>
  <c r="X60" i="7" s="1"/>
  <c r="Y14" i="39" s="1"/>
  <c r="O57" i="34"/>
  <c r="I64" i="19" s="1"/>
  <c r="X60" i="19" s="1"/>
  <c r="Y9" i="39" s="1"/>
  <c r="L60" i="34"/>
  <c r="I67" i="16" s="1"/>
  <c r="N60" i="34"/>
  <c r="I67" i="18" s="1"/>
  <c r="Z62" i="34"/>
  <c r="I69" i="30" s="1"/>
  <c r="X66" i="30" s="1"/>
  <c r="AG27" i="39" s="1"/>
  <c r="I4" i="39"/>
  <c r="L12" i="22"/>
  <c r="J23" i="22" s="1"/>
  <c r="U8" i="22" s="1"/>
  <c r="D19" i="43" s="1"/>
  <c r="L10" i="18"/>
  <c r="J17" i="18" s="1"/>
  <c r="U18" i="18" s="1"/>
  <c r="P25" i="43" s="1"/>
  <c r="L12" i="15"/>
  <c r="J23" i="15" s="1"/>
  <c r="U8" i="15" s="1"/>
  <c r="D17" i="43" s="1"/>
  <c r="L10" i="13"/>
  <c r="J17" i="13" s="1"/>
  <c r="U18" i="13" s="1"/>
  <c r="P24" i="43" s="1"/>
  <c r="P23" i="43" s="1"/>
  <c r="L12" i="18"/>
  <c r="J23" i="18" s="1"/>
  <c r="U8" i="18" s="1"/>
  <c r="D25" i="43" s="1"/>
  <c r="L9" i="32"/>
  <c r="J14" i="32" s="1"/>
  <c r="U14" i="32" s="1"/>
  <c r="K12" i="43" s="1"/>
  <c r="L11" i="10"/>
  <c r="J18" i="10" s="1"/>
  <c r="X8" i="10" s="1"/>
  <c r="U15" i="43" s="1"/>
  <c r="L12" i="13"/>
  <c r="J23" i="13" s="1"/>
  <c r="U8" i="13" s="1"/>
  <c r="D24" i="43" s="1"/>
  <c r="D23" i="43" s="1"/>
  <c r="L10" i="15"/>
  <c r="J17" i="15" s="1"/>
  <c r="U18" i="15" s="1"/>
  <c r="P17" i="43" s="1"/>
  <c r="L9" i="30"/>
  <c r="J14" i="30" s="1"/>
  <c r="U14" i="30" s="1"/>
  <c r="K27" i="43" s="1"/>
  <c r="L11" i="15"/>
  <c r="J18" i="15" s="1"/>
  <c r="X8" i="15" s="1"/>
  <c r="U17" i="43" s="1"/>
  <c r="L11" i="30"/>
  <c r="J18" i="30" s="1"/>
  <c r="X8" i="30" s="1"/>
  <c r="U27" i="43" s="1"/>
  <c r="L12" i="30"/>
  <c r="J23" i="30" s="1"/>
  <c r="U8" i="30" s="1"/>
  <c r="D27" i="43" s="1"/>
  <c r="L11" i="13"/>
  <c r="J18" i="13" s="1"/>
  <c r="X8" i="13" s="1"/>
  <c r="U24" i="43" s="1"/>
  <c r="U23" i="43" s="1"/>
  <c r="L11" i="11"/>
  <c r="J18" i="11" s="1"/>
  <c r="X8" i="11" s="1"/>
  <c r="U16" i="43" s="1"/>
  <c r="L12" i="32"/>
  <c r="J23" i="32" s="1"/>
  <c r="U8" i="32" s="1"/>
  <c r="D12" i="43" s="1"/>
  <c r="L11" i="32"/>
  <c r="J18" i="32" s="1"/>
  <c r="X8" i="32" s="1"/>
  <c r="U12" i="43" s="1"/>
  <c r="L9" i="19"/>
  <c r="J14" i="19" s="1"/>
  <c r="U14" i="19" s="1"/>
  <c r="K9" i="43" s="1"/>
  <c r="L12" i="11"/>
  <c r="J23" i="11" s="1"/>
  <c r="U8" i="11" s="1"/>
  <c r="D16" i="43" s="1"/>
  <c r="L11" i="12"/>
  <c r="J18" i="12" s="1"/>
  <c r="X8" i="12" s="1"/>
  <c r="U33" i="43" s="1"/>
  <c r="U32" i="43" s="1"/>
  <c r="L9" i="22"/>
  <c r="J14" i="22" s="1"/>
  <c r="U14" i="22" s="1"/>
  <c r="K19" i="43" s="1"/>
  <c r="L10" i="29"/>
  <c r="J17" i="29" s="1"/>
  <c r="U18" i="29" s="1"/>
  <c r="P31" i="43" s="1"/>
  <c r="L10" i="19"/>
  <c r="J17" i="19" s="1"/>
  <c r="U18" i="19" s="1"/>
  <c r="P9" i="43" s="1"/>
  <c r="L12" i="16"/>
  <c r="J23" i="16" s="1"/>
  <c r="U8" i="16" s="1"/>
  <c r="D35" i="43" s="1"/>
  <c r="Y32" i="41"/>
  <c r="L58" i="34"/>
  <c r="I65" i="16" s="1"/>
  <c r="X61" i="16" s="1"/>
  <c r="AA35" i="39" s="1"/>
  <c r="D58" i="34"/>
  <c r="I65" i="8" s="1"/>
  <c r="X61" i="8" s="1"/>
  <c r="AA7" i="39" s="1"/>
  <c r="M58" i="34"/>
  <c r="I65" i="17" s="1"/>
  <c r="X61" i="17" s="1"/>
  <c r="AA36" i="39" s="1"/>
  <c r="AA32" i="39" s="1"/>
  <c r="B64" i="34"/>
  <c r="I71" i="3" s="1"/>
  <c r="X63" i="3" s="1"/>
  <c r="AC6" i="39" s="1"/>
  <c r="V64" i="34"/>
  <c r="I71" i="26" s="1"/>
  <c r="X63" i="26" s="1"/>
  <c r="AC30" i="39" s="1"/>
  <c r="E62" i="34"/>
  <c r="I69" i="9" s="1"/>
  <c r="X66" i="9" s="1"/>
  <c r="AG8" i="39" s="1"/>
  <c r="L56" i="34"/>
  <c r="H57" i="34"/>
  <c r="I64" i="12" s="1"/>
  <c r="X60" i="12" s="1"/>
  <c r="Y33" i="39" s="1"/>
  <c r="U61" i="34"/>
  <c r="I68" i="25" s="1"/>
  <c r="X64" i="25" s="1"/>
  <c r="AE21" i="39" s="1"/>
  <c r="D60" i="34"/>
  <c r="I67" i="8" s="1"/>
  <c r="G62" i="34"/>
  <c r="I69" i="11" s="1"/>
  <c r="X66" i="11" s="1"/>
  <c r="AG16" i="39" s="1"/>
  <c r="F60" i="34"/>
  <c r="I67" i="10" s="1"/>
  <c r="U57" i="34"/>
  <c r="I64" i="25" s="1"/>
  <c r="X60" i="25" s="1"/>
  <c r="Y21" i="39" s="1"/>
  <c r="D63" i="34"/>
  <c r="I70" i="8" s="1"/>
  <c r="X67" i="8" s="1"/>
  <c r="AI7" i="39" s="1"/>
  <c r="I56" i="34"/>
  <c r="I63" i="13" s="1"/>
  <c r="H63" i="34"/>
  <c r="I70" i="12" s="1"/>
  <c r="X67" i="12" s="1"/>
  <c r="AI33" i="39" s="1"/>
  <c r="N62" i="34"/>
  <c r="I69" i="18" s="1"/>
  <c r="X66" i="18" s="1"/>
  <c r="AG25" i="39" s="1"/>
  <c r="K58" i="34"/>
  <c r="I65" i="15" s="1"/>
  <c r="X61" i="15" s="1"/>
  <c r="AA17" i="39" s="1"/>
  <c r="AA58" i="34"/>
  <c r="I65" i="31" s="1"/>
  <c r="X61" i="31" s="1"/>
  <c r="AA22" i="39" s="1"/>
  <c r="S58" i="34"/>
  <c r="I65" i="23" s="1"/>
  <c r="X61" i="23" s="1"/>
  <c r="AA20" i="39" s="1"/>
  <c r="T64" i="34"/>
  <c r="I71" i="24" s="1"/>
  <c r="X63" i="24" s="1"/>
  <c r="AC26" i="39" s="1"/>
  <c r="Q64" i="34"/>
  <c r="I71" i="21" s="1"/>
  <c r="X63" i="21" s="1"/>
  <c r="AC29" i="39" s="1"/>
  <c r="O58" i="34"/>
  <c r="I65" i="19" s="1"/>
  <c r="X61" i="19" s="1"/>
  <c r="AA9" i="39" s="1"/>
  <c r="AB64" i="34"/>
  <c r="I71" i="32" s="1"/>
  <c r="X63" i="32" s="1"/>
  <c r="AC12" i="39" s="1"/>
  <c r="Y58" i="34"/>
  <c r="I65" i="29" s="1"/>
  <c r="X61" i="29" s="1"/>
  <c r="AA31" i="39" s="1"/>
  <c r="AB56" i="34"/>
  <c r="I63" i="32" s="1"/>
  <c r="AA60" i="34"/>
  <c r="I67" i="31" s="1"/>
  <c r="AB59" i="34"/>
  <c r="I66" i="32" s="1"/>
  <c r="Z56" i="34"/>
  <c r="I63" i="30" s="1"/>
  <c r="Y60" i="34"/>
  <c r="I67" i="29" s="1"/>
  <c r="Z59" i="34"/>
  <c r="I66" i="30" s="1"/>
  <c r="Z64" i="34"/>
  <c r="I71" i="30" s="1"/>
  <c r="X63" i="30" s="1"/>
  <c r="AC27" i="39" s="1"/>
  <c r="U62" i="34"/>
  <c r="I69" i="25" s="1"/>
  <c r="X66" i="25" s="1"/>
  <c r="AG21" i="39" s="1"/>
  <c r="R58" i="34"/>
  <c r="I65" i="22" s="1"/>
  <c r="X61" i="22" s="1"/>
  <c r="AA19" i="39" s="1"/>
  <c r="O62" i="34"/>
  <c r="I69" i="19" s="1"/>
  <c r="X66" i="19" s="1"/>
  <c r="AG9" i="39" s="1"/>
  <c r="Y65" i="34"/>
  <c r="I72" i="29" s="1"/>
  <c r="V57" i="34"/>
  <c r="I64" i="26" s="1"/>
  <c r="X60" i="26" s="1"/>
  <c r="Y30" i="39" s="1"/>
  <c r="S61" i="34"/>
  <c r="I68" i="23" s="1"/>
  <c r="X64" i="23" s="1"/>
  <c r="AE20" i="39" s="1"/>
  <c r="P57" i="34"/>
  <c r="I64" i="20" s="1"/>
  <c r="X60" i="20" s="1"/>
  <c r="Y18" i="39" s="1"/>
  <c r="N64" i="34"/>
  <c r="I71" i="18" s="1"/>
  <c r="X63" i="18" s="1"/>
  <c r="AC25" i="39" s="1"/>
  <c r="J62" i="34"/>
  <c r="I69" i="14" s="1"/>
  <c r="X66" i="14" s="1"/>
  <c r="AG34" i="39" s="1"/>
  <c r="U59" i="34"/>
  <c r="I66" i="25" s="1"/>
  <c r="R59" i="34"/>
  <c r="I66" i="22" s="1"/>
  <c r="M59" i="34"/>
  <c r="I66" i="17" s="1"/>
  <c r="K65" i="34"/>
  <c r="I72" i="15" s="1"/>
  <c r="V58" i="34"/>
  <c r="I65" i="26" s="1"/>
  <c r="X61" i="26" s="1"/>
  <c r="AA30" i="39" s="1"/>
  <c r="S62" i="34"/>
  <c r="I69" i="23" s="1"/>
  <c r="X66" i="23" s="1"/>
  <c r="AG20" i="39" s="1"/>
  <c r="Q65" i="34"/>
  <c r="I72" i="21" s="1"/>
  <c r="N57" i="34"/>
  <c r="I64" i="18" s="1"/>
  <c r="X60" i="18" s="1"/>
  <c r="Y25" i="39" s="1"/>
  <c r="L64" i="34"/>
  <c r="I71" i="16" s="1"/>
  <c r="X63" i="16" s="1"/>
  <c r="AC35" i="39" s="1"/>
  <c r="W57" i="34"/>
  <c r="I64" i="27" s="1"/>
  <c r="X60" i="27" s="1"/>
  <c r="Y10" i="39" s="1"/>
  <c r="U64" i="34"/>
  <c r="I71" i="25" s="1"/>
  <c r="X63" i="25" s="1"/>
  <c r="AC21" i="39" s="1"/>
  <c r="R60" i="34"/>
  <c r="I67" i="22" s="1"/>
  <c r="M60" i="34"/>
  <c r="I67" i="17" s="1"/>
  <c r="K62" i="34"/>
  <c r="I69" i="15" s="1"/>
  <c r="X66" i="15" s="1"/>
  <c r="AG17" i="39" s="1"/>
  <c r="X64" i="34"/>
  <c r="I71" i="28" s="1"/>
  <c r="X63" i="28" s="1"/>
  <c r="AC11" i="39" s="1"/>
  <c r="S63" i="34"/>
  <c r="I70" i="23" s="1"/>
  <c r="X67" i="23" s="1"/>
  <c r="AI20" i="39" s="1"/>
  <c r="P59" i="34"/>
  <c r="I66" i="20" s="1"/>
  <c r="N56" i="34"/>
  <c r="I63" i="18" s="1"/>
  <c r="X65" i="34"/>
  <c r="I72" i="28" s="1"/>
  <c r="J64" i="34"/>
  <c r="I71" i="14" s="1"/>
  <c r="X63" i="14" s="1"/>
  <c r="AC34" i="39" s="1"/>
  <c r="P60" i="34"/>
  <c r="I67" i="20" s="1"/>
  <c r="I58" i="34"/>
  <c r="I65" i="13" s="1"/>
  <c r="X61" i="13" s="1"/>
  <c r="AA24" i="39" s="1"/>
  <c r="G61" i="34"/>
  <c r="I68" i="11" s="1"/>
  <c r="X64" i="11" s="1"/>
  <c r="AE16" i="39" s="1"/>
  <c r="E64" i="34"/>
  <c r="I71" i="9" s="1"/>
  <c r="X63" i="9" s="1"/>
  <c r="AC8" i="39" s="1"/>
  <c r="C61" i="34"/>
  <c r="I68" i="7" s="1"/>
  <c r="X64" i="7" s="1"/>
  <c r="AE14" i="39" s="1"/>
  <c r="B65" i="34"/>
  <c r="I72" i="3" s="1"/>
  <c r="O61" i="34"/>
  <c r="I68" i="19" s="1"/>
  <c r="X64" i="19" s="1"/>
  <c r="AE9" i="39" s="1"/>
  <c r="H60" i="34"/>
  <c r="I67" i="12" s="1"/>
  <c r="P64" i="34"/>
  <c r="I71" i="20" s="1"/>
  <c r="X63" i="20" s="1"/>
  <c r="AC18" i="39" s="1"/>
  <c r="I63" i="34"/>
  <c r="I70" i="13" s="1"/>
  <c r="X67" i="13" s="1"/>
  <c r="AI24" i="39" s="1"/>
  <c r="F57" i="34"/>
  <c r="I64" i="10" s="1"/>
  <c r="X60" i="10" s="1"/>
  <c r="Y15" i="39" s="1"/>
  <c r="E65" i="34"/>
  <c r="I72" i="9" s="1"/>
  <c r="C58" i="34"/>
  <c r="I65" i="7" s="1"/>
  <c r="X61" i="7" s="1"/>
  <c r="AA14" i="39" s="1"/>
  <c r="B56" i="34"/>
  <c r="R57" i="34"/>
  <c r="I64" i="22" s="1"/>
  <c r="X60" i="22" s="1"/>
  <c r="Y19" i="39" s="1"/>
  <c r="J60" i="34"/>
  <c r="I67" i="14" s="1"/>
  <c r="H65" i="34"/>
  <c r="I72" i="12" s="1"/>
  <c r="S60" i="34"/>
  <c r="I67" i="23" s="1"/>
  <c r="I64" i="34"/>
  <c r="I71" i="13" s="1"/>
  <c r="X63" i="13" s="1"/>
  <c r="AC24" i="39" s="1"/>
  <c r="F64" i="34"/>
  <c r="I71" i="10" s="1"/>
  <c r="X63" i="10" s="1"/>
  <c r="AC15" i="39" s="1"/>
  <c r="D61" i="34"/>
  <c r="I68" i="8" s="1"/>
  <c r="X64" i="8" s="1"/>
  <c r="AE7" i="39" s="1"/>
  <c r="B59" i="34"/>
  <c r="Q63" i="34"/>
  <c r="I70" i="21" s="1"/>
  <c r="X67" i="21" s="1"/>
  <c r="AI29" i="39" s="1"/>
  <c r="D56" i="34"/>
  <c r="I63" i="8" s="1"/>
  <c r="H62" i="34"/>
  <c r="I69" i="12" s="1"/>
  <c r="X66" i="12" s="1"/>
  <c r="AG33" i="39" s="1"/>
  <c r="W56" i="34"/>
  <c r="I63" i="27" s="1"/>
  <c r="H56" i="34"/>
  <c r="I65" i="34"/>
  <c r="I72" i="13" s="1"/>
  <c r="X61" i="34"/>
  <c r="I68" i="28" s="1"/>
  <c r="X64" i="28" s="1"/>
  <c r="AE11" i="39" s="1"/>
  <c r="C56" i="34"/>
  <c r="AA59" i="34"/>
  <c r="I66" i="31" s="1"/>
  <c r="Z61" i="34"/>
  <c r="I68" i="30" s="1"/>
  <c r="X64" i="30" s="1"/>
  <c r="AE27" i="39" s="1"/>
  <c r="Z58" i="34"/>
  <c r="I65" i="30" s="1"/>
  <c r="X61" i="30" s="1"/>
  <c r="AA27" i="39" s="1"/>
  <c r="AB60" i="34"/>
  <c r="I67" i="32" s="1"/>
  <c r="W63" i="34"/>
  <c r="I70" i="27" s="1"/>
  <c r="X67" i="27" s="1"/>
  <c r="AI10" i="39" s="1"/>
  <c r="R56" i="34"/>
  <c r="X62" i="34"/>
  <c r="I69" i="28" s="1"/>
  <c r="X66" i="28" s="1"/>
  <c r="AG11" i="39" s="1"/>
  <c r="Q60" i="34"/>
  <c r="I67" i="21" s="1"/>
  <c r="L63" i="34"/>
  <c r="I70" i="16" s="1"/>
  <c r="X67" i="16" s="1"/>
  <c r="AI35" i="39" s="1"/>
  <c r="T60" i="34"/>
  <c r="I67" i="24" s="1"/>
  <c r="K57" i="34"/>
  <c r="I64" i="15" s="1"/>
  <c r="X60" i="15" s="1"/>
  <c r="Y17" i="39" s="1"/>
  <c r="V56" i="34"/>
  <c r="I63" i="26" s="1"/>
  <c r="P62" i="34"/>
  <c r="I69" i="20" s="1"/>
  <c r="X66" i="20" s="1"/>
  <c r="AG18" i="39" s="1"/>
  <c r="J63" i="34"/>
  <c r="I70" i="14" s="1"/>
  <c r="X67" i="14" s="1"/>
  <c r="AI34" i="39" s="1"/>
  <c r="T61" i="34"/>
  <c r="I68" i="24" s="1"/>
  <c r="X64" i="24" s="1"/>
  <c r="AE26" i="39" s="1"/>
  <c r="M63" i="34"/>
  <c r="I70" i="17" s="1"/>
  <c r="X67" i="17" s="1"/>
  <c r="AI36" i="39" s="1"/>
  <c r="V63" i="34"/>
  <c r="I70" i="26" s="1"/>
  <c r="X67" i="26" s="1"/>
  <c r="AI30" i="39" s="1"/>
  <c r="N58" i="34"/>
  <c r="I65" i="18" s="1"/>
  <c r="X61" i="18" s="1"/>
  <c r="AA25" i="39" s="1"/>
  <c r="Y62" i="34"/>
  <c r="I69" i="29" s="1"/>
  <c r="X66" i="29" s="1"/>
  <c r="AG31" i="39" s="1"/>
  <c r="Z57" i="34"/>
  <c r="I64" i="30" s="1"/>
  <c r="X60" i="30" s="1"/>
  <c r="Y27" i="39" s="1"/>
  <c r="AA64" i="34"/>
  <c r="I71" i="31" s="1"/>
  <c r="X63" i="31" s="1"/>
  <c r="AC22" i="39" s="1"/>
  <c r="AB63" i="34"/>
  <c r="I70" i="32" s="1"/>
  <c r="X67" i="32" s="1"/>
  <c r="AI12" i="39" s="1"/>
  <c r="AA57" i="34"/>
  <c r="I64" i="31" s="1"/>
  <c r="X60" i="31" s="1"/>
  <c r="Y22" i="39" s="1"/>
  <c r="Y64" i="34"/>
  <c r="I71" i="29" s="1"/>
  <c r="X63" i="29" s="1"/>
  <c r="AC31" i="39" s="1"/>
  <c r="Z63" i="34"/>
  <c r="I70" i="30" s="1"/>
  <c r="X67" i="30" s="1"/>
  <c r="AI27" i="39" s="1"/>
  <c r="W59" i="34"/>
  <c r="I66" i="27" s="1"/>
  <c r="U56" i="34"/>
  <c r="R62" i="34"/>
  <c r="I69" i="22" s="1"/>
  <c r="X66" i="22" s="1"/>
  <c r="AG19" i="39" s="1"/>
  <c r="O56" i="34"/>
  <c r="X58" i="34"/>
  <c r="I65" i="28" s="1"/>
  <c r="X61" i="28" s="1"/>
  <c r="AA11" i="39" s="1"/>
  <c r="V61" i="34"/>
  <c r="I68" i="26" s="1"/>
  <c r="X64" i="26" s="1"/>
  <c r="AE30" i="39" s="1"/>
  <c r="S65" i="34"/>
  <c r="I72" i="23" s="1"/>
  <c r="P61" i="34"/>
  <c r="I68" i="20" s="1"/>
  <c r="X64" i="20" s="1"/>
  <c r="AE18" i="39" s="1"/>
  <c r="L59" i="34"/>
  <c r="I66" i="16" s="1"/>
  <c r="AB65" i="34"/>
  <c r="I72" i="32" s="1"/>
  <c r="U63" i="34"/>
  <c r="I70" i="25" s="1"/>
  <c r="X67" i="25" s="1"/>
  <c r="AI21" i="39" s="1"/>
  <c r="R63" i="34"/>
  <c r="I70" i="22" s="1"/>
  <c r="X67" i="22" s="1"/>
  <c r="AI19" i="39" s="1"/>
  <c r="M62" i="34"/>
  <c r="I69" i="17" s="1"/>
  <c r="X66" i="17" s="1"/>
  <c r="AG36" i="39" s="1"/>
  <c r="Y56" i="34"/>
  <c r="I63" i="29" s="1"/>
  <c r="V62" i="34"/>
  <c r="I69" i="26" s="1"/>
  <c r="X66" i="26" s="1"/>
  <c r="AG30" i="39" s="1"/>
  <c r="S56" i="34"/>
  <c r="P58" i="34"/>
  <c r="I65" i="20" s="1"/>
  <c r="X61" i="20" s="1"/>
  <c r="AA18" i="39" s="1"/>
  <c r="N61" i="34"/>
  <c r="I68" i="18" s="1"/>
  <c r="X64" i="18" s="1"/>
  <c r="AE25" i="39" s="1"/>
  <c r="J59" i="34"/>
  <c r="I66" i="14" s="1"/>
  <c r="W61" i="34"/>
  <c r="I68" i="27" s="1"/>
  <c r="X64" i="27" s="1"/>
  <c r="AE10" i="39" s="1"/>
  <c r="T57" i="34"/>
  <c r="I64" i="24" s="1"/>
  <c r="X60" i="24" s="1"/>
  <c r="Y26" i="39" s="1"/>
  <c r="R64" i="34"/>
  <c r="I71" i="22" s="1"/>
  <c r="X63" i="22" s="1"/>
  <c r="AC19" i="39" s="1"/>
  <c r="M57" i="34"/>
  <c r="I64" i="17" s="1"/>
  <c r="X60" i="17" s="1"/>
  <c r="Y36" i="39" s="1"/>
  <c r="K56" i="34"/>
  <c r="V59" i="34"/>
  <c r="I66" i="26" s="1"/>
  <c r="Q58" i="34"/>
  <c r="I65" i="21" s="1"/>
  <c r="X61" i="21" s="1"/>
  <c r="AA29" i="39" s="1"/>
  <c r="P63" i="34"/>
  <c r="I70" i="20" s="1"/>
  <c r="X67" i="20" s="1"/>
  <c r="AI18" i="39" s="1"/>
  <c r="L57" i="34"/>
  <c r="I64" i="16" s="1"/>
  <c r="X60" i="16" s="1"/>
  <c r="Y35" i="39" s="1"/>
  <c r="R65" i="34"/>
  <c r="I72" i="22" s="1"/>
  <c r="H59" i="34"/>
  <c r="I66" i="12" s="1"/>
  <c r="N59" i="34"/>
  <c r="I66" i="18" s="1"/>
  <c r="I62" i="34"/>
  <c r="I69" i="13" s="1"/>
  <c r="X66" i="13" s="1"/>
  <c r="AG24" i="39" s="1"/>
  <c r="G65" i="34"/>
  <c r="I72" i="11" s="1"/>
  <c r="D59" i="34"/>
  <c r="I66" i="8" s="1"/>
  <c r="C65" i="34"/>
  <c r="I72" i="7" s="1"/>
  <c r="AA62" i="34"/>
  <c r="I69" i="31" s="1"/>
  <c r="X66" i="31" s="1"/>
  <c r="AG22" i="39" s="1"/>
  <c r="K60" i="34"/>
  <c r="I67" i="15" s="1"/>
  <c r="H64" i="34"/>
  <c r="I71" i="12" s="1"/>
  <c r="X63" i="12" s="1"/>
  <c r="AC33" i="39" s="1"/>
  <c r="N63" i="34"/>
  <c r="I70" i="18" s="1"/>
  <c r="X67" i="18" s="1"/>
  <c r="AI25" i="39" s="1"/>
  <c r="G58" i="34"/>
  <c r="I65" i="11" s="1"/>
  <c r="X61" i="11" s="1"/>
  <c r="AA16" i="39" s="1"/>
  <c r="F63" i="34"/>
  <c r="I70" i="10" s="1"/>
  <c r="X67" i="10" s="1"/>
  <c r="AI15" i="39" s="1"/>
  <c r="E56" i="34"/>
  <c r="C62" i="34"/>
  <c r="I69" i="7" s="1"/>
  <c r="X66" i="7" s="1"/>
  <c r="AG14" i="39" s="1"/>
  <c r="X57" i="34"/>
  <c r="I64" i="28" s="1"/>
  <c r="X60" i="28" s="1"/>
  <c r="Y11" i="39" s="1"/>
  <c r="O65" i="34"/>
  <c r="I72" i="19" s="1"/>
  <c r="J56" i="34"/>
  <c r="I63" i="14" s="1"/>
  <c r="F65" i="34"/>
  <c r="I72" i="10" s="1"/>
  <c r="Q59" i="34"/>
  <c r="I66" i="21" s="1"/>
  <c r="G59" i="34"/>
  <c r="I66" i="11" s="1"/>
  <c r="E58" i="34"/>
  <c r="I65" i="9" s="1"/>
  <c r="X61" i="9" s="1"/>
  <c r="AA8" i="39" s="1"/>
  <c r="D65" i="34"/>
  <c r="I72" i="8" s="1"/>
  <c r="B63" i="34"/>
  <c r="I70" i="3" s="1"/>
  <c r="X67" i="3" s="1"/>
  <c r="AI6" i="39" s="1"/>
  <c r="K64" i="34"/>
  <c r="I71" i="15" s="1"/>
  <c r="X63" i="15" s="1"/>
  <c r="AC17" i="39" s="1"/>
  <c r="C60" i="34"/>
  <c r="I67" i="7" s="1"/>
  <c r="I61" i="34"/>
  <c r="I68" i="13" s="1"/>
  <c r="X64" i="13" s="1"/>
  <c r="AE24" i="39" s="1"/>
  <c r="R61" i="34"/>
  <c r="I68" i="22" s="1"/>
  <c r="X64" i="22" s="1"/>
  <c r="AE19" i="39" s="1"/>
  <c r="E59" i="34"/>
  <c r="I66" i="9" s="1"/>
  <c r="G64" i="34"/>
  <c r="I71" i="11" s="1"/>
  <c r="X63" i="11" s="1"/>
  <c r="AC16" i="39" s="1"/>
  <c r="F56" i="34"/>
  <c r="I63" i="10" s="1"/>
  <c r="D62" i="34"/>
  <c r="I69" i="8" s="1"/>
  <c r="X66" i="8" s="1"/>
  <c r="AG7" i="39" s="1"/>
  <c r="AB58" i="34"/>
  <c r="I65" i="32" s="1"/>
  <c r="X61" i="32" s="1"/>
  <c r="AA12" i="39" s="1"/>
  <c r="Y59" i="34"/>
  <c r="I66" i="29" s="1"/>
  <c r="AA61" i="34"/>
  <c r="I68" i="31" s="1"/>
  <c r="X64" i="31" s="1"/>
  <c r="AE22" i="39" s="1"/>
  <c r="AB61" i="34"/>
  <c r="I68" i="32" s="1"/>
  <c r="X64" i="32" s="1"/>
  <c r="AE12" i="39" s="1"/>
  <c r="T59" i="34"/>
  <c r="I66" i="24" s="1"/>
  <c r="M56" i="34"/>
  <c r="V65" i="34"/>
  <c r="I72" i="26" s="1"/>
  <c r="P65" i="34"/>
  <c r="I72" i="20" s="1"/>
  <c r="W60" i="34"/>
  <c r="I67" i="27" s="1"/>
  <c r="O59" i="34"/>
  <c r="I66" i="19" s="1"/>
  <c r="X59" i="34"/>
  <c r="I66" i="28" s="1"/>
  <c r="Q57" i="34"/>
  <c r="I64" i="21" s="1"/>
  <c r="X60" i="21" s="1"/>
  <c r="Y29" i="39" s="1"/>
  <c r="N65" i="34"/>
  <c r="I72" i="18" s="1"/>
  <c r="W65" i="34"/>
  <c r="I72" i="27" s="1"/>
  <c r="O60" i="34"/>
  <c r="I67" i="19" s="1"/>
  <c r="Y57" i="34"/>
  <c r="I64" i="29" s="1"/>
  <c r="X60" i="29" s="1"/>
  <c r="Y31" i="39" s="1"/>
  <c r="Q62" i="34"/>
  <c r="I69" i="21" s="1"/>
  <c r="X66" i="21" s="1"/>
  <c r="AG29" i="39" s="1"/>
  <c r="L61" i="34"/>
  <c r="I68" i="16" s="1"/>
  <c r="X64" i="16" s="1"/>
  <c r="AE35" i="39" s="1"/>
  <c r="Y13" i="41"/>
  <c r="Y28" i="41"/>
  <c r="Y23" i="41"/>
  <c r="AI13" i="43"/>
  <c r="AI32" i="43"/>
  <c r="X41" i="21"/>
  <c r="AG29" i="41" s="1"/>
  <c r="X38" i="31"/>
  <c r="AC22" i="41" s="1"/>
  <c r="X36" i="32"/>
  <c r="AA12" i="41" s="1"/>
  <c r="X42" i="26"/>
  <c r="AI30" i="41" s="1"/>
  <c r="X36" i="25"/>
  <c r="AA21" i="41" s="1"/>
  <c r="X41" i="28"/>
  <c r="AG11" i="41" s="1"/>
  <c r="X38" i="30"/>
  <c r="AC27" i="41" s="1"/>
  <c r="X42" i="25"/>
  <c r="AI21" i="41" s="1"/>
  <c r="X41" i="20"/>
  <c r="AG18" i="41" s="1"/>
  <c r="X39" i="15"/>
  <c r="AE17" i="41" s="1"/>
  <c r="X42" i="18"/>
  <c r="AI25" i="41" s="1"/>
  <c r="X41" i="13"/>
  <c r="AG24" i="41" s="1"/>
  <c r="X39" i="8"/>
  <c r="AE7" i="41" s="1"/>
  <c r="X36" i="17"/>
  <c r="AA36" i="41" s="1"/>
  <c r="X38" i="22"/>
  <c r="AC19" i="41" s="1"/>
  <c r="X42" i="17"/>
  <c r="AI36" i="41" s="1"/>
  <c r="X41" i="12"/>
  <c r="AG33" i="41" s="1"/>
  <c r="X39" i="7"/>
  <c r="AE14" i="41" s="1"/>
  <c r="X38" i="15"/>
  <c r="AC17" i="41" s="1"/>
  <c r="X42" i="10"/>
  <c r="AI15" i="41" s="1"/>
  <c r="X39" i="32"/>
  <c r="AE12" i="41" s="1"/>
  <c r="X36" i="9"/>
  <c r="AA8" i="41" s="1"/>
  <c r="X38" i="14"/>
  <c r="AC34" i="41" s="1"/>
  <c r="X42" i="9"/>
  <c r="AI8" i="41" s="1"/>
  <c r="X39" i="31"/>
  <c r="AE22" i="41" s="1"/>
  <c r="X36" i="8"/>
  <c r="AA7" i="41" s="1"/>
  <c r="X38" i="7"/>
  <c r="AC14" i="41" s="1"/>
  <c r="X41" i="29"/>
  <c r="AG31" i="41" s="1"/>
  <c r="X38" i="29"/>
  <c r="AC31" i="41" s="1"/>
  <c r="X38" i="21"/>
  <c r="AC29" i="41" s="1"/>
  <c r="X38" i="13"/>
  <c r="AC24" i="41" s="1"/>
  <c r="X42" i="32"/>
  <c r="AI12" i="41" s="1"/>
  <c r="X42" i="8"/>
  <c r="AI7" i="41" s="1"/>
  <c r="X41" i="27"/>
  <c r="AG10" i="41" s="1"/>
  <c r="X41" i="19"/>
  <c r="AG9" i="41" s="1"/>
  <c r="X41" i="11"/>
  <c r="AG16" i="41" s="1"/>
  <c r="X39" i="30"/>
  <c r="AE27" i="41" s="1"/>
  <c r="X39" i="22"/>
  <c r="AE19" i="41" s="1"/>
  <c r="X39" i="14"/>
  <c r="AE34" i="41" s="1"/>
  <c r="X36" i="31"/>
  <c r="AA22" i="41" s="1"/>
  <c r="X36" i="15"/>
  <c r="AA17" i="41" s="1"/>
  <c r="X36" i="7"/>
  <c r="AA14" i="41" s="1"/>
  <c r="X38" i="28"/>
  <c r="AC11" i="41" s="1"/>
  <c r="X38" i="20"/>
  <c r="AC18" i="41" s="1"/>
  <c r="X38" i="12"/>
  <c r="AC33" i="41" s="1"/>
  <c r="X42" i="31"/>
  <c r="AI22" i="41" s="1"/>
  <c r="X42" i="15"/>
  <c r="AI17" i="41" s="1"/>
  <c r="X42" i="7"/>
  <c r="AI14" i="41" s="1"/>
  <c r="X41" i="26"/>
  <c r="AG30" i="41" s="1"/>
  <c r="X41" i="18"/>
  <c r="AG25" i="41" s="1"/>
  <c r="X41" i="10"/>
  <c r="AG15" i="41" s="1"/>
  <c r="X39" i="29"/>
  <c r="AE31" i="41" s="1"/>
  <c r="X39" i="21"/>
  <c r="AE29" i="41" s="1"/>
  <c r="X39" i="13"/>
  <c r="AE24" i="41" s="1"/>
  <c r="X36" i="30"/>
  <c r="AA27" i="41" s="1"/>
  <c r="X36" i="22"/>
  <c r="AA19" i="41" s="1"/>
  <c r="X36" i="14"/>
  <c r="AA34" i="41" s="1"/>
  <c r="X38" i="27"/>
  <c r="AC10" i="41" s="1"/>
  <c r="X38" i="19"/>
  <c r="AC9" i="41" s="1"/>
  <c r="X38" i="11"/>
  <c r="AC16" i="41" s="1"/>
  <c r="X42" i="30"/>
  <c r="AI27" i="41" s="1"/>
  <c r="X42" i="22"/>
  <c r="AI19" i="41" s="1"/>
  <c r="X42" i="14"/>
  <c r="AI34" i="41" s="1"/>
  <c r="X41" i="25"/>
  <c r="AG21" i="41" s="1"/>
  <c r="X41" i="17"/>
  <c r="AG36" i="41" s="1"/>
  <c r="X41" i="9"/>
  <c r="AG8" i="41" s="1"/>
  <c r="X39" i="28"/>
  <c r="AE11" i="41" s="1"/>
  <c r="X39" i="20"/>
  <c r="AE18" i="41" s="1"/>
  <c r="X39" i="12"/>
  <c r="AE33" i="41" s="1"/>
  <c r="X36" i="29"/>
  <c r="AA31" i="41" s="1"/>
  <c r="X36" i="21"/>
  <c r="AA29" i="41" s="1"/>
  <c r="X36" i="13"/>
  <c r="AA24" i="41" s="1"/>
  <c r="X38" i="26"/>
  <c r="AC30" i="41" s="1"/>
  <c r="X38" i="18"/>
  <c r="AC25" i="41" s="1"/>
  <c r="X38" i="10"/>
  <c r="AC15" i="41" s="1"/>
  <c r="X42" i="29"/>
  <c r="AI31" i="41" s="1"/>
  <c r="X42" i="21"/>
  <c r="AI29" i="41" s="1"/>
  <c r="X42" i="13"/>
  <c r="AI24" i="41" s="1"/>
  <c r="X41" i="32"/>
  <c r="AG12" i="41" s="1"/>
  <c r="X41" i="8"/>
  <c r="AG7" i="41" s="1"/>
  <c r="X39" i="27"/>
  <c r="AE10" i="41" s="1"/>
  <c r="X39" i="19"/>
  <c r="AE9" i="41" s="1"/>
  <c r="X39" i="11"/>
  <c r="AE16" i="41" s="1"/>
  <c r="X36" i="28"/>
  <c r="AA11" i="41" s="1"/>
  <c r="X36" i="20"/>
  <c r="AA18" i="41" s="1"/>
  <c r="X36" i="12"/>
  <c r="AA33" i="41" s="1"/>
  <c r="X38" i="25"/>
  <c r="AC21" i="41" s="1"/>
  <c r="X38" i="17"/>
  <c r="AC36" i="41" s="1"/>
  <c r="X38" i="9"/>
  <c r="AC8" i="41" s="1"/>
  <c r="X42" i="28"/>
  <c r="AI11" i="41" s="1"/>
  <c r="X42" i="20"/>
  <c r="AI18" i="41" s="1"/>
  <c r="X42" i="12"/>
  <c r="AI33" i="41" s="1"/>
  <c r="X41" i="31"/>
  <c r="AG22" i="41" s="1"/>
  <c r="X41" i="15"/>
  <c r="AG17" i="41" s="1"/>
  <c r="X41" i="7"/>
  <c r="AG14" i="41" s="1"/>
  <c r="X39" i="26"/>
  <c r="AE30" i="41" s="1"/>
  <c r="X39" i="18"/>
  <c r="AE25" i="41" s="1"/>
  <c r="X39" i="10"/>
  <c r="AE15" i="41" s="1"/>
  <c r="X36" i="27"/>
  <c r="AA10" i="41" s="1"/>
  <c r="X36" i="19"/>
  <c r="AA9" i="41" s="1"/>
  <c r="X36" i="11"/>
  <c r="AA16" i="41" s="1"/>
  <c r="X38" i="32"/>
  <c r="AC12" i="41" s="1"/>
  <c r="X38" i="8"/>
  <c r="AC7" i="41" s="1"/>
  <c r="X42" i="27"/>
  <c r="AI10" i="41" s="1"/>
  <c r="X42" i="19"/>
  <c r="AI9" i="41" s="1"/>
  <c r="X42" i="11"/>
  <c r="AI16" i="41" s="1"/>
  <c r="X41" i="30"/>
  <c r="AG27" i="41" s="1"/>
  <c r="X41" i="22"/>
  <c r="AG19" i="41" s="1"/>
  <c r="X41" i="14"/>
  <c r="AG34" i="41" s="1"/>
  <c r="X39" i="25"/>
  <c r="AE21" i="41" s="1"/>
  <c r="X39" i="17"/>
  <c r="AE36" i="41" s="1"/>
  <c r="X39" i="9"/>
  <c r="AE8" i="41" s="1"/>
  <c r="X36" i="26"/>
  <c r="AA30" i="41" s="1"/>
  <c r="X36" i="18"/>
  <c r="AA25" i="41" s="1"/>
  <c r="X36" i="10"/>
  <c r="AA15" i="41" s="1"/>
  <c r="AG23" i="39"/>
  <c r="L7" i="26"/>
  <c r="L10" i="26" s="1"/>
  <c r="J17" i="26" s="1"/>
  <c r="U18" i="26" s="1"/>
  <c r="P30" i="43" s="1"/>
  <c r="J43" i="16"/>
  <c r="J40" i="16"/>
  <c r="J45" i="16"/>
  <c r="R35" i="16"/>
  <c r="J39" i="16"/>
  <c r="J44" i="16"/>
  <c r="J46" i="16"/>
  <c r="L10" i="14"/>
  <c r="J17" i="14" s="1"/>
  <c r="U18" i="14" s="1"/>
  <c r="P34" i="43" s="1"/>
  <c r="AI28" i="43"/>
  <c r="AE28" i="43"/>
  <c r="Y5" i="43"/>
  <c r="AE32" i="43"/>
  <c r="AI23" i="43"/>
  <c r="AG5" i="43"/>
  <c r="AG4" i="43" s="1"/>
  <c r="AA32" i="43"/>
  <c r="AI5" i="43"/>
  <c r="AI4" i="43" s="1"/>
  <c r="AA28" i="43"/>
  <c r="AA23" i="43"/>
  <c r="L9" i="14"/>
  <c r="J14" i="14" s="1"/>
  <c r="U14" i="14" s="1"/>
  <c r="K34" i="43" s="1"/>
  <c r="L12" i="24"/>
  <c r="J23" i="24" s="1"/>
  <c r="U8" i="24" s="1"/>
  <c r="D26" i="43" s="1"/>
  <c r="L9" i="18"/>
  <c r="J14" i="18" s="1"/>
  <c r="L9" i="28"/>
  <c r="J14" i="28" s="1"/>
  <c r="U14" i="28" s="1"/>
  <c r="K11" i="43" s="1"/>
  <c r="L10" i="11"/>
  <c r="J17" i="11" s="1"/>
  <c r="U18" i="11" s="1"/>
  <c r="P16" i="43" s="1"/>
  <c r="L9" i="23"/>
  <c r="J14" i="23" s="1"/>
  <c r="U14" i="23" s="1"/>
  <c r="K20" i="43" s="1"/>
  <c r="L12" i="9"/>
  <c r="J23" i="9" s="1"/>
  <c r="U8" i="9" s="1"/>
  <c r="D8" i="43" s="1"/>
  <c r="L11" i="9"/>
  <c r="J18" i="9" s="1"/>
  <c r="X8" i="9" s="1"/>
  <c r="U8" i="43" s="1"/>
  <c r="L7" i="21"/>
  <c r="L11" i="25"/>
  <c r="J18" i="25" s="1"/>
  <c r="X8" i="25" s="1"/>
  <c r="U21" i="43" s="1"/>
  <c r="L12" i="25"/>
  <c r="J23" i="25" s="1"/>
  <c r="U8" i="25" s="1"/>
  <c r="D21" i="43" s="1"/>
  <c r="L10" i="17"/>
  <c r="J17" i="17" s="1"/>
  <c r="U18" i="17" s="1"/>
  <c r="P36" i="43" s="1"/>
  <c r="L12" i="17"/>
  <c r="J23" i="17" s="1"/>
  <c r="U8" i="17" s="1"/>
  <c r="D36" i="43" s="1"/>
  <c r="L10" i="27"/>
  <c r="J17" i="27" s="1"/>
  <c r="U18" i="27" s="1"/>
  <c r="P10" i="43" s="1"/>
  <c r="L11" i="27"/>
  <c r="J18" i="27" s="1"/>
  <c r="X8" i="27" s="1"/>
  <c r="U10" i="43" s="1"/>
  <c r="L7" i="7"/>
  <c r="L9" i="7" s="1"/>
  <c r="J14" i="7" s="1"/>
  <c r="U14" i="7" s="1"/>
  <c r="K14" i="43" s="1"/>
  <c r="K13" i="43" s="1"/>
  <c r="L10" i="23"/>
  <c r="J17" i="23" s="1"/>
  <c r="J19" i="7"/>
  <c r="AE13" i="43"/>
  <c r="L11" i="28"/>
  <c r="J18" i="28" s="1"/>
  <c r="X8" i="28" s="1"/>
  <c r="U11" i="43" s="1"/>
  <c r="L12" i="29"/>
  <c r="J23" i="29" s="1"/>
  <c r="U8" i="29" s="1"/>
  <c r="D31" i="43" s="1"/>
  <c r="L9" i="24"/>
  <c r="J14" i="24" s="1"/>
  <c r="U14" i="24" s="1"/>
  <c r="K26" i="43" s="1"/>
  <c r="J16" i="7"/>
  <c r="AA13" i="43"/>
  <c r="L10" i="3"/>
  <c r="J17" i="3" s="1"/>
  <c r="U18" i="3" s="1"/>
  <c r="P6" i="43" s="1"/>
  <c r="P5" i="43" s="1"/>
  <c r="P4" i="43" s="1"/>
  <c r="L12" i="23"/>
  <c r="J23" i="23" s="1"/>
  <c r="U8" i="23" s="1"/>
  <c r="D20" i="43" s="1"/>
  <c r="L9" i="27"/>
  <c r="J14" i="27" s="1"/>
  <c r="U14" i="27" s="1"/>
  <c r="K10" i="43" s="1"/>
  <c r="L10" i="20"/>
  <c r="J17" i="20" s="1"/>
  <c r="U18" i="20" s="1"/>
  <c r="P18" i="43" s="1"/>
  <c r="L9" i="17"/>
  <c r="J14" i="17" s="1"/>
  <c r="U14" i="17" s="1"/>
  <c r="K36" i="43" s="1"/>
  <c r="I96" i="22"/>
  <c r="X88" i="22" s="1"/>
  <c r="AC19" i="40" s="1"/>
  <c r="I121" i="22"/>
  <c r="X113" i="22" s="1"/>
  <c r="AC19" i="44" s="1"/>
  <c r="I95" i="22"/>
  <c r="X92" i="22" s="1"/>
  <c r="AI19" i="40" s="1"/>
  <c r="I120" i="22"/>
  <c r="X117" i="22" s="1"/>
  <c r="AI19" i="44" s="1"/>
  <c r="I90" i="22"/>
  <c r="X86" i="22" s="1"/>
  <c r="AA19" i="40" s="1"/>
  <c r="I115" i="22"/>
  <c r="X111" i="22" s="1"/>
  <c r="AA19" i="44" s="1"/>
  <c r="L9" i="29"/>
  <c r="J14" i="29" s="1"/>
  <c r="U14" i="29" s="1"/>
  <c r="K31" i="43" s="1"/>
  <c r="L9" i="3"/>
  <c r="J14" i="3" s="1"/>
  <c r="U14" i="3" s="1"/>
  <c r="K6" i="43" s="1"/>
  <c r="K5" i="43" s="1"/>
  <c r="K4" i="43" s="1"/>
  <c r="J19" i="8"/>
  <c r="AE5" i="43"/>
  <c r="AE4" i="43" s="1"/>
  <c r="L12" i="12"/>
  <c r="J23" i="12" s="1"/>
  <c r="U8" i="12" s="1"/>
  <c r="D33" i="43" s="1"/>
  <c r="D32" i="43" s="1"/>
  <c r="L10" i="12"/>
  <c r="J17" i="12" s="1"/>
  <c r="U18" i="12" s="1"/>
  <c r="P33" i="43" s="1"/>
  <c r="P32" i="43" s="1"/>
  <c r="L10" i="31"/>
  <c r="J17" i="31" s="1"/>
  <c r="U18" i="31" s="1"/>
  <c r="P22" i="43" s="1"/>
  <c r="L9" i="16"/>
  <c r="J14" i="16" s="1"/>
  <c r="U14" i="16" s="1"/>
  <c r="K35" i="43" s="1"/>
  <c r="L11" i="16"/>
  <c r="J18" i="16" s="1"/>
  <c r="X8" i="16" s="1"/>
  <c r="U35" i="43" s="1"/>
  <c r="L12" i="14"/>
  <c r="J23" i="14" s="1"/>
  <c r="U8" i="14" s="1"/>
  <c r="D34" i="43" s="1"/>
  <c r="L10" i="10"/>
  <c r="J17" i="10" s="1"/>
  <c r="U18" i="10" s="1"/>
  <c r="P15" i="43" s="1"/>
  <c r="L12" i="10"/>
  <c r="J23" i="10" s="1"/>
  <c r="U8" i="10" s="1"/>
  <c r="D15" i="43" s="1"/>
  <c r="J16" i="8"/>
  <c r="AA5" i="43"/>
  <c r="AA4" i="43" s="1"/>
  <c r="L12" i="28"/>
  <c r="J23" i="28" s="1"/>
  <c r="L11" i="3"/>
  <c r="J18" i="3" s="1"/>
  <c r="X8" i="3" s="1"/>
  <c r="U6" i="43" s="1"/>
  <c r="U5" i="43" s="1"/>
  <c r="U4" i="43" s="1"/>
  <c r="J22" i="7"/>
  <c r="L12" i="31"/>
  <c r="J23" i="31" s="1"/>
  <c r="U8" i="31" s="1"/>
  <c r="D22" i="43" s="1"/>
  <c r="L10" i="9"/>
  <c r="J17" i="9" s="1"/>
  <c r="U18" i="9" s="1"/>
  <c r="P8" i="43" s="1"/>
  <c r="O7" i="15"/>
  <c r="O8" i="15" s="1"/>
  <c r="O19" i="15" s="1"/>
  <c r="L10" i="8"/>
  <c r="J17" i="8" s="1"/>
  <c r="U18" i="8" s="1"/>
  <c r="P7" i="43" s="1"/>
  <c r="L11" i="8"/>
  <c r="J18" i="8" s="1"/>
  <c r="X8" i="8" s="1"/>
  <c r="U7" i="43" s="1"/>
  <c r="L12" i="27"/>
  <c r="J23" i="27" s="1"/>
  <c r="U8" i="27" s="1"/>
  <c r="D10" i="43" s="1"/>
  <c r="R11" i="7"/>
  <c r="L9" i="9"/>
  <c r="J14" i="9" s="1"/>
  <c r="U14" i="9" s="1"/>
  <c r="K8" i="43" s="1"/>
  <c r="L9" i="31"/>
  <c r="J14" i="31" s="1"/>
  <c r="R11" i="8"/>
  <c r="L11" i="20"/>
  <c r="J18" i="20" s="1"/>
  <c r="X8" i="20" s="1"/>
  <c r="U18" i="43" s="1"/>
  <c r="L12" i="20"/>
  <c r="J23" i="20" s="1"/>
  <c r="AC5" i="43"/>
  <c r="AC4" i="43" s="1"/>
  <c r="J22" i="8"/>
  <c r="L10" i="24"/>
  <c r="J17" i="24" s="1"/>
  <c r="U18" i="24" s="1"/>
  <c r="P26" i="43" s="1"/>
  <c r="L9" i="25"/>
  <c r="J14" i="25" s="1"/>
  <c r="U14" i="25" s="1"/>
  <c r="K21" i="43" s="1"/>
  <c r="L12" i="8"/>
  <c r="J23" i="8" s="1"/>
  <c r="R7" i="22"/>
  <c r="R8" i="22" s="1"/>
  <c r="R12" i="22" s="1"/>
  <c r="J4" i="40"/>
  <c r="I5" i="40"/>
  <c r="R60" i="32"/>
  <c r="R110" i="31"/>
  <c r="I28" i="40"/>
  <c r="J4" i="41"/>
  <c r="R60" i="15"/>
  <c r="I32" i="40"/>
  <c r="I13" i="40"/>
  <c r="J45" i="23"/>
  <c r="R35" i="31"/>
  <c r="J43" i="23"/>
  <c r="J45" i="24"/>
  <c r="R35" i="20"/>
  <c r="R35" i="10"/>
  <c r="L67" i="4"/>
  <c r="R35" i="13"/>
  <c r="J40" i="24"/>
  <c r="R35" i="28"/>
  <c r="J44" i="24"/>
  <c r="R35" i="23"/>
  <c r="J39" i="23"/>
  <c r="L31" i="23"/>
  <c r="R35" i="12"/>
  <c r="R35" i="11"/>
  <c r="R35" i="25"/>
  <c r="R35" i="15"/>
  <c r="R35" i="27"/>
  <c r="R35" i="26"/>
  <c r="R35" i="17"/>
  <c r="R35" i="8"/>
  <c r="J46" i="23"/>
  <c r="R35" i="9"/>
  <c r="L31" i="24"/>
  <c r="L34" i="24" s="1"/>
  <c r="J41" i="24" s="1"/>
  <c r="U42" i="24" s="1"/>
  <c r="P26" i="41" s="1"/>
  <c r="J43" i="24"/>
  <c r="R35" i="30"/>
  <c r="J46" i="24"/>
  <c r="J40" i="23"/>
  <c r="R35" i="32"/>
  <c r="R35" i="14"/>
  <c r="R35" i="19"/>
  <c r="J39" i="24"/>
  <c r="R35" i="24"/>
  <c r="R35" i="7"/>
  <c r="R35" i="29"/>
  <c r="R35" i="18"/>
  <c r="R35" i="21"/>
  <c r="J44" i="23"/>
  <c r="R35" i="22"/>
  <c r="J39" i="27"/>
  <c r="J45" i="8"/>
  <c r="J39" i="26"/>
  <c r="J44" i="26"/>
  <c r="J39" i="17"/>
  <c r="J46" i="27"/>
  <c r="J44" i="9"/>
  <c r="J39" i="8"/>
  <c r="J46" i="18"/>
  <c r="J44" i="8"/>
  <c r="J39" i="7"/>
  <c r="J45" i="28"/>
  <c r="J43" i="18"/>
  <c r="J40" i="27"/>
  <c r="J45" i="11"/>
  <c r="J39" i="29"/>
  <c r="I38" i="3"/>
  <c r="AD56" i="4"/>
  <c r="B67" i="4"/>
  <c r="I45" i="3"/>
  <c r="AD63" i="4"/>
  <c r="I113" i="16"/>
  <c r="J114" i="32"/>
  <c r="J68" i="13"/>
  <c r="C62" i="35"/>
  <c r="I94" i="7" s="1"/>
  <c r="X91" i="7" s="1"/>
  <c r="AG14" i="40" s="1"/>
  <c r="C59" i="35"/>
  <c r="I91" i="7" s="1"/>
  <c r="C61" i="35"/>
  <c r="I93" i="7" s="1"/>
  <c r="X89" i="7" s="1"/>
  <c r="AE14" i="40" s="1"/>
  <c r="C64" i="35"/>
  <c r="I96" i="7" s="1"/>
  <c r="X88" i="7" s="1"/>
  <c r="AC14" i="40" s="1"/>
  <c r="C56" i="35"/>
  <c r="C63" i="35"/>
  <c r="I95" i="7" s="1"/>
  <c r="X92" i="7" s="1"/>
  <c r="AI14" i="40" s="1"/>
  <c r="C65" i="35"/>
  <c r="I97" i="7" s="1"/>
  <c r="X56" i="35"/>
  <c r="C57" i="35"/>
  <c r="I89" i="7" s="1"/>
  <c r="X85" i="7" s="1"/>
  <c r="Y14" i="40" s="1"/>
  <c r="C60" i="35"/>
  <c r="I92" i="7" s="1"/>
  <c r="F60" i="35"/>
  <c r="I92" i="10" s="1"/>
  <c r="F64" i="35"/>
  <c r="I96" i="10" s="1"/>
  <c r="X88" i="10" s="1"/>
  <c r="AC15" i="40" s="1"/>
  <c r="F57" i="35"/>
  <c r="I89" i="10" s="1"/>
  <c r="X85" i="10" s="1"/>
  <c r="Y15" i="40" s="1"/>
  <c r="F61" i="35"/>
  <c r="I93" i="10" s="1"/>
  <c r="X89" i="10" s="1"/>
  <c r="AE15" i="40" s="1"/>
  <c r="F65" i="35"/>
  <c r="I97" i="10" s="1"/>
  <c r="C58" i="35"/>
  <c r="I90" i="7" s="1"/>
  <c r="X86" i="7" s="1"/>
  <c r="AA14" i="40" s="1"/>
  <c r="F58" i="35"/>
  <c r="I90" i="10" s="1"/>
  <c r="X86" i="10" s="1"/>
  <c r="AA15" i="40" s="1"/>
  <c r="F62" i="35"/>
  <c r="I94" i="10" s="1"/>
  <c r="X91" i="10" s="1"/>
  <c r="AG15" i="40" s="1"/>
  <c r="F56" i="35"/>
  <c r="F63" i="35"/>
  <c r="I95" i="10" s="1"/>
  <c r="X92" i="10" s="1"/>
  <c r="AI15" i="40" s="1"/>
  <c r="AA58" i="35"/>
  <c r="I90" i="31" s="1"/>
  <c r="X86" i="31" s="1"/>
  <c r="AA22" i="40" s="1"/>
  <c r="AA62" i="35"/>
  <c r="I94" i="31" s="1"/>
  <c r="X91" i="31" s="1"/>
  <c r="AG22" i="40" s="1"/>
  <c r="AA56" i="35"/>
  <c r="Y57" i="35"/>
  <c r="I89" i="29" s="1"/>
  <c r="X85" i="29" s="1"/>
  <c r="Y31" i="40" s="1"/>
  <c r="Y61" i="35"/>
  <c r="I93" i="29" s="1"/>
  <c r="X89" i="29" s="1"/>
  <c r="AE31" i="40" s="1"/>
  <c r="Y65" i="35"/>
  <c r="I97" i="29" s="1"/>
  <c r="AB57" i="35"/>
  <c r="I89" i="32" s="1"/>
  <c r="X85" i="32" s="1"/>
  <c r="Y12" i="40" s="1"/>
  <c r="AB61" i="35"/>
  <c r="I93" i="32" s="1"/>
  <c r="X89" i="32" s="1"/>
  <c r="AE12" i="40" s="1"/>
  <c r="AB65" i="35"/>
  <c r="I97" i="32" s="1"/>
  <c r="Z60" i="35"/>
  <c r="I92" i="30" s="1"/>
  <c r="Z64" i="35"/>
  <c r="I96" i="30" s="1"/>
  <c r="X88" i="30" s="1"/>
  <c r="AC27" i="40" s="1"/>
  <c r="X59" i="35"/>
  <c r="I91" i="28" s="1"/>
  <c r="X63" i="35"/>
  <c r="I95" i="28" s="1"/>
  <c r="X92" i="28" s="1"/>
  <c r="AI11" i="40" s="1"/>
  <c r="AA59" i="35"/>
  <c r="I91" i="31" s="1"/>
  <c r="AA63" i="35"/>
  <c r="I95" i="31" s="1"/>
  <c r="X92" i="31" s="1"/>
  <c r="AI22" i="40" s="1"/>
  <c r="Y58" i="35"/>
  <c r="I90" i="29" s="1"/>
  <c r="X86" i="29" s="1"/>
  <c r="AA31" i="40" s="1"/>
  <c r="Y62" i="35"/>
  <c r="I94" i="29" s="1"/>
  <c r="X91" i="29" s="1"/>
  <c r="AG31" i="40" s="1"/>
  <c r="Y56" i="35"/>
  <c r="W58" i="35"/>
  <c r="I90" i="27" s="1"/>
  <c r="X86" i="27" s="1"/>
  <c r="AA10" i="40" s="1"/>
  <c r="W62" i="35"/>
  <c r="I94" i="27" s="1"/>
  <c r="X91" i="27" s="1"/>
  <c r="AG10" i="40" s="1"/>
  <c r="W56" i="35"/>
  <c r="AB58" i="35"/>
  <c r="I90" i="32" s="1"/>
  <c r="X86" i="32" s="1"/>
  <c r="AA12" i="40" s="1"/>
  <c r="AB62" i="35"/>
  <c r="I94" i="32" s="1"/>
  <c r="X91" i="32" s="1"/>
  <c r="AG12" i="40" s="1"/>
  <c r="AB56" i="35"/>
  <c r="Z57" i="35"/>
  <c r="I89" i="30" s="1"/>
  <c r="X85" i="30" s="1"/>
  <c r="Y27" i="40" s="1"/>
  <c r="Z61" i="35"/>
  <c r="I93" i="30" s="1"/>
  <c r="X89" i="30" s="1"/>
  <c r="AE27" i="40" s="1"/>
  <c r="Z65" i="35"/>
  <c r="I97" i="30" s="1"/>
  <c r="X60" i="35"/>
  <c r="I92" i="28" s="1"/>
  <c r="X64" i="35"/>
  <c r="I96" i="28" s="1"/>
  <c r="X88" i="28" s="1"/>
  <c r="AC11" i="40" s="1"/>
  <c r="AA60" i="35"/>
  <c r="I92" i="31" s="1"/>
  <c r="AA64" i="35"/>
  <c r="I96" i="31" s="1"/>
  <c r="X88" i="31" s="1"/>
  <c r="AC22" i="40" s="1"/>
  <c r="Y59" i="35"/>
  <c r="I91" i="29" s="1"/>
  <c r="Y63" i="35"/>
  <c r="I95" i="29" s="1"/>
  <c r="X92" i="29" s="1"/>
  <c r="AI31" i="40" s="1"/>
  <c r="W59" i="35"/>
  <c r="I91" i="27" s="1"/>
  <c r="W63" i="35"/>
  <c r="I95" i="27" s="1"/>
  <c r="X92" i="27" s="1"/>
  <c r="AI10" i="40" s="1"/>
  <c r="AB59" i="35"/>
  <c r="I91" i="32" s="1"/>
  <c r="AB63" i="35"/>
  <c r="I95" i="32" s="1"/>
  <c r="X92" i="32" s="1"/>
  <c r="AI12" i="40" s="1"/>
  <c r="Z58" i="35"/>
  <c r="I90" i="30" s="1"/>
  <c r="X86" i="30" s="1"/>
  <c r="AA27" i="40" s="1"/>
  <c r="Z62" i="35"/>
  <c r="I94" i="30" s="1"/>
  <c r="X91" i="30" s="1"/>
  <c r="AG27" i="40" s="1"/>
  <c r="Z56" i="35"/>
  <c r="X57" i="35"/>
  <c r="I89" i="28" s="1"/>
  <c r="X85" i="28" s="1"/>
  <c r="Y11" i="40" s="1"/>
  <c r="X61" i="35"/>
  <c r="I93" i="28" s="1"/>
  <c r="X89" i="28" s="1"/>
  <c r="AE11" i="40" s="1"/>
  <c r="X65" i="35"/>
  <c r="I97" i="28" s="1"/>
  <c r="AB64" i="35"/>
  <c r="I96" i="32" s="1"/>
  <c r="X88" i="32" s="1"/>
  <c r="AC12" i="40" s="1"/>
  <c r="W57" i="35"/>
  <c r="I89" i="27" s="1"/>
  <c r="X85" i="27" s="1"/>
  <c r="Y10" i="40" s="1"/>
  <c r="W65" i="35"/>
  <c r="I97" i="27" s="1"/>
  <c r="V60" i="35"/>
  <c r="I92" i="26" s="1"/>
  <c r="V64" i="35"/>
  <c r="I96" i="26" s="1"/>
  <c r="X88" i="26" s="1"/>
  <c r="AC30" i="40" s="1"/>
  <c r="S60" i="35"/>
  <c r="I92" i="23" s="1"/>
  <c r="S64" i="35"/>
  <c r="I96" i="23" s="1"/>
  <c r="X88" i="23" s="1"/>
  <c r="AC20" i="40" s="1"/>
  <c r="Q57" i="35"/>
  <c r="I89" i="21" s="1"/>
  <c r="X85" i="21" s="1"/>
  <c r="Y29" i="40" s="1"/>
  <c r="Q61" i="35"/>
  <c r="I93" i="21" s="1"/>
  <c r="X89" i="21" s="1"/>
  <c r="AE29" i="40" s="1"/>
  <c r="Q65" i="35"/>
  <c r="I97" i="21" s="1"/>
  <c r="P58" i="35"/>
  <c r="I90" i="20" s="1"/>
  <c r="X86" i="20" s="1"/>
  <c r="AA18" i="40" s="1"/>
  <c r="P62" i="35"/>
  <c r="I94" i="20" s="1"/>
  <c r="X91" i="20" s="1"/>
  <c r="AG18" i="40" s="1"/>
  <c r="P56" i="35"/>
  <c r="Y64" i="35"/>
  <c r="I96" i="29" s="1"/>
  <c r="X88" i="29" s="1"/>
  <c r="AC31" i="40" s="1"/>
  <c r="X62" i="35"/>
  <c r="I94" i="28" s="1"/>
  <c r="X91" i="28" s="1"/>
  <c r="AG11" i="40" s="1"/>
  <c r="U58" i="35"/>
  <c r="I90" i="25" s="1"/>
  <c r="X86" i="25" s="1"/>
  <c r="AA21" i="40" s="1"/>
  <c r="U62" i="35"/>
  <c r="I94" i="25" s="1"/>
  <c r="X91" i="25" s="1"/>
  <c r="AG21" i="40" s="1"/>
  <c r="U56" i="35"/>
  <c r="T59" i="35"/>
  <c r="I91" i="24" s="1"/>
  <c r="T63" i="35"/>
  <c r="I95" i="24" s="1"/>
  <c r="X92" i="24" s="1"/>
  <c r="AI26" i="40" s="1"/>
  <c r="O60" i="35"/>
  <c r="I92" i="19" s="1"/>
  <c r="O64" i="35"/>
  <c r="I96" i="19" s="1"/>
  <c r="X88" i="19" s="1"/>
  <c r="AC9" i="40" s="1"/>
  <c r="W60" i="35"/>
  <c r="I92" i="27" s="1"/>
  <c r="V57" i="35"/>
  <c r="I89" i="26" s="1"/>
  <c r="X85" i="26" s="1"/>
  <c r="Y30" i="40" s="1"/>
  <c r="V61" i="35"/>
  <c r="I93" i="26" s="1"/>
  <c r="X89" i="26" s="1"/>
  <c r="AE30" i="40" s="1"/>
  <c r="V65" i="35"/>
  <c r="I97" i="26" s="1"/>
  <c r="S57" i="35"/>
  <c r="I89" i="23" s="1"/>
  <c r="X85" i="23" s="1"/>
  <c r="Y20" i="40" s="1"/>
  <c r="S61" i="35"/>
  <c r="I93" i="23" s="1"/>
  <c r="X89" i="23" s="1"/>
  <c r="AE20" i="40" s="1"/>
  <c r="S65" i="35"/>
  <c r="I97" i="23" s="1"/>
  <c r="Q58" i="35"/>
  <c r="I90" i="21" s="1"/>
  <c r="X86" i="21" s="1"/>
  <c r="AA29" i="40" s="1"/>
  <c r="Q62" i="35"/>
  <c r="I94" i="21" s="1"/>
  <c r="X91" i="21" s="1"/>
  <c r="AG29" i="40" s="1"/>
  <c r="Q56" i="35"/>
  <c r="P59" i="35"/>
  <c r="I91" i="20" s="1"/>
  <c r="P63" i="35"/>
  <c r="I95" i="20" s="1"/>
  <c r="X92" i="20" s="1"/>
  <c r="AI18" i="40" s="1"/>
  <c r="AA57" i="35"/>
  <c r="I89" i="31" s="1"/>
  <c r="X85" i="31" s="1"/>
  <c r="Y22" i="40" s="1"/>
  <c r="U59" i="35"/>
  <c r="I91" i="25" s="1"/>
  <c r="U63" i="35"/>
  <c r="I95" i="25" s="1"/>
  <c r="X92" i="25" s="1"/>
  <c r="AI21" i="40" s="1"/>
  <c r="T60" i="35"/>
  <c r="I92" i="24" s="1"/>
  <c r="T64" i="35"/>
  <c r="I96" i="24" s="1"/>
  <c r="X88" i="24" s="1"/>
  <c r="AC26" i="40" s="1"/>
  <c r="O57" i="35"/>
  <c r="I89" i="19" s="1"/>
  <c r="X85" i="19" s="1"/>
  <c r="Y9" i="40" s="1"/>
  <c r="O61" i="35"/>
  <c r="I93" i="19" s="1"/>
  <c r="X89" i="19" s="1"/>
  <c r="AE9" i="40" s="1"/>
  <c r="O65" i="35"/>
  <c r="I97" i="19" s="1"/>
  <c r="F59" i="35"/>
  <c r="I91" i="10" s="1"/>
  <c r="Z59" i="35"/>
  <c r="I91" i="30" s="1"/>
  <c r="W61" i="35"/>
  <c r="I93" i="27" s="1"/>
  <c r="X89" i="27" s="1"/>
  <c r="AE10" i="40" s="1"/>
  <c r="V58" i="35"/>
  <c r="I90" i="26" s="1"/>
  <c r="X86" i="26" s="1"/>
  <c r="AA30" i="40" s="1"/>
  <c r="V62" i="35"/>
  <c r="I94" i="26" s="1"/>
  <c r="X91" i="26" s="1"/>
  <c r="AG30" i="40" s="1"/>
  <c r="V56" i="35"/>
  <c r="S58" i="35"/>
  <c r="I90" i="23" s="1"/>
  <c r="X86" i="23" s="1"/>
  <c r="AA20" i="40" s="1"/>
  <c r="S62" i="35"/>
  <c r="I94" i="23" s="1"/>
  <c r="X91" i="23" s="1"/>
  <c r="AG20" i="40" s="1"/>
  <c r="S56" i="35"/>
  <c r="Q59" i="35"/>
  <c r="I91" i="21" s="1"/>
  <c r="Q63" i="35"/>
  <c r="I95" i="21" s="1"/>
  <c r="X92" i="21" s="1"/>
  <c r="AI29" i="40" s="1"/>
  <c r="P60" i="35"/>
  <c r="I92" i="20" s="1"/>
  <c r="P64" i="35"/>
  <c r="I96" i="20" s="1"/>
  <c r="X88" i="20" s="1"/>
  <c r="AC18" i="40" s="1"/>
  <c r="AA61" i="35"/>
  <c r="I93" i="31" s="1"/>
  <c r="X89" i="31" s="1"/>
  <c r="AE22" i="40" s="1"/>
  <c r="U60" i="35"/>
  <c r="I92" i="25" s="1"/>
  <c r="U64" i="35"/>
  <c r="I96" i="25" s="1"/>
  <c r="X88" i="25" s="1"/>
  <c r="AC21" i="40" s="1"/>
  <c r="T57" i="35"/>
  <c r="I89" i="24" s="1"/>
  <c r="X85" i="24" s="1"/>
  <c r="Y26" i="40" s="1"/>
  <c r="T61" i="35"/>
  <c r="I93" i="24" s="1"/>
  <c r="X89" i="24" s="1"/>
  <c r="AE26" i="40" s="1"/>
  <c r="T65" i="35"/>
  <c r="I97" i="24" s="1"/>
  <c r="AB60" i="35"/>
  <c r="I92" i="32" s="1"/>
  <c r="M57" i="35"/>
  <c r="I89" i="17" s="1"/>
  <c r="X85" i="17" s="1"/>
  <c r="Y36" i="40" s="1"/>
  <c r="M61" i="35"/>
  <c r="I93" i="17" s="1"/>
  <c r="X89" i="17" s="1"/>
  <c r="AE36" i="40" s="1"/>
  <c r="M65" i="35"/>
  <c r="I97" i="17" s="1"/>
  <c r="L61" i="35"/>
  <c r="I93" i="16" s="1"/>
  <c r="X89" i="16" s="1"/>
  <c r="AE35" i="40" s="1"/>
  <c r="K60" i="35"/>
  <c r="I92" i="15" s="1"/>
  <c r="K64" i="35"/>
  <c r="I96" i="15" s="1"/>
  <c r="X88" i="15" s="1"/>
  <c r="AC17" i="40" s="1"/>
  <c r="I59" i="35"/>
  <c r="I91" i="13" s="1"/>
  <c r="I63" i="35"/>
  <c r="I95" i="13" s="1"/>
  <c r="X92" i="13" s="1"/>
  <c r="AI24" i="40" s="1"/>
  <c r="G58" i="35"/>
  <c r="I90" i="11" s="1"/>
  <c r="X86" i="11" s="1"/>
  <c r="AA16" i="40" s="1"/>
  <c r="G62" i="35"/>
  <c r="I94" i="11" s="1"/>
  <c r="X91" i="11" s="1"/>
  <c r="AG16" i="40" s="1"/>
  <c r="G56" i="35"/>
  <c r="R56" i="35"/>
  <c r="R60" i="35"/>
  <c r="R64" i="35"/>
  <c r="V63" i="35"/>
  <c r="I95" i="26" s="1"/>
  <c r="X92" i="26" s="1"/>
  <c r="AI30" i="40" s="1"/>
  <c r="U61" i="35"/>
  <c r="I93" i="25" s="1"/>
  <c r="X89" i="25" s="1"/>
  <c r="AE21" i="40" s="1"/>
  <c r="T62" i="35"/>
  <c r="I94" i="24" s="1"/>
  <c r="X91" i="24" s="1"/>
  <c r="AG26" i="40" s="1"/>
  <c r="S59" i="35"/>
  <c r="I91" i="23" s="1"/>
  <c r="O63" i="35"/>
  <c r="I95" i="19" s="1"/>
  <c r="X92" i="19" s="1"/>
  <c r="AI9" i="40" s="1"/>
  <c r="N60" i="35"/>
  <c r="I92" i="18" s="1"/>
  <c r="N64" i="35"/>
  <c r="I96" i="18" s="1"/>
  <c r="X88" i="18" s="1"/>
  <c r="AC25" i="40" s="1"/>
  <c r="L60" i="35"/>
  <c r="I92" i="16" s="1"/>
  <c r="J58" i="35"/>
  <c r="I90" i="14" s="1"/>
  <c r="X86" i="14" s="1"/>
  <c r="AA34" i="40" s="1"/>
  <c r="J62" i="35"/>
  <c r="I94" i="14" s="1"/>
  <c r="X91" i="14" s="1"/>
  <c r="AG34" i="40" s="1"/>
  <c r="J56" i="35"/>
  <c r="H57" i="35"/>
  <c r="I89" i="12" s="1"/>
  <c r="X85" i="12" s="1"/>
  <c r="Y33" i="40" s="1"/>
  <c r="H61" i="35"/>
  <c r="I93" i="12" s="1"/>
  <c r="X89" i="12" s="1"/>
  <c r="AE33" i="40" s="1"/>
  <c r="H65" i="35"/>
  <c r="I97" i="12" s="1"/>
  <c r="E60" i="35"/>
  <c r="I92" i="9" s="1"/>
  <c r="E64" i="35"/>
  <c r="I96" i="9" s="1"/>
  <c r="X88" i="9" s="1"/>
  <c r="AC8" i="40" s="1"/>
  <c r="D60" i="35"/>
  <c r="I92" i="8" s="1"/>
  <c r="D64" i="35"/>
  <c r="I96" i="8" s="1"/>
  <c r="X88" i="8" s="1"/>
  <c r="AC7" i="40" s="1"/>
  <c r="B59" i="35"/>
  <c r="B63" i="35"/>
  <c r="X58" i="35"/>
  <c r="I90" i="28" s="1"/>
  <c r="X86" i="28" s="1"/>
  <c r="AA11" i="40" s="1"/>
  <c r="W64" i="35"/>
  <c r="I96" i="27" s="1"/>
  <c r="X88" i="27" s="1"/>
  <c r="AC10" i="40" s="1"/>
  <c r="M58" i="35"/>
  <c r="I90" i="17" s="1"/>
  <c r="X86" i="17" s="1"/>
  <c r="AA36" i="40" s="1"/>
  <c r="M62" i="35"/>
  <c r="I94" i="17" s="1"/>
  <c r="X91" i="17" s="1"/>
  <c r="AG36" i="40" s="1"/>
  <c r="M56" i="35"/>
  <c r="L62" i="35"/>
  <c r="I94" i="16" s="1"/>
  <c r="X91" i="16" s="1"/>
  <c r="AG35" i="40" s="1"/>
  <c r="K57" i="35"/>
  <c r="I89" i="15" s="1"/>
  <c r="X85" i="15" s="1"/>
  <c r="Y17" i="40" s="1"/>
  <c r="K61" i="35"/>
  <c r="I93" i="15" s="1"/>
  <c r="X89" i="15" s="1"/>
  <c r="AE17" i="40" s="1"/>
  <c r="K65" i="35"/>
  <c r="I97" i="15" s="1"/>
  <c r="I60" i="35"/>
  <c r="I92" i="13" s="1"/>
  <c r="I64" i="35"/>
  <c r="I96" i="13" s="1"/>
  <c r="X88" i="13" s="1"/>
  <c r="AC24" i="40" s="1"/>
  <c r="G59" i="35"/>
  <c r="I91" i="11" s="1"/>
  <c r="G63" i="35"/>
  <c r="I95" i="11" s="1"/>
  <c r="X92" i="11" s="1"/>
  <c r="AI16" i="40" s="1"/>
  <c r="R57" i="35"/>
  <c r="R61" i="35"/>
  <c r="R65" i="35"/>
  <c r="U65" i="35"/>
  <c r="I97" i="25" s="1"/>
  <c r="T56" i="35"/>
  <c r="S63" i="35"/>
  <c r="I95" i="23" s="1"/>
  <c r="X92" i="23" s="1"/>
  <c r="AI20" i="40" s="1"/>
  <c r="P57" i="35"/>
  <c r="I89" i="20" s="1"/>
  <c r="X85" i="20" s="1"/>
  <c r="Y18" i="40" s="1"/>
  <c r="O58" i="35"/>
  <c r="I90" i="19" s="1"/>
  <c r="X86" i="19" s="1"/>
  <c r="AA9" i="40" s="1"/>
  <c r="O56" i="35"/>
  <c r="N57" i="35"/>
  <c r="I89" i="18" s="1"/>
  <c r="X85" i="18" s="1"/>
  <c r="Y25" i="40" s="1"/>
  <c r="N61" i="35"/>
  <c r="I93" i="18" s="1"/>
  <c r="X89" i="18" s="1"/>
  <c r="AE25" i="40" s="1"/>
  <c r="N65" i="35"/>
  <c r="I97" i="18" s="1"/>
  <c r="L65" i="35"/>
  <c r="I97" i="16" s="1"/>
  <c r="J59" i="35"/>
  <c r="I91" i="14" s="1"/>
  <c r="J63" i="35"/>
  <c r="I95" i="14" s="1"/>
  <c r="X92" i="14" s="1"/>
  <c r="AI34" i="40" s="1"/>
  <c r="H58" i="35"/>
  <c r="I90" i="12" s="1"/>
  <c r="X86" i="12" s="1"/>
  <c r="AA33" i="40" s="1"/>
  <c r="H62" i="35"/>
  <c r="I94" i="12" s="1"/>
  <c r="X91" i="12" s="1"/>
  <c r="AG33" i="40" s="1"/>
  <c r="H56" i="35"/>
  <c r="E57" i="35"/>
  <c r="I89" i="9" s="1"/>
  <c r="X85" i="9" s="1"/>
  <c r="Y8" i="40" s="1"/>
  <c r="E61" i="35"/>
  <c r="I93" i="9" s="1"/>
  <c r="X89" i="9" s="1"/>
  <c r="AE8" i="40" s="1"/>
  <c r="E65" i="35"/>
  <c r="I97" i="9" s="1"/>
  <c r="D57" i="35"/>
  <c r="I89" i="8" s="1"/>
  <c r="X85" i="8" s="1"/>
  <c r="Y7" i="40" s="1"/>
  <c r="D61" i="35"/>
  <c r="I93" i="8" s="1"/>
  <c r="X89" i="8" s="1"/>
  <c r="AE7" i="40" s="1"/>
  <c r="D65" i="35"/>
  <c r="I97" i="8" s="1"/>
  <c r="B60" i="35"/>
  <c r="B64" i="35"/>
  <c r="AA65" i="35"/>
  <c r="I97" i="31" s="1"/>
  <c r="Q60" i="35"/>
  <c r="I92" i="21" s="1"/>
  <c r="M59" i="35"/>
  <c r="I91" i="17" s="1"/>
  <c r="M63" i="35"/>
  <c r="I95" i="17" s="1"/>
  <c r="X92" i="17" s="1"/>
  <c r="AI36" i="40" s="1"/>
  <c r="L57" i="35"/>
  <c r="I89" i="16" s="1"/>
  <c r="X85" i="16" s="1"/>
  <c r="Y35" i="40" s="1"/>
  <c r="L63" i="35"/>
  <c r="I95" i="16" s="1"/>
  <c r="X92" i="16" s="1"/>
  <c r="AI35" i="40" s="1"/>
  <c r="K58" i="35"/>
  <c r="I90" i="15" s="1"/>
  <c r="X86" i="15" s="1"/>
  <c r="AA17" i="40" s="1"/>
  <c r="K62" i="35"/>
  <c r="I94" i="15" s="1"/>
  <c r="X91" i="15" s="1"/>
  <c r="AG17" i="40" s="1"/>
  <c r="K56" i="35"/>
  <c r="I57" i="35"/>
  <c r="I89" i="13" s="1"/>
  <c r="X85" i="13" s="1"/>
  <c r="Y24" i="40" s="1"/>
  <c r="I61" i="35"/>
  <c r="I93" i="13" s="1"/>
  <c r="X89" i="13" s="1"/>
  <c r="AE24" i="40" s="1"/>
  <c r="I65" i="35"/>
  <c r="I97" i="13" s="1"/>
  <c r="G60" i="35"/>
  <c r="I92" i="11" s="1"/>
  <c r="G64" i="35"/>
  <c r="I96" i="11" s="1"/>
  <c r="X88" i="11" s="1"/>
  <c r="AC16" i="40" s="1"/>
  <c r="R58" i="35"/>
  <c r="R62" i="35"/>
  <c r="P61" i="35"/>
  <c r="I93" i="20" s="1"/>
  <c r="X89" i="20" s="1"/>
  <c r="AE18" i="40" s="1"/>
  <c r="O59" i="35"/>
  <c r="I91" i="19" s="1"/>
  <c r="N58" i="35"/>
  <c r="I90" i="18" s="1"/>
  <c r="X86" i="18" s="1"/>
  <c r="AA25" i="40" s="1"/>
  <c r="N62" i="35"/>
  <c r="I94" i="18" s="1"/>
  <c r="X91" i="18" s="1"/>
  <c r="AG25" i="40" s="1"/>
  <c r="N56" i="35"/>
  <c r="L56" i="35"/>
  <c r="J60" i="35"/>
  <c r="I92" i="14" s="1"/>
  <c r="J64" i="35"/>
  <c r="I96" i="14" s="1"/>
  <c r="X88" i="14" s="1"/>
  <c r="AC34" i="40" s="1"/>
  <c r="H59" i="35"/>
  <c r="I91" i="12" s="1"/>
  <c r="H63" i="35"/>
  <c r="I95" i="12" s="1"/>
  <c r="X92" i="12" s="1"/>
  <c r="AI33" i="40" s="1"/>
  <c r="E58" i="35"/>
  <c r="I90" i="9" s="1"/>
  <c r="X86" i="9" s="1"/>
  <c r="AA8" i="40" s="1"/>
  <c r="E62" i="35"/>
  <c r="I94" i="9" s="1"/>
  <c r="X91" i="9" s="1"/>
  <c r="AG8" i="40" s="1"/>
  <c r="E56" i="35"/>
  <c r="D58" i="35"/>
  <c r="I90" i="8" s="1"/>
  <c r="X86" i="8" s="1"/>
  <c r="AA7" i="40" s="1"/>
  <c r="D62" i="35"/>
  <c r="I94" i="8" s="1"/>
  <c r="X91" i="8" s="1"/>
  <c r="AG7" i="40" s="1"/>
  <c r="D56" i="35"/>
  <c r="B57" i="35"/>
  <c r="B61" i="35"/>
  <c r="B65" i="35"/>
  <c r="M64" i="35"/>
  <c r="I96" i="17" s="1"/>
  <c r="X88" i="17" s="1"/>
  <c r="AC36" i="40" s="1"/>
  <c r="K59" i="35"/>
  <c r="I91" i="15" s="1"/>
  <c r="G61" i="35"/>
  <c r="I93" i="11" s="1"/>
  <c r="X89" i="11" s="1"/>
  <c r="AE16" i="40" s="1"/>
  <c r="D59" i="35"/>
  <c r="I91" i="8" s="1"/>
  <c r="B58" i="35"/>
  <c r="V59" i="35"/>
  <c r="I91" i="26" s="1"/>
  <c r="T58" i="35"/>
  <c r="I90" i="24" s="1"/>
  <c r="X86" i="24" s="1"/>
  <c r="AA26" i="40" s="1"/>
  <c r="Q64" i="35"/>
  <c r="I96" i="21" s="1"/>
  <c r="X88" i="21" s="1"/>
  <c r="AC29" i="40" s="1"/>
  <c r="L58" i="35"/>
  <c r="I90" i="16" s="1"/>
  <c r="X86" i="16" s="1"/>
  <c r="AA35" i="40" s="1"/>
  <c r="H64" i="35"/>
  <c r="I96" i="12" s="1"/>
  <c r="X88" i="12" s="1"/>
  <c r="AC33" i="40" s="1"/>
  <c r="E63" i="35"/>
  <c r="I95" i="9" s="1"/>
  <c r="X92" i="9" s="1"/>
  <c r="AI8" i="40" s="1"/>
  <c r="Y60" i="35"/>
  <c r="I92" i="29" s="1"/>
  <c r="O62" i="35"/>
  <c r="I94" i="19" s="1"/>
  <c r="X91" i="19" s="1"/>
  <c r="AG9" i="40" s="1"/>
  <c r="K63" i="35"/>
  <c r="I95" i="15" s="1"/>
  <c r="X92" i="15" s="1"/>
  <c r="AI17" i="40" s="1"/>
  <c r="I58" i="35"/>
  <c r="I90" i="13" s="1"/>
  <c r="X86" i="13" s="1"/>
  <c r="AA24" i="40" s="1"/>
  <c r="G65" i="35"/>
  <c r="I97" i="11" s="1"/>
  <c r="D63" i="35"/>
  <c r="I95" i="8" s="1"/>
  <c r="X92" i="8" s="1"/>
  <c r="AI7" i="40" s="1"/>
  <c r="B62" i="35"/>
  <c r="R59" i="35"/>
  <c r="Z63" i="35"/>
  <c r="I95" i="30" s="1"/>
  <c r="X92" i="30" s="1"/>
  <c r="AI27" i="40" s="1"/>
  <c r="L64" i="35"/>
  <c r="I96" i="16" s="1"/>
  <c r="X88" i="16" s="1"/>
  <c r="AC35" i="40" s="1"/>
  <c r="J57" i="35"/>
  <c r="I89" i="14" s="1"/>
  <c r="X85" i="14" s="1"/>
  <c r="Y34" i="40" s="1"/>
  <c r="I62" i="35"/>
  <c r="I94" i="13" s="1"/>
  <c r="X91" i="13" s="1"/>
  <c r="AG24" i="40" s="1"/>
  <c r="B56" i="35"/>
  <c r="R63" i="35"/>
  <c r="U57" i="35"/>
  <c r="I89" i="25" s="1"/>
  <c r="X85" i="25" s="1"/>
  <c r="Y21" i="40" s="1"/>
  <c r="N59" i="35"/>
  <c r="I91" i="18" s="1"/>
  <c r="J61" i="35"/>
  <c r="I93" i="14" s="1"/>
  <c r="X89" i="14" s="1"/>
  <c r="AE34" i="40" s="1"/>
  <c r="N63" i="35"/>
  <c r="I95" i="18" s="1"/>
  <c r="X92" i="18" s="1"/>
  <c r="AI25" i="40" s="1"/>
  <c r="H60" i="35"/>
  <c r="I92" i="12" s="1"/>
  <c r="E59" i="35"/>
  <c r="I91" i="9" s="1"/>
  <c r="P65" i="35"/>
  <c r="I97" i="20" s="1"/>
  <c r="M60" i="35"/>
  <c r="I92" i="17" s="1"/>
  <c r="J65" i="35"/>
  <c r="I97" i="14" s="1"/>
  <c r="G57" i="35"/>
  <c r="I89" i="11" s="1"/>
  <c r="X85" i="11" s="1"/>
  <c r="Y16" i="40" s="1"/>
  <c r="I56" i="35"/>
  <c r="L59" i="35"/>
  <c r="I91" i="16" s="1"/>
  <c r="J46" i="30"/>
  <c r="J46" i="22"/>
  <c r="J46" i="15"/>
  <c r="J46" i="14"/>
  <c r="J46" i="7"/>
  <c r="J44" i="27"/>
  <c r="J39" i="18"/>
  <c r="J46" i="28"/>
  <c r="J44" i="18"/>
  <c r="J39" i="9"/>
  <c r="J46" i="19"/>
  <c r="J43" i="28"/>
  <c r="I38" i="25"/>
  <c r="U67" i="4"/>
  <c r="J46" i="10"/>
  <c r="J43" i="27"/>
  <c r="T67" i="4"/>
  <c r="J45" i="20"/>
  <c r="J43" i="10"/>
  <c r="J40" i="19"/>
  <c r="J44" i="30"/>
  <c r="J39" i="21"/>
  <c r="I38" i="9"/>
  <c r="E67" i="4"/>
  <c r="I38" i="28"/>
  <c r="X67" i="4"/>
  <c r="J120" i="7"/>
  <c r="J118" i="8"/>
  <c r="J115" i="8"/>
  <c r="J118" i="7"/>
  <c r="I115" i="3"/>
  <c r="J121" i="13"/>
  <c r="J118" i="9"/>
  <c r="J119" i="13"/>
  <c r="J121" i="9"/>
  <c r="J118" i="20"/>
  <c r="J114" i="13"/>
  <c r="J120" i="9"/>
  <c r="J114" i="21"/>
  <c r="J115" i="17"/>
  <c r="J114" i="17"/>
  <c r="J119" i="16"/>
  <c r="J114" i="19"/>
  <c r="J118" i="25"/>
  <c r="J115" i="25"/>
  <c r="J114" i="31"/>
  <c r="I113" i="10"/>
  <c r="I63" i="12"/>
  <c r="J69" i="12"/>
  <c r="J70" i="21"/>
  <c r="J64" i="22"/>
  <c r="J64" i="10"/>
  <c r="J71" i="20"/>
  <c r="J68" i="19"/>
  <c r="J68" i="7"/>
  <c r="J71" i="25"/>
  <c r="J65" i="26"/>
  <c r="J71" i="18"/>
  <c r="J68" i="23"/>
  <c r="J65" i="22"/>
  <c r="J39" i="20"/>
  <c r="J45" i="17"/>
  <c r="J46" i="29"/>
  <c r="J44" i="10"/>
  <c r="I38" i="26"/>
  <c r="V67" i="4"/>
  <c r="J40" i="29"/>
  <c r="J45" i="12"/>
  <c r="J46" i="32"/>
  <c r="J39" i="13"/>
  <c r="I113" i="9"/>
  <c r="J115" i="13"/>
  <c r="I113" i="15"/>
  <c r="J68" i="12"/>
  <c r="J69" i="32"/>
  <c r="J44" i="21"/>
  <c r="J44" i="20"/>
  <c r="J44" i="13"/>
  <c r="J44" i="12"/>
  <c r="J43" i="32"/>
  <c r="J43" i="31"/>
  <c r="J46" i="21"/>
  <c r="J44" i="11"/>
  <c r="I38" i="29"/>
  <c r="Y67" i="4"/>
  <c r="J46" i="12"/>
  <c r="J43" i="29"/>
  <c r="I38" i="17"/>
  <c r="M67" i="4"/>
  <c r="J45" i="30"/>
  <c r="J43" i="12"/>
  <c r="J40" i="21"/>
  <c r="I38" i="7"/>
  <c r="C67" i="4"/>
  <c r="J45" i="21"/>
  <c r="J43" i="11"/>
  <c r="J40" i="20"/>
  <c r="J44" i="31"/>
  <c r="J39" i="30"/>
  <c r="J44" i="14"/>
  <c r="I38" i="32"/>
  <c r="AB67" i="4"/>
  <c r="J115" i="10"/>
  <c r="J69" i="9"/>
  <c r="J68" i="25"/>
  <c r="J69" i="11"/>
  <c r="J70" i="8"/>
  <c r="J64" i="29"/>
  <c r="J64" i="21"/>
  <c r="I63" i="17"/>
  <c r="J68" i="32"/>
  <c r="J45" i="18"/>
  <c r="J44" i="29"/>
  <c r="J46" i="20"/>
  <c r="I38" i="15"/>
  <c r="K67" i="4"/>
  <c r="J44" i="22"/>
  <c r="I47" i="3"/>
  <c r="AD65" i="4"/>
  <c r="J119" i="14"/>
  <c r="J114" i="9"/>
  <c r="J120" i="19"/>
  <c r="I63" i="11"/>
  <c r="J65" i="24"/>
  <c r="J64" i="32"/>
  <c r="J70" i="28"/>
  <c r="J40" i="32"/>
  <c r="J43" i="15"/>
  <c r="J43" i="8"/>
  <c r="J43" i="7"/>
  <c r="J46" i="13"/>
  <c r="J43" i="30"/>
  <c r="J40" i="31"/>
  <c r="I38" i="18"/>
  <c r="N67" i="4"/>
  <c r="J45" i="31"/>
  <c r="J43" i="21"/>
  <c r="J40" i="30"/>
  <c r="I38" i="8"/>
  <c r="D67" i="4"/>
  <c r="J45" i="22"/>
  <c r="J40" i="13"/>
  <c r="J45" i="13"/>
  <c r="J40" i="12"/>
  <c r="I47" i="15"/>
  <c r="J39" i="22"/>
  <c r="J43" i="25"/>
  <c r="I38" i="22"/>
  <c r="R67" i="4"/>
  <c r="I43" i="3"/>
  <c r="AD61" i="4"/>
  <c r="J69" i="8"/>
  <c r="J71" i="11"/>
  <c r="J68" i="22"/>
  <c r="J65" i="9"/>
  <c r="J64" i="28"/>
  <c r="I63" i="9"/>
  <c r="J65" i="11"/>
  <c r="J71" i="12"/>
  <c r="J69" i="13"/>
  <c r="J65" i="21"/>
  <c r="I63" i="15"/>
  <c r="J68" i="27"/>
  <c r="J68" i="18"/>
  <c r="I63" i="23"/>
  <c r="J68" i="20"/>
  <c r="I63" i="19"/>
  <c r="I63" i="25"/>
  <c r="J70" i="30"/>
  <c r="J69" i="29"/>
  <c r="J46" i="31"/>
  <c r="J45" i="9"/>
  <c r="J46" i="11"/>
  <c r="J45" i="29"/>
  <c r="J119" i="18"/>
  <c r="I113" i="26"/>
  <c r="I63" i="24"/>
  <c r="I38" i="12"/>
  <c r="H67" i="4"/>
  <c r="J45" i="26"/>
  <c r="J39" i="28"/>
  <c r="J45" i="32"/>
  <c r="J43" i="22"/>
  <c r="I38" i="10"/>
  <c r="F67" i="4"/>
  <c r="J43" i="13"/>
  <c r="J40" i="22"/>
  <c r="J45" i="14"/>
  <c r="J39" i="32"/>
  <c r="J44" i="32"/>
  <c r="J39" i="31"/>
  <c r="J46" i="25"/>
  <c r="J44" i="15"/>
  <c r="J39" i="14"/>
  <c r="J46" i="8"/>
  <c r="J43" i="17"/>
  <c r="J40" i="26"/>
  <c r="I38" i="13"/>
  <c r="I67" i="4"/>
  <c r="I38" i="27"/>
  <c r="W67" i="4"/>
  <c r="I39" i="3"/>
  <c r="X35" i="3" s="1"/>
  <c r="AD57" i="4"/>
  <c r="J70" i="23"/>
  <c r="J64" i="18"/>
  <c r="J69" i="14"/>
  <c r="J45" i="25"/>
  <c r="J44" i="19"/>
  <c r="J40" i="28"/>
  <c r="I63" i="31"/>
  <c r="J40" i="25"/>
  <c r="J39" i="19"/>
  <c r="J40" i="17"/>
  <c r="J40" i="9"/>
  <c r="J40" i="8"/>
  <c r="I38" i="20"/>
  <c r="P67" i="4"/>
  <c r="J43" i="14"/>
  <c r="J40" i="15"/>
  <c r="J45" i="15"/>
  <c r="J40" i="14"/>
  <c r="J44" i="25"/>
  <c r="J46" i="17"/>
  <c r="J44" i="7"/>
  <c r="S67" i="4"/>
  <c r="J45" i="27"/>
  <c r="J43" i="9"/>
  <c r="J40" i="18"/>
  <c r="I40" i="3"/>
  <c r="AD58" i="4"/>
  <c r="I41" i="3"/>
  <c r="AD59" i="4"/>
  <c r="J65" i="12"/>
  <c r="J71" i="7"/>
  <c r="J65" i="10"/>
  <c r="J70" i="15"/>
  <c r="J68" i="9"/>
  <c r="I68" i="3"/>
  <c r="X64" i="3" s="1"/>
  <c r="AE6" i="39" s="1"/>
  <c r="J69" i="16"/>
  <c r="J65" i="23"/>
  <c r="J68" i="15"/>
  <c r="J65" i="14"/>
  <c r="J71" i="21"/>
  <c r="I63" i="28"/>
  <c r="J65" i="19"/>
  <c r="J69" i="30"/>
  <c r="J45" i="10"/>
  <c r="J39" i="10"/>
  <c r="J43" i="20"/>
  <c r="J43" i="19"/>
  <c r="J40" i="11"/>
  <c r="I121" i="3"/>
  <c r="J121" i="15"/>
  <c r="J119" i="21"/>
  <c r="J121" i="18"/>
  <c r="I67" i="3"/>
  <c r="J64" i="8"/>
  <c r="I63" i="21"/>
  <c r="I38" i="19"/>
  <c r="O67" i="4"/>
  <c r="J44" i="28"/>
  <c r="I38" i="11"/>
  <c r="G67" i="4"/>
  <c r="J39" i="12"/>
  <c r="J39" i="11"/>
  <c r="I38" i="31"/>
  <c r="AA67" i="4"/>
  <c r="I38" i="30"/>
  <c r="Z67" i="4"/>
  <c r="J40" i="7"/>
  <c r="J45" i="7"/>
  <c r="J39" i="25"/>
  <c r="J44" i="17"/>
  <c r="J46" i="26"/>
  <c r="J39" i="15"/>
  <c r="J46" i="9"/>
  <c r="J43" i="26"/>
  <c r="I38" i="14"/>
  <c r="J67" i="4"/>
  <c r="J45" i="19"/>
  <c r="J40" i="10"/>
  <c r="I46" i="3"/>
  <c r="AD64" i="4"/>
  <c r="I38" i="21"/>
  <c r="Q67" i="4"/>
  <c r="I42" i="3"/>
  <c r="AD60" i="4"/>
  <c r="I44" i="3"/>
  <c r="AD62" i="4"/>
  <c r="J68" i="29"/>
  <c r="J70" i="11"/>
  <c r="J69" i="27"/>
  <c r="J64" i="9"/>
  <c r="J64" i="14"/>
  <c r="J71" i="17"/>
  <c r="J65" i="18"/>
  <c r="J70" i="26"/>
  <c r="J64" i="15"/>
  <c r="J70" i="16"/>
  <c r="J69" i="28"/>
  <c r="I63" i="22"/>
  <c r="J65" i="30"/>
  <c r="J120" i="15" l="1"/>
  <c r="I119" i="22"/>
  <c r="X116" i="22" s="1"/>
  <c r="AG19" i="44" s="1"/>
  <c r="J120" i="14"/>
  <c r="J121" i="17"/>
  <c r="J121" i="25"/>
  <c r="J120" i="32"/>
  <c r="J120" i="13"/>
  <c r="J119" i="7"/>
  <c r="J118" i="14"/>
  <c r="J115" i="14"/>
  <c r="J121" i="11"/>
  <c r="J119" i="30"/>
  <c r="J120" i="27"/>
  <c r="J118" i="19"/>
  <c r="J120" i="17"/>
  <c r="J114" i="12"/>
  <c r="J64" i="13"/>
  <c r="J64" i="7"/>
  <c r="J71" i="22"/>
  <c r="R60" i="7"/>
  <c r="R60" i="16"/>
  <c r="J71" i="9"/>
  <c r="J69" i="24"/>
  <c r="J68" i="28"/>
  <c r="R60" i="18"/>
  <c r="J69" i="21"/>
  <c r="J65" i="16"/>
  <c r="J68" i="17"/>
  <c r="J71" i="16"/>
  <c r="J65" i="7"/>
  <c r="J65" i="28"/>
  <c r="R60" i="10"/>
  <c r="R60" i="22"/>
  <c r="J70" i="14"/>
  <c r="J70" i="24"/>
  <c r="J65" i="25"/>
  <c r="J65" i="31"/>
  <c r="J70" i="9"/>
  <c r="J70" i="22"/>
  <c r="J64" i="16"/>
  <c r="J68" i="16"/>
  <c r="J70" i="19"/>
  <c r="J69" i="17"/>
  <c r="R60" i="26"/>
  <c r="AA28" i="39"/>
  <c r="J64" i="19"/>
  <c r="J69" i="10"/>
  <c r="J70" i="31"/>
  <c r="J68" i="26"/>
  <c r="J65" i="8"/>
  <c r="J70" i="32"/>
  <c r="R60" i="9"/>
  <c r="J69" i="20"/>
  <c r="J71" i="23"/>
  <c r="J71" i="10"/>
  <c r="J68" i="24"/>
  <c r="J71" i="27"/>
  <c r="J65" i="15"/>
  <c r="J68" i="10"/>
  <c r="J65" i="29"/>
  <c r="J71" i="31"/>
  <c r="J70" i="29"/>
  <c r="J70" i="12"/>
  <c r="J71" i="19"/>
  <c r="J71" i="28"/>
  <c r="J71" i="13"/>
  <c r="J64" i="24"/>
  <c r="R60" i="28"/>
  <c r="J70" i="27"/>
  <c r="J69" i="18"/>
  <c r="J69" i="25"/>
  <c r="J64" i="31"/>
  <c r="J69" i="31"/>
  <c r="J64" i="23"/>
  <c r="J65" i="32"/>
  <c r="J65" i="27"/>
  <c r="J71" i="30"/>
  <c r="J68" i="11"/>
  <c r="J68" i="8"/>
  <c r="J71" i="15"/>
  <c r="R60" i="14"/>
  <c r="AG32" i="40"/>
  <c r="X91" i="22"/>
  <c r="AG19" i="40" s="1"/>
  <c r="J94" i="22"/>
  <c r="J119" i="29"/>
  <c r="J119" i="9"/>
  <c r="J120" i="29"/>
  <c r="J119" i="32"/>
  <c r="E67" i="37"/>
  <c r="J120" i="28"/>
  <c r="J121" i="24"/>
  <c r="J120" i="16"/>
  <c r="R110" i="15"/>
  <c r="I118" i="22"/>
  <c r="X114" i="22" s="1"/>
  <c r="AE19" i="44" s="1"/>
  <c r="AE13" i="44" s="1"/>
  <c r="J121" i="26"/>
  <c r="J118" i="26"/>
  <c r="AA67" i="37"/>
  <c r="J119" i="27"/>
  <c r="J120" i="18"/>
  <c r="I114" i="22"/>
  <c r="X110" i="22" s="1"/>
  <c r="Y19" i="44" s="1"/>
  <c r="AI32" i="44"/>
  <c r="J67" i="37"/>
  <c r="M67" i="37"/>
  <c r="AC32" i="44"/>
  <c r="J114" i="28"/>
  <c r="J118" i="23"/>
  <c r="J120" i="26"/>
  <c r="J119" i="19"/>
  <c r="AI28" i="44"/>
  <c r="Y23" i="44"/>
  <c r="J121" i="16"/>
  <c r="J121" i="20"/>
  <c r="J114" i="18"/>
  <c r="R110" i="21"/>
  <c r="AC28" i="44"/>
  <c r="I113" i="17"/>
  <c r="L106" i="17" s="1"/>
  <c r="L67" i="37"/>
  <c r="J118" i="32"/>
  <c r="J121" i="23"/>
  <c r="J121" i="29"/>
  <c r="J115" i="31"/>
  <c r="J114" i="23"/>
  <c r="J118" i="31"/>
  <c r="R110" i="27"/>
  <c r="I117" i="22"/>
  <c r="J121" i="27"/>
  <c r="B67" i="37"/>
  <c r="J115" i="30"/>
  <c r="J121" i="8"/>
  <c r="J120" i="25"/>
  <c r="J120" i="20"/>
  <c r="J114" i="11"/>
  <c r="J120" i="31"/>
  <c r="J115" i="28"/>
  <c r="J120" i="30"/>
  <c r="J115" i="21"/>
  <c r="I116" i="22"/>
  <c r="V67" i="37"/>
  <c r="AI23" i="44"/>
  <c r="AG32" i="44"/>
  <c r="AE23" i="44"/>
  <c r="J120" i="12"/>
  <c r="I113" i="14"/>
  <c r="L106" i="14" s="1"/>
  <c r="L108" i="14" s="1"/>
  <c r="J113" i="14" s="1"/>
  <c r="U113" i="14" s="1"/>
  <c r="K34" i="44" s="1"/>
  <c r="R110" i="25"/>
  <c r="J120" i="8"/>
  <c r="J118" i="10"/>
  <c r="J114" i="20"/>
  <c r="J115" i="9"/>
  <c r="I122" i="22"/>
  <c r="J115" i="19"/>
  <c r="J114" i="29"/>
  <c r="J119" i="24"/>
  <c r="J120" i="10"/>
  <c r="J121" i="28"/>
  <c r="J120" i="11"/>
  <c r="J121" i="30"/>
  <c r="J118" i="18"/>
  <c r="J115" i="16"/>
  <c r="J119" i="25"/>
  <c r="R110" i="11"/>
  <c r="AA32" i="44"/>
  <c r="AE28" i="44"/>
  <c r="AE32" i="44"/>
  <c r="AD56" i="37"/>
  <c r="AA28" i="44"/>
  <c r="AA23" i="44"/>
  <c r="J118" i="11"/>
  <c r="AD63" i="37"/>
  <c r="R110" i="9"/>
  <c r="J121" i="31"/>
  <c r="J114" i="25"/>
  <c r="J119" i="10"/>
  <c r="J118" i="12"/>
  <c r="J118" i="21"/>
  <c r="J118" i="27"/>
  <c r="J114" i="15"/>
  <c r="J120" i="21"/>
  <c r="J115" i="7"/>
  <c r="J115" i="27"/>
  <c r="J121" i="7"/>
  <c r="J115" i="26"/>
  <c r="J119" i="11"/>
  <c r="J119" i="31"/>
  <c r="J119" i="15"/>
  <c r="J114" i="27"/>
  <c r="R110" i="12"/>
  <c r="R110" i="20"/>
  <c r="AC23" i="44"/>
  <c r="Q67" i="37"/>
  <c r="J119" i="12"/>
  <c r="J114" i="8"/>
  <c r="J121" i="21"/>
  <c r="AA13" i="44"/>
  <c r="C67" i="37"/>
  <c r="J118" i="28"/>
  <c r="Z67" i="37"/>
  <c r="J115" i="12"/>
  <c r="J119" i="26"/>
  <c r="AD60" i="37"/>
  <c r="R110" i="28"/>
  <c r="I113" i="7"/>
  <c r="L106" i="7" s="1"/>
  <c r="L108" i="7" s="1"/>
  <c r="J113" i="7" s="1"/>
  <c r="U113" i="7" s="1"/>
  <c r="K14" i="44" s="1"/>
  <c r="J121" i="32"/>
  <c r="J115" i="20"/>
  <c r="J121" i="10"/>
  <c r="J118" i="16"/>
  <c r="S67" i="37"/>
  <c r="J120" i="23"/>
  <c r="J114" i="24"/>
  <c r="H67" i="37"/>
  <c r="I113" i="21"/>
  <c r="L106" i="21" s="1"/>
  <c r="L108" i="21" s="1"/>
  <c r="J113" i="21" s="1"/>
  <c r="U113" i="21" s="1"/>
  <c r="K29" i="44" s="1"/>
  <c r="AD57" i="37"/>
  <c r="AD58" i="37"/>
  <c r="J114" i="26"/>
  <c r="R67" i="37"/>
  <c r="J118" i="13"/>
  <c r="J114" i="16"/>
  <c r="R110" i="17"/>
  <c r="R110" i="23"/>
  <c r="AG13" i="44"/>
  <c r="J115" i="23"/>
  <c r="AD61" i="37"/>
  <c r="J115" i="15"/>
  <c r="Y67" i="37"/>
  <c r="AB67" i="37"/>
  <c r="AD59" i="37"/>
  <c r="J118" i="17"/>
  <c r="R110" i="13"/>
  <c r="R110" i="16"/>
  <c r="U67" i="37"/>
  <c r="J115" i="24"/>
  <c r="J114" i="14"/>
  <c r="J118" i="15"/>
  <c r="J120" i="24"/>
  <c r="J119" i="20"/>
  <c r="J115" i="11"/>
  <c r="J118" i="29"/>
  <c r="J115" i="29"/>
  <c r="O67" i="37"/>
  <c r="W67" i="37"/>
  <c r="J121" i="12"/>
  <c r="J118" i="30"/>
  <c r="I88" i="22"/>
  <c r="L81" i="22" s="1"/>
  <c r="L83" i="22" s="1"/>
  <c r="J88" i="22" s="1"/>
  <c r="U88" i="22" s="1"/>
  <c r="K19" i="40" s="1"/>
  <c r="J115" i="18"/>
  <c r="D67" i="37"/>
  <c r="R110" i="24"/>
  <c r="R110" i="29"/>
  <c r="AD64" i="37"/>
  <c r="K67" i="37"/>
  <c r="R110" i="7"/>
  <c r="T67" i="37"/>
  <c r="AD62" i="37"/>
  <c r="R110" i="8"/>
  <c r="R110" i="32"/>
  <c r="J114" i="10"/>
  <c r="AD65" i="37"/>
  <c r="J114" i="7"/>
  <c r="J121" i="14"/>
  <c r="P67" i="37"/>
  <c r="X67" i="37"/>
  <c r="F67" i="37"/>
  <c r="I67" i="37"/>
  <c r="R110" i="10"/>
  <c r="R110" i="14"/>
  <c r="R110" i="18"/>
  <c r="J119" i="8"/>
  <c r="J119" i="23"/>
  <c r="J114" i="30"/>
  <c r="J121" i="19"/>
  <c r="J119" i="28"/>
  <c r="G67" i="37"/>
  <c r="J118" i="24"/>
  <c r="J115" i="32"/>
  <c r="J119" i="17"/>
  <c r="N67" i="37"/>
  <c r="R110" i="19"/>
  <c r="R110" i="26"/>
  <c r="R110" i="30"/>
  <c r="R85" i="22"/>
  <c r="J90" i="22"/>
  <c r="J95" i="22"/>
  <c r="J93" i="22"/>
  <c r="J71" i="26"/>
  <c r="J96" i="22"/>
  <c r="J70" i="7"/>
  <c r="J71" i="14"/>
  <c r="R60" i="11"/>
  <c r="J89" i="22"/>
  <c r="T67" i="34"/>
  <c r="R60" i="20"/>
  <c r="R60" i="24"/>
  <c r="AE32" i="39"/>
  <c r="AE28" i="39"/>
  <c r="J68" i="14"/>
  <c r="J65" i="20"/>
  <c r="R60" i="8"/>
  <c r="L11" i="26"/>
  <c r="J18" i="26" s="1"/>
  <c r="X8" i="26" s="1"/>
  <c r="U30" i="43" s="1"/>
  <c r="J68" i="30"/>
  <c r="E67" i="34"/>
  <c r="J64" i="25"/>
  <c r="AC23" i="39"/>
  <c r="J71" i="24"/>
  <c r="J64" i="11"/>
  <c r="J64" i="26"/>
  <c r="J70" i="10"/>
  <c r="R60" i="25"/>
  <c r="J71" i="8"/>
  <c r="J68" i="21"/>
  <c r="R60" i="21"/>
  <c r="AI13" i="39"/>
  <c r="AC32" i="39"/>
  <c r="L67" i="34"/>
  <c r="AG13" i="39"/>
  <c r="Y13" i="39"/>
  <c r="Y28" i="39"/>
  <c r="AE13" i="39"/>
  <c r="AC13" i="39"/>
  <c r="AC28" i="39"/>
  <c r="AG23" i="40"/>
  <c r="Y23" i="40"/>
  <c r="AE23" i="39"/>
  <c r="AI23" i="39"/>
  <c r="AA23" i="39"/>
  <c r="AG13" i="40"/>
  <c r="B67" i="34"/>
  <c r="V67" i="34"/>
  <c r="J69" i="19"/>
  <c r="J69" i="23"/>
  <c r="J65" i="13"/>
  <c r="O67" i="34"/>
  <c r="J68" i="31"/>
  <c r="J70" i="18"/>
  <c r="AI32" i="39"/>
  <c r="C67" i="34"/>
  <c r="Y5" i="39"/>
  <c r="AD58" i="34"/>
  <c r="I63" i="7"/>
  <c r="L56" i="7" s="1"/>
  <c r="L58" i="7" s="1"/>
  <c r="J63" i="7" s="1"/>
  <c r="U63" i="7" s="1"/>
  <c r="K14" i="39" s="1"/>
  <c r="J67" i="34"/>
  <c r="G67" i="34"/>
  <c r="I63" i="16"/>
  <c r="AD64" i="34"/>
  <c r="R60" i="13"/>
  <c r="Y23" i="39"/>
  <c r="AD59" i="34"/>
  <c r="J64" i="20"/>
  <c r="J70" i="13"/>
  <c r="J65" i="17"/>
  <c r="J64" i="30"/>
  <c r="R60" i="19"/>
  <c r="AA13" i="39"/>
  <c r="AC5" i="39"/>
  <c r="O7" i="11"/>
  <c r="O8" i="11" s="1"/>
  <c r="O19" i="11" s="1"/>
  <c r="U11" i="11" s="1"/>
  <c r="H16" i="43" s="1"/>
  <c r="M16" i="43" s="1"/>
  <c r="R7" i="19"/>
  <c r="R9" i="19" s="1"/>
  <c r="R13" i="19" s="1"/>
  <c r="X7" i="19" s="1"/>
  <c r="T9" i="43" s="1"/>
  <c r="W9" i="43" s="1"/>
  <c r="R7" i="11"/>
  <c r="R9" i="11" s="1"/>
  <c r="R13" i="11" s="1"/>
  <c r="X7" i="11" s="1"/>
  <c r="R7" i="18"/>
  <c r="R8" i="18" s="1"/>
  <c r="R12" i="18" s="1"/>
  <c r="R7" i="13"/>
  <c r="R8" i="13" s="1"/>
  <c r="R12" i="13" s="1"/>
  <c r="R7" i="25"/>
  <c r="R9" i="25" s="1"/>
  <c r="R13" i="25" s="1"/>
  <c r="R16" i="25" s="1"/>
  <c r="R7" i="15"/>
  <c r="R8" i="15" s="1"/>
  <c r="R12" i="15" s="1"/>
  <c r="R15" i="15" s="1"/>
  <c r="O7" i="13"/>
  <c r="O8" i="13" s="1"/>
  <c r="O19" i="13" s="1"/>
  <c r="U11" i="13" s="1"/>
  <c r="H24" i="43" s="1"/>
  <c r="M24" i="43" s="1"/>
  <c r="R7" i="30"/>
  <c r="R8" i="30" s="1"/>
  <c r="R12" i="30" s="1"/>
  <c r="U17" i="30" s="1"/>
  <c r="O27" i="43" s="1"/>
  <c r="R27" i="43" s="1"/>
  <c r="L12" i="7"/>
  <c r="J23" i="7" s="1"/>
  <c r="U8" i="7" s="1"/>
  <c r="D14" i="43" s="1"/>
  <c r="D13" i="43" s="1"/>
  <c r="R7" i="28"/>
  <c r="R9" i="28" s="1"/>
  <c r="R13" i="28" s="1"/>
  <c r="R16" i="28" s="1"/>
  <c r="L11" i="7"/>
  <c r="J18" i="7" s="1"/>
  <c r="X8" i="7" s="1"/>
  <c r="U14" i="43" s="1"/>
  <c r="U13" i="43" s="1"/>
  <c r="O7" i="30"/>
  <c r="O8" i="30" s="1"/>
  <c r="O19" i="30" s="1"/>
  <c r="U11" i="30" s="1"/>
  <c r="H27" i="43" s="1"/>
  <c r="M27" i="43" s="1"/>
  <c r="O7" i="32"/>
  <c r="O8" i="32" s="1"/>
  <c r="O19" i="32" s="1"/>
  <c r="U11" i="32" s="1"/>
  <c r="H12" i="43" s="1"/>
  <c r="M12" i="43" s="1"/>
  <c r="O7" i="22"/>
  <c r="O8" i="22" s="1"/>
  <c r="O19" i="22" s="1"/>
  <c r="U11" i="22" s="1"/>
  <c r="H19" i="43" s="1"/>
  <c r="M19" i="43" s="1"/>
  <c r="L9" i="26"/>
  <c r="J14" i="26" s="1"/>
  <c r="U14" i="26" s="1"/>
  <c r="K30" i="43" s="1"/>
  <c r="R7" i="32"/>
  <c r="R8" i="32" s="1"/>
  <c r="R12" i="32" s="1"/>
  <c r="U17" i="32" s="1"/>
  <c r="O12" i="43" s="1"/>
  <c r="R12" i="43" s="1"/>
  <c r="L12" i="26"/>
  <c r="J23" i="26" s="1"/>
  <c r="U8" i="26" s="1"/>
  <c r="D30" i="43" s="1"/>
  <c r="R9" i="18"/>
  <c r="R13" i="18" s="1"/>
  <c r="X7" i="18" s="1"/>
  <c r="T25" i="43" s="1"/>
  <c r="W25" i="43" s="1"/>
  <c r="R7" i="14"/>
  <c r="R8" i="14" s="1"/>
  <c r="R12" i="14" s="1"/>
  <c r="U17" i="14" s="1"/>
  <c r="O34" i="43" s="1"/>
  <c r="R34" i="43" s="1"/>
  <c r="O9" i="15"/>
  <c r="O11" i="15" s="1"/>
  <c r="U7" i="15" s="1"/>
  <c r="X21" i="15" s="1"/>
  <c r="R7" i="29"/>
  <c r="R9" i="29" s="1"/>
  <c r="R13" i="29" s="1"/>
  <c r="R16" i="29" s="1"/>
  <c r="X9" i="29" s="1"/>
  <c r="V31" i="43" s="1"/>
  <c r="O7" i="19"/>
  <c r="O9" i="19" s="1"/>
  <c r="O11" i="19" s="1"/>
  <c r="U7" i="19" s="1"/>
  <c r="U21" i="19" s="1"/>
  <c r="J70" i="17"/>
  <c r="P67" i="34"/>
  <c r="Z67" i="34"/>
  <c r="N67" i="34"/>
  <c r="AD56" i="34"/>
  <c r="AD67" i="34" s="1"/>
  <c r="I66" i="3"/>
  <c r="W67" i="34"/>
  <c r="Y67" i="34"/>
  <c r="K67" i="34"/>
  <c r="I67" i="34"/>
  <c r="H67" i="34"/>
  <c r="J70" i="25"/>
  <c r="F67" i="34"/>
  <c r="R60" i="17"/>
  <c r="R60" i="27"/>
  <c r="R60" i="30"/>
  <c r="AG32" i="39"/>
  <c r="J64" i="27"/>
  <c r="AD65" i="34"/>
  <c r="I63" i="3"/>
  <c r="U67" i="34"/>
  <c r="M67" i="34"/>
  <c r="J71" i="29"/>
  <c r="J64" i="17"/>
  <c r="J69" i="7"/>
  <c r="AG28" i="39"/>
  <c r="Y32" i="39"/>
  <c r="Q67" i="34"/>
  <c r="X67" i="34"/>
  <c r="AD62" i="34"/>
  <c r="R67" i="34"/>
  <c r="AD57" i="34"/>
  <c r="AD60" i="34"/>
  <c r="J71" i="32"/>
  <c r="AD61" i="34"/>
  <c r="AG5" i="39"/>
  <c r="AA67" i="34"/>
  <c r="J69" i="15"/>
  <c r="D67" i="34"/>
  <c r="S67" i="34"/>
  <c r="AD63" i="34"/>
  <c r="J64" i="12"/>
  <c r="AB67" i="34"/>
  <c r="J69" i="22"/>
  <c r="J69" i="26"/>
  <c r="J70" i="20"/>
  <c r="R60" i="12"/>
  <c r="R60" i="23"/>
  <c r="R60" i="29"/>
  <c r="R60" i="31"/>
  <c r="AG13" i="41"/>
  <c r="AE32" i="41"/>
  <c r="AC32" i="41"/>
  <c r="AA13" i="41"/>
  <c r="AC23" i="41"/>
  <c r="AC28" i="41"/>
  <c r="AC13" i="41"/>
  <c r="AG32" i="41"/>
  <c r="AG23" i="41"/>
  <c r="AG28" i="41"/>
  <c r="X41" i="3"/>
  <c r="AG6" i="41" s="1"/>
  <c r="X38" i="3"/>
  <c r="AC6" i="41" s="1"/>
  <c r="X113" i="3"/>
  <c r="AC6" i="44" s="1"/>
  <c r="AC5" i="44" s="1"/>
  <c r="X36" i="3"/>
  <c r="AA6" i="41" s="1"/>
  <c r="X117" i="3"/>
  <c r="AI6" i="44" s="1"/>
  <c r="AI5" i="44" s="1"/>
  <c r="X39" i="3"/>
  <c r="AE6" i="41" s="1"/>
  <c r="X111" i="3"/>
  <c r="AA6" i="44" s="1"/>
  <c r="AA5" i="44" s="1"/>
  <c r="Y13" i="40"/>
  <c r="Y32" i="40"/>
  <c r="AG28" i="40"/>
  <c r="Y28" i="40"/>
  <c r="X116" i="3"/>
  <c r="AG6" i="44" s="1"/>
  <c r="AG5" i="44" s="1"/>
  <c r="X114" i="3"/>
  <c r="AE6" i="44" s="1"/>
  <c r="AE5" i="44" s="1"/>
  <c r="X42" i="3"/>
  <c r="AI6" i="41" s="1"/>
  <c r="U17" i="22"/>
  <c r="O19" i="43" s="1"/>
  <c r="R19" i="43" s="1"/>
  <c r="O7" i="8"/>
  <c r="O8" i="8" s="1"/>
  <c r="O19" i="8" s="1"/>
  <c r="U8" i="8"/>
  <c r="D7" i="43" s="1"/>
  <c r="O7" i="20"/>
  <c r="O8" i="20" s="1"/>
  <c r="O19" i="20" s="1"/>
  <c r="U11" i="20" s="1"/>
  <c r="H18" i="43" s="1"/>
  <c r="M18" i="43" s="1"/>
  <c r="U8" i="20"/>
  <c r="D18" i="43" s="1"/>
  <c r="O7" i="31"/>
  <c r="O8" i="31" s="1"/>
  <c r="O19" i="31" s="1"/>
  <c r="U11" i="31" s="1"/>
  <c r="H22" i="43" s="1"/>
  <c r="M22" i="43" s="1"/>
  <c r="U14" i="31"/>
  <c r="K22" i="43" s="1"/>
  <c r="U11" i="15"/>
  <c r="H17" i="43" s="1"/>
  <c r="M17" i="43" s="1"/>
  <c r="U17" i="18"/>
  <c r="O25" i="43" s="1"/>
  <c r="R25" i="43" s="1"/>
  <c r="U17" i="13"/>
  <c r="O24" i="43" s="1"/>
  <c r="R24" i="43" s="1"/>
  <c r="O7" i="28"/>
  <c r="O8" i="28" s="1"/>
  <c r="O19" i="28" s="1"/>
  <c r="U11" i="28" s="1"/>
  <c r="H11" i="43" s="1"/>
  <c r="M11" i="43" s="1"/>
  <c r="U8" i="28"/>
  <c r="D11" i="43" s="1"/>
  <c r="X7" i="25"/>
  <c r="T21" i="43" s="1"/>
  <c r="W21" i="43" s="1"/>
  <c r="R7" i="23"/>
  <c r="R9" i="23" s="1"/>
  <c r="R13" i="23" s="1"/>
  <c r="X7" i="23" s="1"/>
  <c r="T20" i="43" s="1"/>
  <c r="W20" i="43" s="1"/>
  <c r="U18" i="23"/>
  <c r="P20" i="43" s="1"/>
  <c r="O7" i="18"/>
  <c r="O8" i="18" s="1"/>
  <c r="O19" i="18" s="1"/>
  <c r="O20" i="18" s="1"/>
  <c r="U14" i="18"/>
  <c r="K25" i="43" s="1"/>
  <c r="R35" i="3"/>
  <c r="Y4" i="43"/>
  <c r="O20" i="15"/>
  <c r="R15" i="18"/>
  <c r="R15" i="13"/>
  <c r="R7" i="31"/>
  <c r="J120" i="22"/>
  <c r="AI13" i="44"/>
  <c r="O7" i="17"/>
  <c r="O8" i="17" s="1"/>
  <c r="O19" i="17" s="1"/>
  <c r="U11" i="17" s="1"/>
  <c r="H36" i="43" s="1"/>
  <c r="M36" i="43" s="1"/>
  <c r="L11" i="21"/>
  <c r="J18" i="21" s="1"/>
  <c r="X8" i="21" s="1"/>
  <c r="U29" i="43" s="1"/>
  <c r="U28" i="43" s="1"/>
  <c r="L10" i="21"/>
  <c r="J17" i="21" s="1"/>
  <c r="U18" i="21" s="1"/>
  <c r="P29" i="43" s="1"/>
  <c r="P28" i="43" s="1"/>
  <c r="L12" i="21"/>
  <c r="J23" i="21" s="1"/>
  <c r="U8" i="21" s="1"/>
  <c r="D29" i="43" s="1"/>
  <c r="D28" i="43" s="1"/>
  <c r="O7" i="9"/>
  <c r="O8" i="9" s="1"/>
  <c r="O19" i="9" s="1"/>
  <c r="O7" i="27"/>
  <c r="O8" i="27" s="1"/>
  <c r="O19" i="27" s="1"/>
  <c r="U11" i="27" s="1"/>
  <c r="H10" i="43" s="1"/>
  <c r="M10" i="43" s="1"/>
  <c r="R7" i="12"/>
  <c r="O7" i="3"/>
  <c r="O9" i="3" s="1"/>
  <c r="R7" i="20"/>
  <c r="R8" i="20" s="1"/>
  <c r="R12" i="20" s="1"/>
  <c r="O7" i="23"/>
  <c r="O8" i="23" s="1"/>
  <c r="O19" i="23" s="1"/>
  <c r="U11" i="23" s="1"/>
  <c r="H20" i="43" s="1"/>
  <c r="M20" i="43" s="1"/>
  <c r="R7" i="27"/>
  <c r="R8" i="27" s="1"/>
  <c r="R12" i="27" s="1"/>
  <c r="U17" i="27" s="1"/>
  <c r="O10" i="43" s="1"/>
  <c r="R10" i="43" s="1"/>
  <c r="O7" i="14"/>
  <c r="O8" i="14" s="1"/>
  <c r="O19" i="14" s="1"/>
  <c r="U11" i="14" s="1"/>
  <c r="H34" i="43" s="1"/>
  <c r="M34" i="43" s="1"/>
  <c r="R7" i="17"/>
  <c r="R9" i="17" s="1"/>
  <c r="R13" i="17" s="1"/>
  <c r="X7" i="17" s="1"/>
  <c r="R7" i="24"/>
  <c r="R9" i="24" s="1"/>
  <c r="R13" i="24" s="1"/>
  <c r="X7" i="24" s="1"/>
  <c r="O7" i="16"/>
  <c r="J115" i="22"/>
  <c r="R9" i="22"/>
  <c r="R13" i="22" s="1"/>
  <c r="X7" i="22" s="1"/>
  <c r="R7" i="3"/>
  <c r="R9" i="3" s="1"/>
  <c r="R13" i="3" s="1"/>
  <c r="O7" i="24"/>
  <c r="O9" i="24" s="1"/>
  <c r="O11" i="24" s="1"/>
  <c r="U7" i="24" s="1"/>
  <c r="O7" i="12"/>
  <c r="O8" i="12" s="1"/>
  <c r="O19" i="12" s="1"/>
  <c r="U11" i="12" s="1"/>
  <c r="H33" i="43" s="1"/>
  <c r="M33" i="43" s="1"/>
  <c r="R7" i="26"/>
  <c r="R9" i="26" s="1"/>
  <c r="R13" i="26" s="1"/>
  <c r="O7" i="10"/>
  <c r="O8" i="10" s="1"/>
  <c r="O19" i="10" s="1"/>
  <c r="U11" i="10" s="1"/>
  <c r="H15" i="43" s="1"/>
  <c r="M15" i="43" s="1"/>
  <c r="R15" i="22"/>
  <c r="O7" i="25"/>
  <c r="O8" i="25" s="1"/>
  <c r="O19" i="25" s="1"/>
  <c r="R7" i="8"/>
  <c r="R9" i="8" s="1"/>
  <c r="R13" i="8" s="1"/>
  <c r="R7" i="9"/>
  <c r="R8" i="9" s="1"/>
  <c r="R12" i="9" s="1"/>
  <c r="R7" i="10"/>
  <c r="O7" i="29"/>
  <c r="O8" i="29" s="1"/>
  <c r="O19" i="29" s="1"/>
  <c r="J114" i="22"/>
  <c r="R110" i="22"/>
  <c r="J121" i="22"/>
  <c r="AC13" i="44"/>
  <c r="J119" i="22"/>
  <c r="L10" i="7"/>
  <c r="J17" i="7" s="1"/>
  <c r="U18" i="7" s="1"/>
  <c r="P14" i="43" s="1"/>
  <c r="P13" i="43" s="1"/>
  <c r="L9" i="21"/>
  <c r="J14" i="21" s="1"/>
  <c r="U14" i="21" s="1"/>
  <c r="K29" i="43" s="1"/>
  <c r="K28" i="43" s="1"/>
  <c r="R7" i="16"/>
  <c r="R8" i="16" s="1"/>
  <c r="R12" i="16" s="1"/>
  <c r="U17" i="16" s="1"/>
  <c r="O35" i="43" s="1"/>
  <c r="R35" i="43" s="1"/>
  <c r="O9" i="11"/>
  <c r="O11" i="11" s="1"/>
  <c r="U7" i="11" s="1"/>
  <c r="Y28" i="44"/>
  <c r="Y13" i="44"/>
  <c r="Y32" i="44"/>
  <c r="R60" i="3"/>
  <c r="R85" i="32"/>
  <c r="R85" i="31"/>
  <c r="R85" i="30"/>
  <c r="R85" i="29"/>
  <c r="R85" i="28"/>
  <c r="R85" i="27"/>
  <c r="R85" i="26"/>
  <c r="R85" i="25"/>
  <c r="R85" i="24"/>
  <c r="R85" i="23"/>
  <c r="AI28" i="41"/>
  <c r="AE28" i="41"/>
  <c r="R85" i="21"/>
  <c r="AA28" i="41"/>
  <c r="R85" i="20"/>
  <c r="R85" i="19"/>
  <c r="R85" i="18"/>
  <c r="R85" i="17"/>
  <c r="I4" i="40"/>
  <c r="R85" i="16"/>
  <c r="R85" i="15"/>
  <c r="R85" i="14"/>
  <c r="R85" i="13"/>
  <c r="R85" i="12"/>
  <c r="R85" i="11"/>
  <c r="R85" i="10"/>
  <c r="R85" i="9"/>
  <c r="R85" i="8"/>
  <c r="AE13" i="41"/>
  <c r="R85" i="7"/>
  <c r="AI5" i="39"/>
  <c r="AA5" i="39"/>
  <c r="AE5" i="39"/>
  <c r="Y5" i="44"/>
  <c r="R110" i="3"/>
  <c r="L36" i="23"/>
  <c r="J47" i="23" s="1"/>
  <c r="U32" i="23" s="1"/>
  <c r="D20" i="41" s="1"/>
  <c r="L33" i="23"/>
  <c r="J38" i="23" s="1"/>
  <c r="U38" i="23" s="1"/>
  <c r="K20" i="41" s="1"/>
  <c r="L34" i="23"/>
  <c r="J41" i="23" s="1"/>
  <c r="U42" i="23" s="1"/>
  <c r="P20" i="41" s="1"/>
  <c r="L33" i="24"/>
  <c r="J38" i="24" s="1"/>
  <c r="U38" i="24" s="1"/>
  <c r="K26" i="41" s="1"/>
  <c r="L36" i="24"/>
  <c r="J47" i="24" s="1"/>
  <c r="U32" i="24" s="1"/>
  <c r="D26" i="41" s="1"/>
  <c r="L35" i="24"/>
  <c r="J42" i="24" s="1"/>
  <c r="L35" i="23"/>
  <c r="J42" i="23" s="1"/>
  <c r="X32" i="23" s="1"/>
  <c r="U20" i="41" s="1"/>
  <c r="Y6" i="41"/>
  <c r="J65" i="3"/>
  <c r="L106" i="32"/>
  <c r="J44" i="3"/>
  <c r="L31" i="19"/>
  <c r="L33" i="19" s="1"/>
  <c r="J38" i="19" s="1"/>
  <c r="U38" i="19" s="1"/>
  <c r="K9" i="41" s="1"/>
  <c r="L56" i="8"/>
  <c r="L31" i="8"/>
  <c r="L33" i="8" s="1"/>
  <c r="J38" i="8" s="1"/>
  <c r="U38" i="8" s="1"/>
  <c r="K7" i="41" s="1"/>
  <c r="L56" i="17"/>
  <c r="L58" i="17" s="1"/>
  <c r="J63" i="17" s="1"/>
  <c r="U63" i="17" s="1"/>
  <c r="K36" i="39" s="1"/>
  <c r="L31" i="7"/>
  <c r="L33" i="7" s="1"/>
  <c r="J38" i="7" s="1"/>
  <c r="U38" i="7" s="1"/>
  <c r="K14" i="41" s="1"/>
  <c r="L31" i="29"/>
  <c r="L33" i="29" s="1"/>
  <c r="J38" i="29" s="1"/>
  <c r="U38" i="29" s="1"/>
  <c r="K31" i="41" s="1"/>
  <c r="L106" i="10"/>
  <c r="L108" i="10" s="1"/>
  <c r="J113" i="10" s="1"/>
  <c r="U113" i="10" s="1"/>
  <c r="K15" i="44" s="1"/>
  <c r="J95" i="8"/>
  <c r="J96" i="17"/>
  <c r="J94" i="18"/>
  <c r="J89" i="8"/>
  <c r="J95" i="23"/>
  <c r="J96" i="13"/>
  <c r="J89" i="24"/>
  <c r="J89" i="23"/>
  <c r="J90" i="32"/>
  <c r="L56" i="10"/>
  <c r="L58" i="10" s="1"/>
  <c r="J63" i="10" s="1"/>
  <c r="U63" i="10" s="1"/>
  <c r="K15" i="39" s="1"/>
  <c r="L106" i="16"/>
  <c r="L56" i="26"/>
  <c r="L58" i="26" s="1"/>
  <c r="J63" i="26" s="1"/>
  <c r="U63" i="26" s="1"/>
  <c r="K30" i="39" s="1"/>
  <c r="L31" i="30"/>
  <c r="L33" i="30" s="1"/>
  <c r="J38" i="30" s="1"/>
  <c r="U38" i="30" s="1"/>
  <c r="K27" i="41" s="1"/>
  <c r="L56" i="28"/>
  <c r="L58" i="28" s="1"/>
  <c r="J63" i="28" s="1"/>
  <c r="U63" i="28" s="1"/>
  <c r="K11" i="39" s="1"/>
  <c r="J68" i="3"/>
  <c r="J69" i="3"/>
  <c r="L56" i="27"/>
  <c r="L56" i="15"/>
  <c r="L58" i="15" s="1"/>
  <c r="J63" i="15" s="1"/>
  <c r="U63" i="15" s="1"/>
  <c r="K17" i="39" s="1"/>
  <c r="J70" i="3"/>
  <c r="J43" i="3"/>
  <c r="L56" i="16"/>
  <c r="L58" i="16" s="1"/>
  <c r="J63" i="16" s="1"/>
  <c r="U63" i="16" s="1"/>
  <c r="K35" i="39" s="1"/>
  <c r="L106" i="12"/>
  <c r="L108" i="12" s="1"/>
  <c r="J113" i="12" s="1"/>
  <c r="U113" i="12" s="1"/>
  <c r="K33" i="44" s="1"/>
  <c r="L56" i="32"/>
  <c r="L58" i="32" s="1"/>
  <c r="J63" i="32" s="1"/>
  <c r="U63" i="32" s="1"/>
  <c r="K12" i="39" s="1"/>
  <c r="J94" i="13"/>
  <c r="J90" i="13"/>
  <c r="J90" i="24"/>
  <c r="AD61" i="35"/>
  <c r="I93" i="3"/>
  <c r="X89" i="3" s="1"/>
  <c r="AE6" i="40" s="1"/>
  <c r="J95" i="12"/>
  <c r="J89" i="13"/>
  <c r="J93" i="9"/>
  <c r="J90" i="28"/>
  <c r="J93" i="12"/>
  <c r="J95" i="19"/>
  <c r="I88" i="11"/>
  <c r="G67" i="35"/>
  <c r="J90" i="23"/>
  <c r="J93" i="19"/>
  <c r="J93" i="26"/>
  <c r="J94" i="25"/>
  <c r="J93" i="21"/>
  <c r="J96" i="32"/>
  <c r="J94" i="27"/>
  <c r="J89" i="29"/>
  <c r="J90" i="7"/>
  <c r="I88" i="28"/>
  <c r="X67" i="35"/>
  <c r="J118" i="3"/>
  <c r="AD67" i="4"/>
  <c r="L31" i="3"/>
  <c r="L35" i="3" s="1"/>
  <c r="J42" i="3" s="1"/>
  <c r="X32" i="3" s="1"/>
  <c r="U6" i="41" s="1"/>
  <c r="L56" i="23"/>
  <c r="L58" i="23" s="1"/>
  <c r="J63" i="23" s="1"/>
  <c r="U63" i="23" s="1"/>
  <c r="K20" i="39" s="1"/>
  <c r="L106" i="28"/>
  <c r="L108" i="28" s="1"/>
  <c r="J113" i="28" s="1"/>
  <c r="U113" i="28" s="1"/>
  <c r="K11" i="44" s="1"/>
  <c r="L106" i="15"/>
  <c r="L108" i="15" s="1"/>
  <c r="J113" i="15" s="1"/>
  <c r="U113" i="15" s="1"/>
  <c r="K17" i="44" s="1"/>
  <c r="J89" i="9"/>
  <c r="I95" i="3"/>
  <c r="X92" i="3" s="1"/>
  <c r="AI6" i="40" s="1"/>
  <c r="AD63" i="35"/>
  <c r="J93" i="17"/>
  <c r="I88" i="21"/>
  <c r="Q67" i="35"/>
  <c r="L106" i="3"/>
  <c r="L111" i="3" s="1"/>
  <c r="J122" i="3" s="1"/>
  <c r="U107" i="3" s="1"/>
  <c r="D6" i="44" s="1"/>
  <c r="L31" i="21"/>
  <c r="L33" i="21" s="1"/>
  <c r="J38" i="21" s="1"/>
  <c r="U38" i="21" s="1"/>
  <c r="K29" i="41" s="1"/>
  <c r="L31" i="31"/>
  <c r="L33" i="31" s="1"/>
  <c r="J38" i="31" s="1"/>
  <c r="U38" i="31" s="1"/>
  <c r="K22" i="41" s="1"/>
  <c r="L31" i="11"/>
  <c r="L33" i="11" s="1"/>
  <c r="J38" i="11" s="1"/>
  <c r="U38" i="11" s="1"/>
  <c r="K16" i="41" s="1"/>
  <c r="L56" i="21"/>
  <c r="L58" i="21" s="1"/>
  <c r="J63" i="21" s="1"/>
  <c r="U63" i="21" s="1"/>
  <c r="K29" i="39" s="1"/>
  <c r="L56" i="14"/>
  <c r="L58" i="14" s="1"/>
  <c r="J63" i="14" s="1"/>
  <c r="U63" i="14" s="1"/>
  <c r="K34" i="39" s="1"/>
  <c r="J120" i="3"/>
  <c r="L31" i="22"/>
  <c r="L33" i="22" s="1"/>
  <c r="J38" i="22" s="1"/>
  <c r="U38" i="22" s="1"/>
  <c r="K19" i="41" s="1"/>
  <c r="J95" i="18"/>
  <c r="J96" i="16"/>
  <c r="J94" i="19"/>
  <c r="I90" i="3"/>
  <c r="X86" i="3" s="1"/>
  <c r="AA6" i="40" s="1"/>
  <c r="AD58" i="35"/>
  <c r="D67" i="35"/>
  <c r="I88" i="8"/>
  <c r="J96" i="14"/>
  <c r="J94" i="15"/>
  <c r="AD64" i="35"/>
  <c r="I96" i="3"/>
  <c r="X88" i="3" s="1"/>
  <c r="AC6" i="40" s="1"/>
  <c r="H67" i="35"/>
  <c r="I88" i="12"/>
  <c r="J89" i="18"/>
  <c r="J89" i="15"/>
  <c r="I91" i="3"/>
  <c r="AD59" i="35"/>
  <c r="I88" i="14"/>
  <c r="J67" i="35"/>
  <c r="J94" i="24"/>
  <c r="J90" i="11"/>
  <c r="J89" i="17"/>
  <c r="J96" i="20"/>
  <c r="J94" i="26"/>
  <c r="J96" i="24"/>
  <c r="J94" i="21"/>
  <c r="J94" i="28"/>
  <c r="J96" i="23"/>
  <c r="J93" i="28"/>
  <c r="J93" i="30"/>
  <c r="I88" i="29"/>
  <c r="Y67" i="35"/>
  <c r="J94" i="31"/>
  <c r="J93" i="10"/>
  <c r="J95" i="7"/>
  <c r="L56" i="31"/>
  <c r="L58" i="31" s="1"/>
  <c r="J63" i="31" s="1"/>
  <c r="U63" i="31" s="1"/>
  <c r="K22" i="39" s="1"/>
  <c r="L56" i="12"/>
  <c r="J89" i="14"/>
  <c r="AD57" i="35"/>
  <c r="I89" i="3"/>
  <c r="X85" i="3" s="1"/>
  <c r="Y6" i="40" s="1"/>
  <c r="Y5" i="40" s="1"/>
  <c r="J93" i="15"/>
  <c r="J94" i="11"/>
  <c r="J89" i="19"/>
  <c r="J89" i="21"/>
  <c r="J90" i="27"/>
  <c r="I88" i="31"/>
  <c r="AA67" i="35"/>
  <c r="L56" i="22"/>
  <c r="L58" i="22" s="1"/>
  <c r="J63" i="22" s="1"/>
  <c r="U63" i="22" s="1"/>
  <c r="K19" i="39" s="1"/>
  <c r="L106" i="25"/>
  <c r="L108" i="25" s="1"/>
  <c r="J113" i="25" s="1"/>
  <c r="U113" i="25" s="1"/>
  <c r="K21" i="44" s="1"/>
  <c r="J121" i="3"/>
  <c r="J40" i="3"/>
  <c r="L56" i="18"/>
  <c r="L58" i="18" s="1"/>
  <c r="J63" i="18" s="1"/>
  <c r="U63" i="18" s="1"/>
  <c r="K25" i="39" s="1"/>
  <c r="L106" i="24"/>
  <c r="L31" i="27"/>
  <c r="L33" i="27" s="1"/>
  <c r="J38" i="27" s="1"/>
  <c r="U38" i="27" s="1"/>
  <c r="K10" i="41" s="1"/>
  <c r="L106" i="26"/>
  <c r="L108" i="26" s="1"/>
  <c r="J113" i="26" s="1"/>
  <c r="U113" i="26" s="1"/>
  <c r="K30" i="44" s="1"/>
  <c r="L56" i="25"/>
  <c r="L58" i="25" s="1"/>
  <c r="J63" i="25" s="1"/>
  <c r="U63" i="25" s="1"/>
  <c r="K21" i="39" s="1"/>
  <c r="L106" i="20"/>
  <c r="L108" i="20" s="1"/>
  <c r="J113" i="20" s="1"/>
  <c r="U113" i="20" s="1"/>
  <c r="K18" i="44" s="1"/>
  <c r="L106" i="23"/>
  <c r="L108" i="23" s="1"/>
  <c r="J113" i="23" s="1"/>
  <c r="U113" i="23" s="1"/>
  <c r="K20" i="44" s="1"/>
  <c r="L106" i="19"/>
  <c r="L108" i="19" s="1"/>
  <c r="J113" i="19" s="1"/>
  <c r="U113" i="19" s="1"/>
  <c r="K9" i="44" s="1"/>
  <c r="L31" i="15"/>
  <c r="L33" i="15" s="1"/>
  <c r="J38" i="15" s="1"/>
  <c r="U38" i="15" s="1"/>
  <c r="K17" i="41" s="1"/>
  <c r="L106" i="27"/>
  <c r="J115" i="3"/>
  <c r="L31" i="25"/>
  <c r="L33" i="25" s="1"/>
  <c r="J38" i="25" s="1"/>
  <c r="U38" i="25" s="1"/>
  <c r="K21" i="41" s="1"/>
  <c r="I67" i="35"/>
  <c r="I88" i="13"/>
  <c r="J93" i="14"/>
  <c r="J95" i="30"/>
  <c r="J94" i="8"/>
  <c r="J90" i="15"/>
  <c r="AD60" i="35"/>
  <c r="I92" i="3"/>
  <c r="J94" i="12"/>
  <c r="O67" i="35"/>
  <c r="I88" i="19"/>
  <c r="J94" i="16"/>
  <c r="J96" i="8"/>
  <c r="J94" i="14"/>
  <c r="J93" i="25"/>
  <c r="J95" i="13"/>
  <c r="J90" i="26"/>
  <c r="J90" i="21"/>
  <c r="J96" i="19"/>
  <c r="J96" i="29"/>
  <c r="J89" i="28"/>
  <c r="J95" i="29"/>
  <c r="J89" i="30"/>
  <c r="J94" i="29"/>
  <c r="J90" i="31"/>
  <c r="J89" i="10"/>
  <c r="I88" i="7"/>
  <c r="C67" i="35"/>
  <c r="J95" i="15"/>
  <c r="J93" i="20"/>
  <c r="J93" i="18"/>
  <c r="J89" i="12"/>
  <c r="J93" i="31"/>
  <c r="J89" i="26"/>
  <c r="J95" i="27"/>
  <c r="J96" i="30"/>
  <c r="J46" i="3"/>
  <c r="L31" i="14"/>
  <c r="L33" i="14" s="1"/>
  <c r="J38" i="14" s="1"/>
  <c r="U38" i="14" s="1"/>
  <c r="K34" i="41" s="1"/>
  <c r="L56" i="20"/>
  <c r="L58" i="20" s="1"/>
  <c r="J63" i="20" s="1"/>
  <c r="U63" i="20" s="1"/>
  <c r="K18" i="39" s="1"/>
  <c r="L31" i="20"/>
  <c r="L56" i="30"/>
  <c r="L58" i="30" s="1"/>
  <c r="J63" i="30" s="1"/>
  <c r="U63" i="30" s="1"/>
  <c r="K27" i="39" s="1"/>
  <c r="L106" i="30"/>
  <c r="L56" i="24"/>
  <c r="L56" i="9"/>
  <c r="L58" i="9" s="1"/>
  <c r="J63" i="9" s="1"/>
  <c r="U63" i="9" s="1"/>
  <c r="K8" i="39" s="1"/>
  <c r="J114" i="3"/>
  <c r="L31" i="32"/>
  <c r="L33" i="32" s="1"/>
  <c r="J38" i="32" s="1"/>
  <c r="U38" i="32" s="1"/>
  <c r="K12" i="41" s="1"/>
  <c r="L31" i="26"/>
  <c r="L33" i="26" s="1"/>
  <c r="J38" i="26" s="1"/>
  <c r="U38" i="26" s="1"/>
  <c r="K30" i="41" s="1"/>
  <c r="J89" i="11"/>
  <c r="J95" i="9"/>
  <c r="J93" i="11"/>
  <c r="J90" i="8"/>
  <c r="L67" i="35"/>
  <c r="I88" i="16"/>
  <c r="J96" i="11"/>
  <c r="J95" i="16"/>
  <c r="J90" i="12"/>
  <c r="J90" i="19"/>
  <c r="J95" i="11"/>
  <c r="I88" i="17"/>
  <c r="M67" i="35"/>
  <c r="J90" i="14"/>
  <c r="J95" i="26"/>
  <c r="J95" i="21"/>
  <c r="J93" i="27"/>
  <c r="J95" i="25"/>
  <c r="I88" i="20"/>
  <c r="P67" i="35"/>
  <c r="J96" i="26"/>
  <c r="I88" i="30"/>
  <c r="Z67" i="35"/>
  <c r="I88" i="32"/>
  <c r="AB67" i="35"/>
  <c r="J90" i="29"/>
  <c r="J93" i="32"/>
  <c r="J95" i="10"/>
  <c r="J96" i="10"/>
  <c r="J96" i="7"/>
  <c r="L106" i="8"/>
  <c r="J45" i="3"/>
  <c r="I88" i="15"/>
  <c r="K67" i="35"/>
  <c r="I88" i="26"/>
  <c r="V67" i="35"/>
  <c r="J90" i="25"/>
  <c r="J64" i="3"/>
  <c r="L31" i="13"/>
  <c r="L33" i="13" s="1"/>
  <c r="J38" i="13" s="1"/>
  <c r="U38" i="13" s="1"/>
  <c r="K24" i="41" s="1"/>
  <c r="L31" i="10"/>
  <c r="L33" i="10" s="1"/>
  <c r="J38" i="10" s="1"/>
  <c r="U38" i="10" s="1"/>
  <c r="K15" i="41" s="1"/>
  <c r="L31" i="12"/>
  <c r="L33" i="12" s="1"/>
  <c r="J38" i="12" s="1"/>
  <c r="U38" i="12" s="1"/>
  <c r="K33" i="41" s="1"/>
  <c r="L56" i="19"/>
  <c r="L58" i="19" s="1"/>
  <c r="J63" i="19" s="1"/>
  <c r="U63" i="19" s="1"/>
  <c r="K9" i="39" s="1"/>
  <c r="L31" i="16"/>
  <c r="L56" i="13"/>
  <c r="L58" i="13" s="1"/>
  <c r="J63" i="13" s="1"/>
  <c r="U63" i="13" s="1"/>
  <c r="K24" i="39" s="1"/>
  <c r="L106" i="11"/>
  <c r="L108" i="11" s="1"/>
  <c r="J113" i="11" s="1"/>
  <c r="U113" i="11" s="1"/>
  <c r="K16" i="44" s="1"/>
  <c r="L31" i="28"/>
  <c r="L33" i="28" s="1"/>
  <c r="J38" i="28" s="1"/>
  <c r="U38" i="28" s="1"/>
  <c r="K11" i="41" s="1"/>
  <c r="J89" i="25"/>
  <c r="I94" i="3"/>
  <c r="X91" i="3" s="1"/>
  <c r="AG6" i="40" s="1"/>
  <c r="AG5" i="40" s="1"/>
  <c r="AD62" i="35"/>
  <c r="J96" i="12"/>
  <c r="E67" i="35"/>
  <c r="I88" i="9"/>
  <c r="N67" i="35"/>
  <c r="I88" i="18"/>
  <c r="J89" i="16"/>
  <c r="J93" i="8"/>
  <c r="J95" i="14"/>
  <c r="J89" i="20"/>
  <c r="J94" i="17"/>
  <c r="J96" i="9"/>
  <c r="J96" i="15"/>
  <c r="J93" i="24"/>
  <c r="J93" i="23"/>
  <c r="J95" i="24"/>
  <c r="J94" i="20"/>
  <c r="J94" i="30"/>
  <c r="J96" i="31"/>
  <c r="J94" i="32"/>
  <c r="J95" i="31"/>
  <c r="J89" i="32"/>
  <c r="I88" i="10"/>
  <c r="F67" i="35"/>
  <c r="J93" i="7"/>
  <c r="L106" i="29"/>
  <c r="L108" i="29" s="1"/>
  <c r="J113" i="29" s="1"/>
  <c r="U113" i="29" s="1"/>
  <c r="K31" i="44" s="1"/>
  <c r="L106" i="13"/>
  <c r="L108" i="13" s="1"/>
  <c r="J113" i="13" s="1"/>
  <c r="U113" i="13" s="1"/>
  <c r="K24" i="44" s="1"/>
  <c r="L31" i="18"/>
  <c r="L33" i="18" s="1"/>
  <c r="J38" i="18" s="1"/>
  <c r="U38" i="18" s="1"/>
  <c r="K25" i="41" s="1"/>
  <c r="L31" i="17"/>
  <c r="L33" i="17" s="1"/>
  <c r="J38" i="17" s="1"/>
  <c r="U38" i="17" s="1"/>
  <c r="K36" i="41" s="1"/>
  <c r="J90" i="16"/>
  <c r="J94" i="9"/>
  <c r="J95" i="17"/>
  <c r="J90" i="17"/>
  <c r="J96" i="18"/>
  <c r="I88" i="23"/>
  <c r="S67" i="35"/>
  <c r="J89" i="31"/>
  <c r="J90" i="20"/>
  <c r="J90" i="30"/>
  <c r="J94" i="10"/>
  <c r="L106" i="18"/>
  <c r="L108" i="18" s="1"/>
  <c r="J113" i="18" s="1"/>
  <c r="U113" i="18" s="1"/>
  <c r="K25" i="44" s="1"/>
  <c r="L106" i="31"/>
  <c r="L108" i="31" s="1"/>
  <c r="J113" i="31" s="1"/>
  <c r="U113" i="31" s="1"/>
  <c r="K22" i="44" s="1"/>
  <c r="J39" i="3"/>
  <c r="L56" i="29"/>
  <c r="L58" i="29" s="1"/>
  <c r="J63" i="29" s="1"/>
  <c r="U63" i="29" s="1"/>
  <c r="K31" i="39" s="1"/>
  <c r="L56" i="11"/>
  <c r="L58" i="11" s="1"/>
  <c r="J63" i="11" s="1"/>
  <c r="U63" i="11" s="1"/>
  <c r="K16" i="39" s="1"/>
  <c r="J71" i="3"/>
  <c r="L106" i="9"/>
  <c r="L31" i="9"/>
  <c r="L33" i="9" s="1"/>
  <c r="J38" i="9" s="1"/>
  <c r="U38" i="9" s="1"/>
  <c r="K8" i="41" s="1"/>
  <c r="I88" i="3"/>
  <c r="AD56" i="35"/>
  <c r="B67" i="35"/>
  <c r="J96" i="21"/>
  <c r="AD65" i="35"/>
  <c r="I97" i="3"/>
  <c r="J90" i="9"/>
  <c r="J90" i="18"/>
  <c r="J93" i="13"/>
  <c r="I88" i="24"/>
  <c r="T67" i="35"/>
  <c r="J96" i="27"/>
  <c r="R67" i="35"/>
  <c r="J93" i="16"/>
  <c r="J96" i="25"/>
  <c r="J94" i="23"/>
  <c r="J95" i="20"/>
  <c r="I88" i="25"/>
  <c r="U67" i="35"/>
  <c r="J89" i="27"/>
  <c r="J95" i="32"/>
  <c r="J96" i="28"/>
  <c r="I88" i="27"/>
  <c r="W67" i="35"/>
  <c r="J95" i="28"/>
  <c r="J93" i="29"/>
  <c r="J90" i="10"/>
  <c r="J89" i="7"/>
  <c r="J94" i="7"/>
  <c r="J119" i="3"/>
  <c r="L106" i="22" l="1"/>
  <c r="AA4" i="44"/>
  <c r="J118" i="22"/>
  <c r="R9" i="15"/>
  <c r="R13" i="15" s="1"/>
  <c r="X7" i="15" s="1"/>
  <c r="T17" i="43" s="1"/>
  <c r="W17" i="43" s="1"/>
  <c r="L111" i="22"/>
  <c r="J122" i="22" s="1"/>
  <c r="U107" i="22" s="1"/>
  <c r="L109" i="22"/>
  <c r="J116" i="22" s="1"/>
  <c r="U117" i="22" s="1"/>
  <c r="P19" i="44" s="1"/>
  <c r="L108" i="22"/>
  <c r="J113" i="22" s="1"/>
  <c r="U113" i="22" s="1"/>
  <c r="K19" i="44" s="1"/>
  <c r="L110" i="22"/>
  <c r="J117" i="22" s="1"/>
  <c r="X107" i="22" s="1"/>
  <c r="AG4" i="44"/>
  <c r="AC4" i="44"/>
  <c r="L36" i="3"/>
  <c r="J47" i="3" s="1"/>
  <c r="U32" i="3" s="1"/>
  <c r="D6" i="41" s="1"/>
  <c r="L56" i="3"/>
  <c r="L59" i="3" s="1"/>
  <c r="J66" i="3" s="1"/>
  <c r="U67" i="3" s="1"/>
  <c r="P6" i="39" s="1"/>
  <c r="AG4" i="40"/>
  <c r="AC4" i="39"/>
  <c r="R8" i="19"/>
  <c r="R12" i="19" s="1"/>
  <c r="U17" i="19" s="1"/>
  <c r="O9" i="43" s="1"/>
  <c r="R9" i="43" s="1"/>
  <c r="AI4" i="39"/>
  <c r="AA4" i="39"/>
  <c r="AE4" i="44"/>
  <c r="AI4" i="44"/>
  <c r="Y4" i="39"/>
  <c r="Y4" i="40"/>
  <c r="AG4" i="39"/>
  <c r="R16" i="19"/>
  <c r="X9" i="19" s="1"/>
  <c r="V9" i="43" s="1"/>
  <c r="O20" i="11"/>
  <c r="R8" i="11"/>
  <c r="R12" i="11" s="1"/>
  <c r="U17" i="11" s="1"/>
  <c r="O16" i="43" s="1"/>
  <c r="R16" i="43" s="1"/>
  <c r="O20" i="30"/>
  <c r="U15" i="30" s="1"/>
  <c r="L27" i="43" s="1"/>
  <c r="R9" i="13"/>
  <c r="R13" i="13" s="1"/>
  <c r="X7" i="13" s="1"/>
  <c r="T24" i="43" s="1"/>
  <c r="W24" i="43" s="1"/>
  <c r="R15" i="30"/>
  <c r="U19" i="30" s="1"/>
  <c r="Q27" i="43" s="1"/>
  <c r="O9" i="30"/>
  <c r="O11" i="30" s="1"/>
  <c r="U7" i="30" s="1"/>
  <c r="U21" i="30" s="1"/>
  <c r="R9" i="30"/>
  <c r="R13" i="30" s="1"/>
  <c r="R16" i="30" s="1"/>
  <c r="X9" i="30" s="1"/>
  <c r="V27" i="43" s="1"/>
  <c r="O20" i="20"/>
  <c r="U15" i="20" s="1"/>
  <c r="L18" i="43" s="1"/>
  <c r="R8" i="25"/>
  <c r="R12" i="25" s="1"/>
  <c r="U17" i="25" s="1"/>
  <c r="O21" i="43" s="1"/>
  <c r="R21" i="43" s="1"/>
  <c r="X21" i="19"/>
  <c r="C9" i="43"/>
  <c r="F9" i="43" s="1"/>
  <c r="AK9" i="43" s="1"/>
  <c r="AM9" i="43" s="1"/>
  <c r="O20" i="13"/>
  <c r="U15" i="13" s="1"/>
  <c r="L24" i="43" s="1"/>
  <c r="O9" i="22"/>
  <c r="O11" i="22" s="1"/>
  <c r="U7" i="22" s="1"/>
  <c r="X21" i="22" s="1"/>
  <c r="O9" i="13"/>
  <c r="O11" i="13" s="1"/>
  <c r="U7" i="13" s="1"/>
  <c r="U21" i="13" s="1"/>
  <c r="U17" i="15"/>
  <c r="O17" i="43" s="1"/>
  <c r="R17" i="43" s="1"/>
  <c r="X7" i="28"/>
  <c r="T11" i="43" s="1"/>
  <c r="W11" i="43" s="1"/>
  <c r="O20" i="22"/>
  <c r="U15" i="22" s="1"/>
  <c r="L19" i="43" s="1"/>
  <c r="R16" i="18"/>
  <c r="X9" i="18" s="1"/>
  <c r="V25" i="43" s="1"/>
  <c r="R8" i="28"/>
  <c r="R12" i="28" s="1"/>
  <c r="U17" i="28" s="1"/>
  <c r="O11" i="43" s="1"/>
  <c r="R11" i="43" s="1"/>
  <c r="R16" i="15"/>
  <c r="X9" i="15" s="1"/>
  <c r="V17" i="43" s="1"/>
  <c r="O13" i="19"/>
  <c r="U9" i="19" s="1"/>
  <c r="E9" i="43" s="1"/>
  <c r="R8" i="29"/>
  <c r="R12" i="29" s="1"/>
  <c r="U17" i="29" s="1"/>
  <c r="O31" i="43" s="1"/>
  <c r="R31" i="43" s="1"/>
  <c r="X7" i="29"/>
  <c r="T31" i="43" s="1"/>
  <c r="W31" i="43" s="1"/>
  <c r="R9" i="14"/>
  <c r="R13" i="14" s="1"/>
  <c r="X7" i="14" s="1"/>
  <c r="T34" i="43" s="1"/>
  <c r="W34" i="43" s="1"/>
  <c r="R15" i="14"/>
  <c r="U19" i="14" s="1"/>
  <c r="Q34" i="43" s="1"/>
  <c r="O9" i="20"/>
  <c r="O11" i="20" s="1"/>
  <c r="U7" i="20" s="1"/>
  <c r="X21" i="20" s="1"/>
  <c r="O20" i="32"/>
  <c r="U15" i="32" s="1"/>
  <c r="L12" i="43" s="1"/>
  <c r="O9" i="32"/>
  <c r="O11" i="32" s="1"/>
  <c r="O7" i="7"/>
  <c r="O8" i="7" s="1"/>
  <c r="O19" i="7" s="1"/>
  <c r="U11" i="7" s="1"/>
  <c r="H14" i="43" s="1"/>
  <c r="M14" i="43" s="1"/>
  <c r="O8" i="19"/>
  <c r="O19" i="19" s="1"/>
  <c r="U11" i="19" s="1"/>
  <c r="H9" i="43" s="1"/>
  <c r="M9" i="43" s="1"/>
  <c r="O7" i="26"/>
  <c r="O8" i="26" s="1"/>
  <c r="O19" i="26" s="1"/>
  <c r="U11" i="26" s="1"/>
  <c r="H30" i="43" s="1"/>
  <c r="M30" i="43" s="1"/>
  <c r="O9" i="8"/>
  <c r="O11" i="8" s="1"/>
  <c r="U7" i="8" s="1"/>
  <c r="X21" i="8" s="1"/>
  <c r="R8" i="23"/>
  <c r="R12" i="23" s="1"/>
  <c r="R15" i="23" s="1"/>
  <c r="R15" i="32"/>
  <c r="U19" i="32" s="1"/>
  <c r="Q12" i="43" s="1"/>
  <c r="R9" i="32"/>
  <c r="R13" i="32" s="1"/>
  <c r="X7" i="32" s="1"/>
  <c r="T12" i="43" s="1"/>
  <c r="W12" i="43" s="1"/>
  <c r="O13" i="15"/>
  <c r="U9" i="15" s="1"/>
  <c r="E17" i="43" s="1"/>
  <c r="O9" i="9"/>
  <c r="O11" i="9" s="1"/>
  <c r="U7" i="9" s="1"/>
  <c r="C8" i="43" s="1"/>
  <c r="F8" i="43" s="1"/>
  <c r="AK8" i="43" s="1"/>
  <c r="O9" i="28"/>
  <c r="O11" i="28" s="1"/>
  <c r="U7" i="28" s="1"/>
  <c r="C11" i="43" s="1"/>
  <c r="F11" i="43" s="1"/>
  <c r="AK11" i="43" s="1"/>
  <c r="O20" i="31"/>
  <c r="U15" i="31" s="1"/>
  <c r="L22" i="43" s="1"/>
  <c r="O9" i="18"/>
  <c r="O11" i="18" s="1"/>
  <c r="U7" i="18" s="1"/>
  <c r="X21" i="18" s="1"/>
  <c r="C17" i="43"/>
  <c r="F17" i="43" s="1"/>
  <c r="AK17" i="43" s="1"/>
  <c r="AM17" i="43" s="1"/>
  <c r="U21" i="15"/>
  <c r="O9" i="31"/>
  <c r="O11" i="31" s="1"/>
  <c r="U7" i="31" s="1"/>
  <c r="U21" i="31" s="1"/>
  <c r="O20" i="28"/>
  <c r="U15" i="28" s="1"/>
  <c r="L11" i="43" s="1"/>
  <c r="R16" i="23"/>
  <c r="X9" i="23" s="1"/>
  <c r="V20" i="43" s="1"/>
  <c r="K23" i="41"/>
  <c r="K28" i="41"/>
  <c r="K13" i="39"/>
  <c r="K28" i="39"/>
  <c r="R31" i="24"/>
  <c r="R33" i="24" s="1"/>
  <c r="R37" i="24" s="1"/>
  <c r="X32" i="24"/>
  <c r="U26" i="41" s="1"/>
  <c r="X21" i="11"/>
  <c r="U21" i="11"/>
  <c r="U15" i="18"/>
  <c r="L25" i="43" s="1"/>
  <c r="X9" i="28"/>
  <c r="V11" i="43" s="1"/>
  <c r="U11" i="29"/>
  <c r="H31" i="43" s="1"/>
  <c r="M31" i="43" s="1"/>
  <c r="U15" i="11"/>
  <c r="L16" i="43" s="1"/>
  <c r="U17" i="9"/>
  <c r="O8" i="43" s="1"/>
  <c r="R8" i="43" s="1"/>
  <c r="X7" i="8"/>
  <c r="T7" i="43" s="1"/>
  <c r="W7" i="43" s="1"/>
  <c r="U11" i="25"/>
  <c r="H21" i="43" s="1"/>
  <c r="M21" i="43" s="1"/>
  <c r="U19" i="22"/>
  <c r="Q19" i="43" s="1"/>
  <c r="X7" i="26"/>
  <c r="T30" i="43" s="1"/>
  <c r="W30" i="43" s="1"/>
  <c r="X21" i="24"/>
  <c r="U21" i="24"/>
  <c r="X7" i="3"/>
  <c r="T6" i="43" s="1"/>
  <c r="W6" i="43" s="1"/>
  <c r="X9" i="25"/>
  <c r="V21" i="43" s="1"/>
  <c r="U17" i="20"/>
  <c r="O18" i="43" s="1"/>
  <c r="R18" i="43" s="1"/>
  <c r="U11" i="9"/>
  <c r="H8" i="43" s="1"/>
  <c r="M8" i="43" s="1"/>
  <c r="O20" i="8"/>
  <c r="U11" i="8"/>
  <c r="U19" i="15"/>
  <c r="Q17" i="43" s="1"/>
  <c r="U19" i="13"/>
  <c r="Q24" i="43" s="1"/>
  <c r="U19" i="18"/>
  <c r="Q25" i="43" s="1"/>
  <c r="U15" i="15"/>
  <c r="L17" i="43" s="1"/>
  <c r="U11" i="18"/>
  <c r="H25" i="43" s="1"/>
  <c r="M25" i="43" s="1"/>
  <c r="O20" i="29"/>
  <c r="R8" i="3"/>
  <c r="R12" i="3" s="1"/>
  <c r="R15" i="3" s="1"/>
  <c r="O9" i="23"/>
  <c r="O11" i="23" s="1"/>
  <c r="U7" i="23" s="1"/>
  <c r="C20" i="43" s="1"/>
  <c r="F20" i="43" s="1"/>
  <c r="AK20" i="43" s="1"/>
  <c r="R15" i="20"/>
  <c r="O20" i="25"/>
  <c r="O9" i="10"/>
  <c r="O11" i="10" s="1"/>
  <c r="U7" i="10" s="1"/>
  <c r="O8" i="3"/>
  <c r="O19" i="3" s="1"/>
  <c r="U11" i="3" s="1"/>
  <c r="O20" i="27"/>
  <c r="O20" i="23"/>
  <c r="O20" i="17"/>
  <c r="O13" i="11"/>
  <c r="O13" i="30"/>
  <c r="R15" i="9"/>
  <c r="O13" i="24"/>
  <c r="O8" i="24"/>
  <c r="O19" i="24" s="1"/>
  <c r="U11" i="24" s="1"/>
  <c r="H26" i="43" s="1"/>
  <c r="M26" i="43" s="1"/>
  <c r="R16" i="8"/>
  <c r="T26" i="43"/>
  <c r="W26" i="43" s="1"/>
  <c r="R16" i="24"/>
  <c r="R16" i="17"/>
  <c r="T36" i="43"/>
  <c r="W36" i="43" s="1"/>
  <c r="O11" i="3"/>
  <c r="U7" i="3" s="1"/>
  <c r="R8" i="31"/>
  <c r="R12" i="31" s="1"/>
  <c r="U17" i="31" s="1"/>
  <c r="O22" i="43" s="1"/>
  <c r="R22" i="43" s="1"/>
  <c r="R9" i="31"/>
  <c r="R13" i="31" s="1"/>
  <c r="X7" i="31" s="1"/>
  <c r="R8" i="17"/>
  <c r="R12" i="17" s="1"/>
  <c r="U17" i="17" s="1"/>
  <c r="O36" i="43" s="1"/>
  <c r="R36" i="43" s="1"/>
  <c r="R15" i="27"/>
  <c r="O9" i="25"/>
  <c r="O11" i="25" s="1"/>
  <c r="U7" i="25" s="1"/>
  <c r="R9" i="20"/>
  <c r="R13" i="20" s="1"/>
  <c r="X7" i="20" s="1"/>
  <c r="R15" i="16"/>
  <c r="O7" i="21"/>
  <c r="O8" i="21" s="1"/>
  <c r="O19" i="21" s="1"/>
  <c r="AI32" i="40"/>
  <c r="AI28" i="40"/>
  <c r="O20" i="10"/>
  <c r="T16" i="43"/>
  <c r="W16" i="43" s="1"/>
  <c r="R16" i="11"/>
  <c r="T19" i="43"/>
  <c r="W19" i="43" s="1"/>
  <c r="R16" i="22"/>
  <c r="O9" i="12"/>
  <c r="O11" i="12" s="1"/>
  <c r="U7" i="12" s="1"/>
  <c r="O8" i="16"/>
  <c r="O19" i="16" s="1"/>
  <c r="U11" i="16" s="1"/>
  <c r="H35" i="43" s="1"/>
  <c r="M35" i="43" s="1"/>
  <c r="O9" i="16"/>
  <c r="O11" i="16" s="1"/>
  <c r="U7" i="16" s="1"/>
  <c r="R8" i="12"/>
  <c r="R12" i="12" s="1"/>
  <c r="U17" i="12" s="1"/>
  <c r="O33" i="43" s="1"/>
  <c r="R33" i="43" s="1"/>
  <c r="R9" i="12"/>
  <c r="R13" i="12" s="1"/>
  <c r="X7" i="12" s="1"/>
  <c r="R16" i="3"/>
  <c r="O9" i="27"/>
  <c r="O11" i="27" s="1"/>
  <c r="U7" i="27" s="1"/>
  <c r="R7" i="21"/>
  <c r="R9" i="21" s="1"/>
  <c r="R13" i="21" s="1"/>
  <c r="O9" i="17"/>
  <c r="O11" i="17" s="1"/>
  <c r="U7" i="17" s="1"/>
  <c r="R7" i="7"/>
  <c r="R9" i="9"/>
  <c r="R13" i="9" s="1"/>
  <c r="X7" i="9" s="1"/>
  <c r="R8" i="10"/>
  <c r="R12" i="10" s="1"/>
  <c r="U17" i="10" s="1"/>
  <c r="O15" i="43" s="1"/>
  <c r="R15" i="43" s="1"/>
  <c r="R9" i="10"/>
  <c r="R13" i="10" s="1"/>
  <c r="X7" i="10" s="1"/>
  <c r="R8" i="8"/>
  <c r="R12" i="8" s="1"/>
  <c r="U17" i="8" s="1"/>
  <c r="O7" i="43" s="1"/>
  <c r="R7" i="43" s="1"/>
  <c r="R8" i="26"/>
  <c r="R12" i="26" s="1"/>
  <c r="U17" i="26" s="1"/>
  <c r="O30" i="43" s="1"/>
  <c r="R30" i="43" s="1"/>
  <c r="O20" i="12"/>
  <c r="O9" i="29"/>
  <c r="O11" i="29" s="1"/>
  <c r="U7" i="29" s="1"/>
  <c r="R8" i="24"/>
  <c r="R12" i="24" s="1"/>
  <c r="U17" i="24" s="1"/>
  <c r="O26" i="43" s="1"/>
  <c r="R26" i="43" s="1"/>
  <c r="O20" i="14"/>
  <c r="R9" i="16"/>
  <c r="R13" i="16" s="1"/>
  <c r="X7" i="16" s="1"/>
  <c r="O9" i="14"/>
  <c r="O11" i="14" s="1"/>
  <c r="U7" i="14" s="1"/>
  <c r="O20" i="9"/>
  <c r="R16" i="26"/>
  <c r="R9" i="27"/>
  <c r="R13" i="27" s="1"/>
  <c r="X7" i="27" s="1"/>
  <c r="AA23" i="40"/>
  <c r="AC28" i="40"/>
  <c r="AI23" i="40"/>
  <c r="Y4" i="44"/>
  <c r="AC32" i="40"/>
  <c r="AC13" i="40"/>
  <c r="AE32" i="40"/>
  <c r="AC23" i="40"/>
  <c r="AE28" i="40"/>
  <c r="AA28" i="40"/>
  <c r="AE23" i="40"/>
  <c r="AE23" i="41"/>
  <c r="AI23" i="41"/>
  <c r="AA23" i="41"/>
  <c r="AI32" i="41"/>
  <c r="AA32" i="41"/>
  <c r="AA32" i="40"/>
  <c r="AA13" i="40"/>
  <c r="AI13" i="40"/>
  <c r="AE13" i="40"/>
  <c r="AI13" i="41"/>
  <c r="L34" i="3"/>
  <c r="J41" i="3" s="1"/>
  <c r="U42" i="3" s="1"/>
  <c r="P6" i="41" s="1"/>
  <c r="L109" i="3"/>
  <c r="J116" i="3" s="1"/>
  <c r="U117" i="3" s="1"/>
  <c r="P6" i="44" s="1"/>
  <c r="AE4" i="39"/>
  <c r="R85" i="3"/>
  <c r="O31" i="23"/>
  <c r="O33" i="23" s="1"/>
  <c r="O35" i="23" s="1"/>
  <c r="U31" i="23" s="1"/>
  <c r="O31" i="24"/>
  <c r="O33" i="24" s="1"/>
  <c r="O35" i="24" s="1"/>
  <c r="R31" i="23"/>
  <c r="R33" i="23" s="1"/>
  <c r="R37" i="23" s="1"/>
  <c r="L108" i="3"/>
  <c r="J113" i="3" s="1"/>
  <c r="U113" i="3" s="1"/>
  <c r="K6" i="44" s="1"/>
  <c r="L110" i="3"/>
  <c r="J117" i="3" s="1"/>
  <c r="X107" i="3" s="1"/>
  <c r="U6" i="44" s="1"/>
  <c r="L33" i="3"/>
  <c r="J38" i="3" s="1"/>
  <c r="L81" i="25"/>
  <c r="L83" i="25" s="1"/>
  <c r="J88" i="25" s="1"/>
  <c r="U88" i="25" s="1"/>
  <c r="K21" i="40" s="1"/>
  <c r="L81" i="24"/>
  <c r="L36" i="9"/>
  <c r="J47" i="9" s="1"/>
  <c r="U32" i="9" s="1"/>
  <c r="D8" i="41" s="1"/>
  <c r="L34" i="9"/>
  <c r="J41" i="9" s="1"/>
  <c r="U42" i="9" s="1"/>
  <c r="P8" i="41" s="1"/>
  <c r="L35" i="9"/>
  <c r="J42" i="9" s="1"/>
  <c r="X32" i="9" s="1"/>
  <c r="U8" i="41" s="1"/>
  <c r="L81" i="23"/>
  <c r="L83" i="23" s="1"/>
  <c r="J88" i="23" s="1"/>
  <c r="U88" i="23" s="1"/>
  <c r="K20" i="40" s="1"/>
  <c r="L109" i="29"/>
  <c r="J116" i="29" s="1"/>
  <c r="U117" i="29" s="1"/>
  <c r="P31" i="44" s="1"/>
  <c r="L111" i="29"/>
  <c r="J122" i="29" s="1"/>
  <c r="U107" i="29" s="1"/>
  <c r="L110" i="29"/>
  <c r="J117" i="29" s="1"/>
  <c r="X107" i="29" s="1"/>
  <c r="L81" i="10"/>
  <c r="L81" i="9"/>
  <c r="L83" i="9" s="1"/>
  <c r="J88" i="9" s="1"/>
  <c r="U88" i="9" s="1"/>
  <c r="K8" i="40" s="1"/>
  <c r="L35" i="28"/>
  <c r="J42" i="28" s="1"/>
  <c r="X32" i="28" s="1"/>
  <c r="U11" i="41" s="1"/>
  <c r="L34" i="28"/>
  <c r="J41" i="28" s="1"/>
  <c r="U42" i="28" s="1"/>
  <c r="P11" i="41" s="1"/>
  <c r="L36" i="28"/>
  <c r="J47" i="28" s="1"/>
  <c r="L59" i="13"/>
  <c r="J66" i="13" s="1"/>
  <c r="U67" i="13" s="1"/>
  <c r="P24" i="39" s="1"/>
  <c r="L61" i="13"/>
  <c r="J72" i="13" s="1"/>
  <c r="U57" i="13" s="1"/>
  <c r="L60" i="13"/>
  <c r="J67" i="13" s="1"/>
  <c r="X57" i="13" s="1"/>
  <c r="L36" i="12"/>
  <c r="J47" i="12" s="1"/>
  <c r="L35" i="12"/>
  <c r="J42" i="12" s="1"/>
  <c r="X32" i="12" s="1"/>
  <c r="U33" i="41" s="1"/>
  <c r="L34" i="12"/>
  <c r="J41" i="12" s="1"/>
  <c r="U42" i="12" s="1"/>
  <c r="P33" i="41" s="1"/>
  <c r="L36" i="26"/>
  <c r="J47" i="26" s="1"/>
  <c r="U32" i="26" s="1"/>
  <c r="D30" i="41" s="1"/>
  <c r="L35" i="26"/>
  <c r="J42" i="26" s="1"/>
  <c r="X32" i="26" s="1"/>
  <c r="U30" i="41" s="1"/>
  <c r="L34" i="26"/>
  <c r="J41" i="26" s="1"/>
  <c r="U42" i="26" s="1"/>
  <c r="P30" i="41" s="1"/>
  <c r="L60" i="3"/>
  <c r="J67" i="3" s="1"/>
  <c r="L81" i="13"/>
  <c r="L83" i="13" s="1"/>
  <c r="J88" i="13" s="1"/>
  <c r="U88" i="13" s="1"/>
  <c r="K24" i="40" s="1"/>
  <c r="L85" i="22"/>
  <c r="J92" i="22" s="1"/>
  <c r="X82" i="22" s="1"/>
  <c r="U19" i="40" s="1"/>
  <c r="L86" i="22"/>
  <c r="J97" i="22" s="1"/>
  <c r="L84" i="22"/>
  <c r="J91" i="22" s="1"/>
  <c r="U92" i="22" s="1"/>
  <c r="P19" i="40" s="1"/>
  <c r="J90" i="3"/>
  <c r="L110" i="17"/>
  <c r="J117" i="17" s="1"/>
  <c r="X107" i="17" s="1"/>
  <c r="L109" i="17"/>
  <c r="J116" i="17" s="1"/>
  <c r="U117" i="17" s="1"/>
  <c r="P36" i="44" s="1"/>
  <c r="L111" i="17"/>
  <c r="J122" i="17" s="1"/>
  <c r="U107" i="17" s="1"/>
  <c r="L111" i="16"/>
  <c r="J122" i="16" s="1"/>
  <c r="U107" i="16" s="1"/>
  <c r="L109" i="16"/>
  <c r="J116" i="16" s="1"/>
  <c r="U117" i="16" s="1"/>
  <c r="P35" i="44" s="1"/>
  <c r="L110" i="16"/>
  <c r="J117" i="16" s="1"/>
  <c r="X107" i="16" s="1"/>
  <c r="L34" i="16"/>
  <c r="J41" i="16" s="1"/>
  <c r="U42" i="16" s="1"/>
  <c r="P35" i="41" s="1"/>
  <c r="L35" i="16"/>
  <c r="J42" i="16" s="1"/>
  <c r="X32" i="16" s="1"/>
  <c r="U35" i="41" s="1"/>
  <c r="L33" i="16"/>
  <c r="J38" i="16" s="1"/>
  <c r="U38" i="16" s="1"/>
  <c r="K35" i="41" s="1"/>
  <c r="K32" i="41" s="1"/>
  <c r="L109" i="8"/>
  <c r="J116" i="8" s="1"/>
  <c r="U117" i="8" s="1"/>
  <c r="P7" i="44" s="1"/>
  <c r="L110" i="8"/>
  <c r="J117" i="8" s="1"/>
  <c r="X107" i="8" s="1"/>
  <c r="L111" i="8"/>
  <c r="J122" i="8" s="1"/>
  <c r="U107" i="8" s="1"/>
  <c r="L81" i="16"/>
  <c r="L83" i="16" s="1"/>
  <c r="J88" i="16" s="1"/>
  <c r="U88" i="16" s="1"/>
  <c r="K35" i="40" s="1"/>
  <c r="L111" i="30"/>
  <c r="J122" i="30" s="1"/>
  <c r="U107" i="30" s="1"/>
  <c r="L109" i="30"/>
  <c r="J116" i="30" s="1"/>
  <c r="U117" i="30" s="1"/>
  <c r="P27" i="44" s="1"/>
  <c r="L110" i="30"/>
  <c r="J117" i="30" s="1"/>
  <c r="X107" i="30" s="1"/>
  <c r="L36" i="20"/>
  <c r="J47" i="20" s="1"/>
  <c r="U32" i="20" s="1"/>
  <c r="D18" i="41" s="1"/>
  <c r="L35" i="20"/>
  <c r="J42" i="20" s="1"/>
  <c r="X32" i="20" s="1"/>
  <c r="U18" i="41" s="1"/>
  <c r="L34" i="20"/>
  <c r="J41" i="20" s="1"/>
  <c r="U42" i="20" s="1"/>
  <c r="P18" i="41" s="1"/>
  <c r="L58" i="3"/>
  <c r="J63" i="3" s="1"/>
  <c r="U63" i="3" s="1"/>
  <c r="K6" i="39" s="1"/>
  <c r="L59" i="22"/>
  <c r="J66" i="22" s="1"/>
  <c r="U67" i="22" s="1"/>
  <c r="P19" i="39" s="1"/>
  <c r="L60" i="22"/>
  <c r="J67" i="22" s="1"/>
  <c r="X57" i="22" s="1"/>
  <c r="L61" i="22"/>
  <c r="J72" i="22" s="1"/>
  <c r="U57" i="22" s="1"/>
  <c r="L60" i="12"/>
  <c r="J67" i="12" s="1"/>
  <c r="X57" i="12" s="1"/>
  <c r="L59" i="12"/>
  <c r="J66" i="12" s="1"/>
  <c r="U67" i="12" s="1"/>
  <c r="P33" i="39" s="1"/>
  <c r="L61" i="12"/>
  <c r="J72" i="12" s="1"/>
  <c r="U57" i="12" s="1"/>
  <c r="L61" i="27"/>
  <c r="J72" i="27" s="1"/>
  <c r="U57" i="27" s="1"/>
  <c r="L60" i="27"/>
  <c r="J67" i="27" s="1"/>
  <c r="X57" i="27" s="1"/>
  <c r="L59" i="27"/>
  <c r="J66" i="27" s="1"/>
  <c r="U67" i="27" s="1"/>
  <c r="P10" i="39" s="1"/>
  <c r="L36" i="16"/>
  <c r="J47" i="16" s="1"/>
  <c r="U32" i="16" s="1"/>
  <c r="D35" i="41" s="1"/>
  <c r="L108" i="8"/>
  <c r="J113" i="8" s="1"/>
  <c r="U113" i="8" s="1"/>
  <c r="K7" i="44" s="1"/>
  <c r="L81" i="30"/>
  <c r="L61" i="24"/>
  <c r="J72" i="24" s="1"/>
  <c r="U57" i="24" s="1"/>
  <c r="L59" i="24"/>
  <c r="J66" i="24" s="1"/>
  <c r="U67" i="24" s="1"/>
  <c r="P26" i="39" s="1"/>
  <c r="L60" i="24"/>
  <c r="J67" i="24" s="1"/>
  <c r="X57" i="24" s="1"/>
  <c r="L108" i="30"/>
  <c r="J113" i="30" s="1"/>
  <c r="U113" i="30" s="1"/>
  <c r="K27" i="44" s="1"/>
  <c r="L109" i="27"/>
  <c r="J116" i="27" s="1"/>
  <c r="U117" i="27" s="1"/>
  <c r="P10" i="44" s="1"/>
  <c r="L111" i="27"/>
  <c r="J122" i="27" s="1"/>
  <c r="U107" i="27" s="1"/>
  <c r="L110" i="27"/>
  <c r="J117" i="27" s="1"/>
  <c r="X107" i="27" s="1"/>
  <c r="L110" i="19"/>
  <c r="J117" i="19" s="1"/>
  <c r="X107" i="19" s="1"/>
  <c r="L109" i="19"/>
  <c r="J116" i="19" s="1"/>
  <c r="U117" i="19" s="1"/>
  <c r="P9" i="44" s="1"/>
  <c r="L111" i="19"/>
  <c r="J122" i="19" s="1"/>
  <c r="U107" i="19" s="1"/>
  <c r="L110" i="24"/>
  <c r="J117" i="24" s="1"/>
  <c r="X107" i="24" s="1"/>
  <c r="L111" i="24"/>
  <c r="J122" i="24" s="1"/>
  <c r="U107" i="24" s="1"/>
  <c r="L109" i="24"/>
  <c r="J116" i="24" s="1"/>
  <c r="U117" i="24" s="1"/>
  <c r="P26" i="44" s="1"/>
  <c r="L81" i="21"/>
  <c r="L83" i="21" s="1"/>
  <c r="J88" i="21" s="1"/>
  <c r="U88" i="21" s="1"/>
  <c r="K29" i="40" s="1"/>
  <c r="L60" i="28"/>
  <c r="J67" i="28" s="1"/>
  <c r="X57" i="28" s="1"/>
  <c r="L61" i="28"/>
  <c r="J72" i="28" s="1"/>
  <c r="L59" i="28"/>
  <c r="J66" i="28" s="1"/>
  <c r="U67" i="28" s="1"/>
  <c r="P11" i="39" s="1"/>
  <c r="L108" i="17"/>
  <c r="J113" i="17" s="1"/>
  <c r="U113" i="17" s="1"/>
  <c r="K36" i="44" s="1"/>
  <c r="L59" i="10"/>
  <c r="J66" i="10" s="1"/>
  <c r="U67" i="10" s="1"/>
  <c r="P15" i="39" s="1"/>
  <c r="L60" i="10"/>
  <c r="J67" i="10" s="1"/>
  <c r="X57" i="10" s="1"/>
  <c r="L61" i="10"/>
  <c r="J72" i="10" s="1"/>
  <c r="U57" i="10" s="1"/>
  <c r="L35" i="7"/>
  <c r="J42" i="7" s="1"/>
  <c r="X32" i="7" s="1"/>
  <c r="U14" i="41" s="1"/>
  <c r="L34" i="7"/>
  <c r="J41" i="7" s="1"/>
  <c r="U42" i="7" s="1"/>
  <c r="P14" i="41" s="1"/>
  <c r="L36" i="7"/>
  <c r="J47" i="7" s="1"/>
  <c r="U32" i="7" s="1"/>
  <c r="D14" i="41" s="1"/>
  <c r="L36" i="15"/>
  <c r="J47" i="15" s="1"/>
  <c r="U32" i="15" s="1"/>
  <c r="D17" i="41" s="1"/>
  <c r="L110" i="9"/>
  <c r="J117" i="9" s="1"/>
  <c r="X107" i="9" s="1"/>
  <c r="L109" i="9"/>
  <c r="J116" i="9" s="1"/>
  <c r="U117" i="9" s="1"/>
  <c r="P8" i="44" s="1"/>
  <c r="L111" i="9"/>
  <c r="J122" i="9" s="1"/>
  <c r="U107" i="9" s="1"/>
  <c r="L34" i="17"/>
  <c r="J41" i="17" s="1"/>
  <c r="U42" i="17" s="1"/>
  <c r="P36" i="41" s="1"/>
  <c r="L35" i="17"/>
  <c r="J42" i="17" s="1"/>
  <c r="X32" i="17" s="1"/>
  <c r="U36" i="41" s="1"/>
  <c r="L36" i="17"/>
  <c r="J47" i="17" s="1"/>
  <c r="L34" i="10"/>
  <c r="J41" i="10" s="1"/>
  <c r="U42" i="10" s="1"/>
  <c r="P15" i="41" s="1"/>
  <c r="L35" i="10"/>
  <c r="J42" i="10" s="1"/>
  <c r="X32" i="10" s="1"/>
  <c r="U15" i="41" s="1"/>
  <c r="L36" i="10"/>
  <c r="J47" i="10" s="1"/>
  <c r="U32" i="10" s="1"/>
  <c r="D15" i="41" s="1"/>
  <c r="L81" i="26"/>
  <c r="L83" i="26" s="1"/>
  <c r="J88" i="26" s="1"/>
  <c r="U88" i="26" s="1"/>
  <c r="K30" i="40" s="1"/>
  <c r="L36" i="32"/>
  <c r="J47" i="32" s="1"/>
  <c r="L35" i="32"/>
  <c r="J42" i="32" s="1"/>
  <c r="X32" i="32" s="1"/>
  <c r="U12" i="41" s="1"/>
  <c r="L34" i="32"/>
  <c r="J41" i="32" s="1"/>
  <c r="U42" i="32" s="1"/>
  <c r="P12" i="41" s="1"/>
  <c r="L33" i="20"/>
  <c r="J38" i="20" s="1"/>
  <c r="U38" i="20" s="1"/>
  <c r="K18" i="41" s="1"/>
  <c r="K13" i="41" s="1"/>
  <c r="L35" i="14"/>
  <c r="J42" i="14" s="1"/>
  <c r="X32" i="14" s="1"/>
  <c r="U34" i="41" s="1"/>
  <c r="L34" i="14"/>
  <c r="J41" i="14" s="1"/>
  <c r="U42" i="14" s="1"/>
  <c r="P34" i="41" s="1"/>
  <c r="L36" i="14"/>
  <c r="J47" i="14" s="1"/>
  <c r="U32" i="14" s="1"/>
  <c r="D34" i="41" s="1"/>
  <c r="L81" i="7"/>
  <c r="L81" i="19"/>
  <c r="L83" i="19" s="1"/>
  <c r="J88" i="19" s="1"/>
  <c r="U88" i="19" s="1"/>
  <c r="K9" i="40" s="1"/>
  <c r="L109" i="23"/>
  <c r="J116" i="23" s="1"/>
  <c r="U117" i="23" s="1"/>
  <c r="P20" i="44" s="1"/>
  <c r="L110" i="23"/>
  <c r="J117" i="23" s="1"/>
  <c r="X107" i="23" s="1"/>
  <c r="L111" i="23"/>
  <c r="J122" i="23" s="1"/>
  <c r="U107" i="23" s="1"/>
  <c r="L60" i="25"/>
  <c r="J67" i="25" s="1"/>
  <c r="X57" i="25" s="1"/>
  <c r="L61" i="25"/>
  <c r="J72" i="25" s="1"/>
  <c r="U57" i="25" s="1"/>
  <c r="L59" i="25"/>
  <c r="J66" i="25" s="1"/>
  <c r="U67" i="25" s="1"/>
  <c r="P21" i="39" s="1"/>
  <c r="L61" i="3"/>
  <c r="J72" i="3" s="1"/>
  <c r="U57" i="3" s="1"/>
  <c r="D6" i="39" s="1"/>
  <c r="L81" i="31"/>
  <c r="L83" i="31" s="1"/>
  <c r="J88" i="31" s="1"/>
  <c r="U88" i="31" s="1"/>
  <c r="K22" i="40" s="1"/>
  <c r="L58" i="12"/>
  <c r="J63" i="12" s="1"/>
  <c r="U63" i="12" s="1"/>
  <c r="K33" i="39" s="1"/>
  <c r="K32" i="39" s="1"/>
  <c r="L81" i="14"/>
  <c r="L83" i="14" s="1"/>
  <c r="J88" i="14" s="1"/>
  <c r="U88" i="14" s="1"/>
  <c r="K34" i="40" s="1"/>
  <c r="L60" i="21"/>
  <c r="J67" i="21" s="1"/>
  <c r="X57" i="21" s="1"/>
  <c r="L61" i="21"/>
  <c r="J72" i="21" s="1"/>
  <c r="U57" i="21" s="1"/>
  <c r="L59" i="21"/>
  <c r="J66" i="21" s="1"/>
  <c r="U67" i="21" s="1"/>
  <c r="P29" i="39" s="1"/>
  <c r="L35" i="11"/>
  <c r="J42" i="11" s="1"/>
  <c r="X32" i="11" s="1"/>
  <c r="U16" i="41" s="1"/>
  <c r="L36" i="11"/>
  <c r="J47" i="11" s="1"/>
  <c r="U32" i="11" s="1"/>
  <c r="D16" i="41" s="1"/>
  <c r="L34" i="11"/>
  <c r="J41" i="11" s="1"/>
  <c r="U42" i="11" s="1"/>
  <c r="P16" i="41" s="1"/>
  <c r="L59" i="23"/>
  <c r="J66" i="23" s="1"/>
  <c r="U67" i="23" s="1"/>
  <c r="P20" i="39" s="1"/>
  <c r="L60" i="23"/>
  <c r="J67" i="23" s="1"/>
  <c r="X57" i="23" s="1"/>
  <c r="L61" i="23"/>
  <c r="J72" i="23" s="1"/>
  <c r="U57" i="23" s="1"/>
  <c r="L60" i="32"/>
  <c r="J67" i="32" s="1"/>
  <c r="X57" i="32" s="1"/>
  <c r="L61" i="32"/>
  <c r="J72" i="32" s="1"/>
  <c r="U57" i="32" s="1"/>
  <c r="L59" i="32"/>
  <c r="J66" i="32" s="1"/>
  <c r="U67" i="32" s="1"/>
  <c r="P12" i="39" s="1"/>
  <c r="L58" i="27"/>
  <c r="J63" i="27" s="1"/>
  <c r="U63" i="27" s="1"/>
  <c r="K10" i="39" s="1"/>
  <c r="L61" i="8"/>
  <c r="J72" i="8" s="1"/>
  <c r="U57" i="8" s="1"/>
  <c r="D7" i="39" s="1"/>
  <c r="L59" i="8"/>
  <c r="J66" i="8" s="1"/>
  <c r="U67" i="8" s="1"/>
  <c r="P7" i="39" s="1"/>
  <c r="L60" i="8"/>
  <c r="J67" i="8" s="1"/>
  <c r="X57" i="8" s="1"/>
  <c r="L60" i="11"/>
  <c r="J67" i="11" s="1"/>
  <c r="X57" i="11" s="1"/>
  <c r="L59" i="11"/>
  <c r="J66" i="11" s="1"/>
  <c r="U67" i="11" s="1"/>
  <c r="P16" i="39" s="1"/>
  <c r="L61" i="11"/>
  <c r="J72" i="11" s="1"/>
  <c r="AD67" i="35"/>
  <c r="L111" i="31"/>
  <c r="J122" i="31" s="1"/>
  <c r="U107" i="31" s="1"/>
  <c r="L110" i="31"/>
  <c r="J117" i="31" s="1"/>
  <c r="X107" i="31" s="1"/>
  <c r="L109" i="31"/>
  <c r="J116" i="31" s="1"/>
  <c r="U117" i="31" s="1"/>
  <c r="P22" i="44" s="1"/>
  <c r="L81" i="17"/>
  <c r="L83" i="17" s="1"/>
  <c r="J88" i="17" s="1"/>
  <c r="U88" i="17" s="1"/>
  <c r="K36" i="40" s="1"/>
  <c r="L58" i="24"/>
  <c r="J63" i="24" s="1"/>
  <c r="U63" i="24" s="1"/>
  <c r="K26" i="39" s="1"/>
  <c r="K23" i="39" s="1"/>
  <c r="L35" i="25"/>
  <c r="J42" i="25" s="1"/>
  <c r="X32" i="25" s="1"/>
  <c r="U21" i="41" s="1"/>
  <c r="L34" i="25"/>
  <c r="J41" i="25" s="1"/>
  <c r="U42" i="25" s="1"/>
  <c r="P21" i="41" s="1"/>
  <c r="L36" i="25"/>
  <c r="J47" i="25" s="1"/>
  <c r="U32" i="25" s="1"/>
  <c r="D21" i="41" s="1"/>
  <c r="L108" i="27"/>
  <c r="J113" i="27" s="1"/>
  <c r="U113" i="27" s="1"/>
  <c r="K10" i="44" s="1"/>
  <c r="L108" i="24"/>
  <c r="J113" i="24" s="1"/>
  <c r="U113" i="24" s="1"/>
  <c r="K26" i="44" s="1"/>
  <c r="K23" i="44" s="1"/>
  <c r="L61" i="18"/>
  <c r="J72" i="18" s="1"/>
  <c r="U57" i="18" s="1"/>
  <c r="L60" i="18"/>
  <c r="J67" i="18" s="1"/>
  <c r="X57" i="18" s="1"/>
  <c r="L59" i="18"/>
  <c r="J66" i="18" s="1"/>
  <c r="U67" i="18" s="1"/>
  <c r="P25" i="39" s="1"/>
  <c r="J89" i="3"/>
  <c r="L61" i="31"/>
  <c r="J72" i="31" s="1"/>
  <c r="L60" i="31"/>
  <c r="J67" i="31" s="1"/>
  <c r="X57" i="31" s="1"/>
  <c r="L59" i="31"/>
  <c r="J66" i="31" s="1"/>
  <c r="U67" i="31" s="1"/>
  <c r="P22" i="39" s="1"/>
  <c r="L81" i="29"/>
  <c r="L83" i="29" s="1"/>
  <c r="J88" i="29" s="1"/>
  <c r="U88" i="29" s="1"/>
  <c r="K31" i="40" s="1"/>
  <c r="L81" i="12"/>
  <c r="L83" i="12" s="1"/>
  <c r="J88" i="12" s="1"/>
  <c r="U88" i="12" s="1"/>
  <c r="K33" i="40" s="1"/>
  <c r="L34" i="22"/>
  <c r="J41" i="22" s="1"/>
  <c r="U42" i="22" s="1"/>
  <c r="P19" i="41" s="1"/>
  <c r="L36" i="22"/>
  <c r="J47" i="22" s="1"/>
  <c r="L35" i="22"/>
  <c r="J42" i="22" s="1"/>
  <c r="X32" i="22" s="1"/>
  <c r="U19" i="41" s="1"/>
  <c r="L34" i="31"/>
  <c r="J41" i="31" s="1"/>
  <c r="U42" i="31" s="1"/>
  <c r="P22" i="41" s="1"/>
  <c r="L36" i="31"/>
  <c r="J47" i="31" s="1"/>
  <c r="U32" i="31" s="1"/>
  <c r="D22" i="41" s="1"/>
  <c r="L35" i="31"/>
  <c r="J42" i="31" s="1"/>
  <c r="X32" i="31" s="1"/>
  <c r="U22" i="41" s="1"/>
  <c r="L81" i="28"/>
  <c r="L83" i="28" s="1"/>
  <c r="J88" i="28" s="1"/>
  <c r="U88" i="28" s="1"/>
  <c r="K11" i="40" s="1"/>
  <c r="L36" i="30"/>
  <c r="J47" i="30" s="1"/>
  <c r="U32" i="30" s="1"/>
  <c r="D27" i="41" s="1"/>
  <c r="L34" i="30"/>
  <c r="J41" i="30" s="1"/>
  <c r="U42" i="30" s="1"/>
  <c r="P27" i="41" s="1"/>
  <c r="L35" i="30"/>
  <c r="J42" i="30" s="1"/>
  <c r="X32" i="30" s="1"/>
  <c r="U27" i="41" s="1"/>
  <c r="L59" i="26"/>
  <c r="J66" i="26" s="1"/>
  <c r="U67" i="26" s="1"/>
  <c r="P30" i="39" s="1"/>
  <c r="L60" i="26"/>
  <c r="J67" i="26" s="1"/>
  <c r="X57" i="26" s="1"/>
  <c r="L61" i="26"/>
  <c r="J72" i="26" s="1"/>
  <c r="U57" i="26" s="1"/>
  <c r="L109" i="10"/>
  <c r="J116" i="10" s="1"/>
  <c r="U117" i="10" s="1"/>
  <c r="P15" i="44" s="1"/>
  <c r="L111" i="10"/>
  <c r="J122" i="10" s="1"/>
  <c r="L110" i="10"/>
  <c r="J117" i="10" s="1"/>
  <c r="X107" i="10" s="1"/>
  <c r="L109" i="32"/>
  <c r="J116" i="32" s="1"/>
  <c r="U117" i="32" s="1"/>
  <c r="P12" i="44" s="1"/>
  <c r="L110" i="32"/>
  <c r="J117" i="32" s="1"/>
  <c r="X107" i="32" s="1"/>
  <c r="L111" i="32"/>
  <c r="J122" i="32" s="1"/>
  <c r="U107" i="32" s="1"/>
  <c r="L81" i="27"/>
  <c r="L83" i="27" s="1"/>
  <c r="J88" i="27" s="1"/>
  <c r="U88" i="27" s="1"/>
  <c r="K10" i="40" s="1"/>
  <c r="L81" i="3"/>
  <c r="L85" i="3" s="1"/>
  <c r="J92" i="3" s="1"/>
  <c r="X82" i="3" s="1"/>
  <c r="U6" i="40" s="1"/>
  <c r="L108" i="9"/>
  <c r="J113" i="9" s="1"/>
  <c r="U113" i="9" s="1"/>
  <c r="K8" i="44" s="1"/>
  <c r="L111" i="11"/>
  <c r="J122" i="11" s="1"/>
  <c r="U107" i="11" s="1"/>
  <c r="L109" i="11"/>
  <c r="J116" i="11" s="1"/>
  <c r="U117" i="11" s="1"/>
  <c r="P16" i="44" s="1"/>
  <c r="L110" i="11"/>
  <c r="J117" i="11" s="1"/>
  <c r="X107" i="11" s="1"/>
  <c r="L110" i="14"/>
  <c r="J117" i="14" s="1"/>
  <c r="X107" i="14" s="1"/>
  <c r="L109" i="14"/>
  <c r="J116" i="14" s="1"/>
  <c r="U117" i="14" s="1"/>
  <c r="P34" i="44" s="1"/>
  <c r="L111" i="14"/>
  <c r="J122" i="14" s="1"/>
  <c r="U107" i="14" s="1"/>
  <c r="L61" i="7"/>
  <c r="J72" i="7" s="1"/>
  <c r="U57" i="7" s="1"/>
  <c r="L60" i="7"/>
  <c r="J67" i="7" s="1"/>
  <c r="X57" i="7" s="1"/>
  <c r="L59" i="7"/>
  <c r="J66" i="7" s="1"/>
  <c r="U67" i="7" s="1"/>
  <c r="P14" i="39" s="1"/>
  <c r="L60" i="20"/>
  <c r="J67" i="20" s="1"/>
  <c r="X57" i="20" s="1"/>
  <c r="L61" i="20"/>
  <c r="J72" i="20" s="1"/>
  <c r="U57" i="20" s="1"/>
  <c r="L59" i="20"/>
  <c r="J66" i="20" s="1"/>
  <c r="U67" i="20" s="1"/>
  <c r="P18" i="39" s="1"/>
  <c r="L110" i="26"/>
  <c r="J117" i="26" s="1"/>
  <c r="X107" i="26" s="1"/>
  <c r="L111" i="26"/>
  <c r="J122" i="26" s="1"/>
  <c r="U107" i="26" s="1"/>
  <c r="L109" i="26"/>
  <c r="J116" i="26" s="1"/>
  <c r="U117" i="26" s="1"/>
  <c r="P30" i="44" s="1"/>
  <c r="L111" i="7"/>
  <c r="J122" i="7" s="1"/>
  <c r="U107" i="7" s="1"/>
  <c r="L110" i="7"/>
  <c r="J117" i="7" s="1"/>
  <c r="X107" i="7" s="1"/>
  <c r="L109" i="7"/>
  <c r="J116" i="7" s="1"/>
  <c r="U117" i="7" s="1"/>
  <c r="P14" i="44" s="1"/>
  <c r="L81" i="8"/>
  <c r="L60" i="17"/>
  <c r="J67" i="17" s="1"/>
  <c r="X57" i="17" s="1"/>
  <c r="L59" i="17"/>
  <c r="J66" i="17" s="1"/>
  <c r="U67" i="17" s="1"/>
  <c r="P36" i="39" s="1"/>
  <c r="L61" i="17"/>
  <c r="J72" i="17" s="1"/>
  <c r="U57" i="17" s="1"/>
  <c r="L58" i="8"/>
  <c r="J63" i="8" s="1"/>
  <c r="U63" i="8" s="1"/>
  <c r="K7" i="39" s="1"/>
  <c r="L108" i="32"/>
  <c r="J113" i="32" s="1"/>
  <c r="U113" i="32" s="1"/>
  <c r="K12" i="44" s="1"/>
  <c r="L59" i="29"/>
  <c r="J66" i="29" s="1"/>
  <c r="U67" i="29" s="1"/>
  <c r="P31" i="39" s="1"/>
  <c r="L60" i="29"/>
  <c r="J67" i="29" s="1"/>
  <c r="X57" i="29" s="1"/>
  <c r="L61" i="29"/>
  <c r="J72" i="29" s="1"/>
  <c r="U57" i="29" s="1"/>
  <c r="L109" i="18"/>
  <c r="J116" i="18" s="1"/>
  <c r="U117" i="18" s="1"/>
  <c r="P25" i="44" s="1"/>
  <c r="L111" i="18"/>
  <c r="J122" i="18" s="1"/>
  <c r="U107" i="18" s="1"/>
  <c r="L110" i="18"/>
  <c r="J117" i="18" s="1"/>
  <c r="X107" i="18" s="1"/>
  <c r="L35" i="18"/>
  <c r="J42" i="18" s="1"/>
  <c r="X32" i="18" s="1"/>
  <c r="U25" i="41" s="1"/>
  <c r="L34" i="18"/>
  <c r="J41" i="18" s="1"/>
  <c r="U42" i="18" s="1"/>
  <c r="P25" i="41" s="1"/>
  <c r="L36" i="18"/>
  <c r="J47" i="18" s="1"/>
  <c r="U32" i="18" s="1"/>
  <c r="D25" i="41" s="1"/>
  <c r="L109" i="13"/>
  <c r="J116" i="13" s="1"/>
  <c r="U117" i="13" s="1"/>
  <c r="P24" i="44" s="1"/>
  <c r="L110" i="13"/>
  <c r="J117" i="13" s="1"/>
  <c r="X107" i="13" s="1"/>
  <c r="L111" i="13"/>
  <c r="J122" i="13" s="1"/>
  <c r="U107" i="13" s="1"/>
  <c r="L81" i="18"/>
  <c r="L83" i="18" s="1"/>
  <c r="J88" i="18" s="1"/>
  <c r="U88" i="18" s="1"/>
  <c r="K25" i="40" s="1"/>
  <c r="L59" i="19"/>
  <c r="J66" i="19" s="1"/>
  <c r="U67" i="19" s="1"/>
  <c r="P9" i="39" s="1"/>
  <c r="L60" i="19"/>
  <c r="J67" i="19" s="1"/>
  <c r="X57" i="19" s="1"/>
  <c r="L61" i="19"/>
  <c r="J72" i="19" s="1"/>
  <c r="U57" i="19" s="1"/>
  <c r="L81" i="32"/>
  <c r="L83" i="32" s="1"/>
  <c r="J88" i="32" s="1"/>
  <c r="U88" i="32" s="1"/>
  <c r="K12" i="40" s="1"/>
  <c r="L81" i="20"/>
  <c r="L83" i="20" s="1"/>
  <c r="J88" i="20" s="1"/>
  <c r="U88" i="20" s="1"/>
  <c r="K18" i="40" s="1"/>
  <c r="L109" i="20"/>
  <c r="J116" i="20" s="1"/>
  <c r="U117" i="20" s="1"/>
  <c r="P18" i="44" s="1"/>
  <c r="L111" i="20"/>
  <c r="J122" i="20" s="1"/>
  <c r="U107" i="20" s="1"/>
  <c r="L110" i="20"/>
  <c r="J117" i="20" s="1"/>
  <c r="X107" i="20" s="1"/>
  <c r="L109" i="25"/>
  <c r="J116" i="25" s="1"/>
  <c r="U117" i="25" s="1"/>
  <c r="P21" i="44" s="1"/>
  <c r="L111" i="25"/>
  <c r="J122" i="25" s="1"/>
  <c r="U107" i="25" s="1"/>
  <c r="L110" i="25"/>
  <c r="J117" i="25" s="1"/>
  <c r="X107" i="25" s="1"/>
  <c r="J96" i="3"/>
  <c r="J95" i="3"/>
  <c r="L110" i="15"/>
  <c r="J117" i="15" s="1"/>
  <c r="X107" i="15" s="1"/>
  <c r="L109" i="15"/>
  <c r="J116" i="15" s="1"/>
  <c r="U117" i="15" s="1"/>
  <c r="P17" i="44" s="1"/>
  <c r="L111" i="15"/>
  <c r="J122" i="15" s="1"/>
  <c r="U107" i="15" s="1"/>
  <c r="L81" i="11"/>
  <c r="L83" i="11" s="1"/>
  <c r="J88" i="11" s="1"/>
  <c r="U88" i="11" s="1"/>
  <c r="K16" i="40" s="1"/>
  <c r="J93" i="3"/>
  <c r="L111" i="12"/>
  <c r="J122" i="12" s="1"/>
  <c r="U107" i="12" s="1"/>
  <c r="L110" i="12"/>
  <c r="J117" i="12" s="1"/>
  <c r="X107" i="12" s="1"/>
  <c r="L109" i="12"/>
  <c r="J116" i="12" s="1"/>
  <c r="U117" i="12" s="1"/>
  <c r="P33" i="44" s="1"/>
  <c r="J94" i="3"/>
  <c r="L36" i="13"/>
  <c r="J47" i="13" s="1"/>
  <c r="L35" i="13"/>
  <c r="J42" i="13" s="1"/>
  <c r="X32" i="13" s="1"/>
  <c r="U24" i="41" s="1"/>
  <c r="L34" i="13"/>
  <c r="J41" i="13" s="1"/>
  <c r="U42" i="13" s="1"/>
  <c r="P24" i="41" s="1"/>
  <c r="L81" i="15"/>
  <c r="L83" i="15" s="1"/>
  <c r="J88" i="15" s="1"/>
  <c r="U88" i="15" s="1"/>
  <c r="K17" i="40" s="1"/>
  <c r="L59" i="9"/>
  <c r="J66" i="9" s="1"/>
  <c r="U67" i="9" s="1"/>
  <c r="P8" i="39" s="1"/>
  <c r="L61" i="9"/>
  <c r="J72" i="9" s="1"/>
  <c r="L60" i="9"/>
  <c r="J67" i="9" s="1"/>
  <c r="X57" i="9" s="1"/>
  <c r="L60" i="30"/>
  <c r="J67" i="30" s="1"/>
  <c r="X57" i="30" s="1"/>
  <c r="L61" i="30"/>
  <c r="J72" i="30" s="1"/>
  <c r="U57" i="30" s="1"/>
  <c r="L59" i="30"/>
  <c r="J66" i="30" s="1"/>
  <c r="U67" i="30" s="1"/>
  <c r="P27" i="39" s="1"/>
  <c r="L110" i="21"/>
  <c r="J117" i="21" s="1"/>
  <c r="X107" i="21" s="1"/>
  <c r="L109" i="21"/>
  <c r="J116" i="21" s="1"/>
  <c r="U117" i="21" s="1"/>
  <c r="P29" i="44" s="1"/>
  <c r="L111" i="21"/>
  <c r="J122" i="21" s="1"/>
  <c r="U107" i="21" s="1"/>
  <c r="L35" i="15"/>
  <c r="J42" i="15" s="1"/>
  <c r="X32" i="15" s="1"/>
  <c r="U17" i="41" s="1"/>
  <c r="L34" i="15"/>
  <c r="J41" i="15" s="1"/>
  <c r="U42" i="15" s="1"/>
  <c r="P17" i="41" s="1"/>
  <c r="L35" i="27"/>
  <c r="J42" i="27" s="1"/>
  <c r="X32" i="27" s="1"/>
  <c r="U10" i="41" s="1"/>
  <c r="L34" i="27"/>
  <c r="J41" i="27" s="1"/>
  <c r="U42" i="27" s="1"/>
  <c r="P10" i="41" s="1"/>
  <c r="L36" i="27"/>
  <c r="J47" i="27" s="1"/>
  <c r="L59" i="14"/>
  <c r="J66" i="14" s="1"/>
  <c r="U67" i="14" s="1"/>
  <c r="P34" i="39" s="1"/>
  <c r="L61" i="14"/>
  <c r="J72" i="14" s="1"/>
  <c r="U57" i="14" s="1"/>
  <c r="L60" i="14"/>
  <c r="J67" i="14" s="1"/>
  <c r="X57" i="14" s="1"/>
  <c r="L34" i="21"/>
  <c r="J41" i="21" s="1"/>
  <c r="U42" i="21" s="1"/>
  <c r="P29" i="41" s="1"/>
  <c r="L36" i="21"/>
  <c r="J47" i="21" s="1"/>
  <c r="L35" i="21"/>
  <c r="J42" i="21" s="1"/>
  <c r="X32" i="21" s="1"/>
  <c r="U29" i="41" s="1"/>
  <c r="L109" i="28"/>
  <c r="J116" i="28" s="1"/>
  <c r="U117" i="28" s="1"/>
  <c r="P11" i="44" s="1"/>
  <c r="L110" i="28"/>
  <c r="J117" i="28" s="1"/>
  <c r="X107" i="28" s="1"/>
  <c r="L111" i="28"/>
  <c r="J122" i="28" s="1"/>
  <c r="L59" i="16"/>
  <c r="J66" i="16" s="1"/>
  <c r="U67" i="16" s="1"/>
  <c r="P35" i="39" s="1"/>
  <c r="L61" i="16"/>
  <c r="J72" i="16" s="1"/>
  <c r="U57" i="16" s="1"/>
  <c r="L60" i="16"/>
  <c r="J67" i="16" s="1"/>
  <c r="X57" i="16" s="1"/>
  <c r="L61" i="15"/>
  <c r="J72" i="15" s="1"/>
  <c r="L59" i="15"/>
  <c r="J66" i="15" s="1"/>
  <c r="U67" i="15" s="1"/>
  <c r="P17" i="39" s="1"/>
  <c r="L60" i="15"/>
  <c r="J67" i="15" s="1"/>
  <c r="X57" i="15" s="1"/>
  <c r="L108" i="16"/>
  <c r="J113" i="16" s="1"/>
  <c r="U113" i="16" s="1"/>
  <c r="K35" i="44" s="1"/>
  <c r="L35" i="29"/>
  <c r="J42" i="29" s="1"/>
  <c r="X32" i="29" s="1"/>
  <c r="U31" i="41" s="1"/>
  <c r="L36" i="29"/>
  <c r="J47" i="29" s="1"/>
  <c r="U32" i="29" s="1"/>
  <c r="D31" i="41" s="1"/>
  <c r="L34" i="29"/>
  <c r="J41" i="29" s="1"/>
  <c r="U42" i="29" s="1"/>
  <c r="P31" i="41" s="1"/>
  <c r="L35" i="8"/>
  <c r="J42" i="8" s="1"/>
  <c r="X32" i="8" s="1"/>
  <c r="U7" i="41" s="1"/>
  <c r="L36" i="8"/>
  <c r="J47" i="8" s="1"/>
  <c r="U32" i="8" s="1"/>
  <c r="D7" i="41" s="1"/>
  <c r="L34" i="8"/>
  <c r="J41" i="8" s="1"/>
  <c r="U42" i="8" s="1"/>
  <c r="P7" i="41" s="1"/>
  <c r="L34" i="19"/>
  <c r="J41" i="19" s="1"/>
  <c r="U42" i="19" s="1"/>
  <c r="P9" i="41" s="1"/>
  <c r="L36" i="19"/>
  <c r="J47" i="19" s="1"/>
  <c r="U32" i="19" s="1"/>
  <c r="D9" i="41" s="1"/>
  <c r="L35" i="19"/>
  <c r="J42" i="19" s="1"/>
  <c r="X32" i="19" s="1"/>
  <c r="U9" i="41" s="1"/>
  <c r="O106" i="22" l="1"/>
  <c r="O107" i="22" s="1"/>
  <c r="O118" i="22" s="1"/>
  <c r="U110" i="22" s="1"/>
  <c r="H19" i="44" s="1"/>
  <c r="R15" i="19"/>
  <c r="R106" i="22"/>
  <c r="R108" i="22" s="1"/>
  <c r="R112" i="22" s="1"/>
  <c r="O108" i="22"/>
  <c r="O110" i="22" s="1"/>
  <c r="U106" i="22" s="1"/>
  <c r="K32" i="44"/>
  <c r="U38" i="3"/>
  <c r="K6" i="41" s="1"/>
  <c r="K5" i="41" s="1"/>
  <c r="O31" i="3"/>
  <c r="O32" i="3" s="1"/>
  <c r="O43" i="3" s="1"/>
  <c r="U35" i="3" s="1"/>
  <c r="R15" i="11"/>
  <c r="U19" i="11" s="1"/>
  <c r="Q16" i="43" s="1"/>
  <c r="K32" i="40"/>
  <c r="R31" i="3"/>
  <c r="R33" i="3" s="1"/>
  <c r="R32" i="24"/>
  <c r="R36" i="24" s="1"/>
  <c r="U23" i="41"/>
  <c r="X7" i="30"/>
  <c r="T27" i="43" s="1"/>
  <c r="W27" i="43" s="1"/>
  <c r="O13" i="18"/>
  <c r="U9" i="18" s="1"/>
  <c r="E25" i="43" s="1"/>
  <c r="C7" i="43"/>
  <c r="F7" i="43" s="1"/>
  <c r="AK7" i="43" s="1"/>
  <c r="AM7" i="43" s="1"/>
  <c r="X21" i="30"/>
  <c r="R15" i="25"/>
  <c r="U19" i="25" s="1"/>
  <c r="Q21" i="43" s="1"/>
  <c r="U21" i="8"/>
  <c r="R16" i="13"/>
  <c r="X9" i="13" s="1"/>
  <c r="V24" i="43" s="1"/>
  <c r="V23" i="43" s="1"/>
  <c r="R16" i="14"/>
  <c r="X9" i="14" s="1"/>
  <c r="V34" i="43" s="1"/>
  <c r="R15" i="28"/>
  <c r="U19" i="28" s="1"/>
  <c r="Q11" i="43" s="1"/>
  <c r="R16" i="32"/>
  <c r="X9" i="32" s="1"/>
  <c r="V12" i="43" s="1"/>
  <c r="U21" i="22"/>
  <c r="U21" i="18"/>
  <c r="O13" i="8"/>
  <c r="U9" i="8" s="1"/>
  <c r="E7" i="43" s="1"/>
  <c r="O20" i="7"/>
  <c r="U15" i="7" s="1"/>
  <c r="L14" i="43" s="1"/>
  <c r="L13" i="43" s="1"/>
  <c r="U17" i="23"/>
  <c r="O20" i="43" s="1"/>
  <c r="R20" i="43" s="1"/>
  <c r="O13" i="22"/>
  <c r="U9" i="22" s="1"/>
  <c r="E19" i="43" s="1"/>
  <c r="O9" i="7"/>
  <c r="O11" i="7" s="1"/>
  <c r="U7" i="7" s="1"/>
  <c r="C14" i="43" s="1"/>
  <c r="F14" i="43" s="1"/>
  <c r="AK14" i="43" s="1"/>
  <c r="U21" i="9"/>
  <c r="X21" i="13"/>
  <c r="O13" i="20"/>
  <c r="U9" i="20" s="1"/>
  <c r="E18" i="43" s="1"/>
  <c r="O13" i="10"/>
  <c r="U9" i="10" s="1"/>
  <c r="E15" i="43" s="1"/>
  <c r="O13" i="13"/>
  <c r="U9" i="13" s="1"/>
  <c r="E24" i="43" s="1"/>
  <c r="E23" i="43" s="1"/>
  <c r="C18" i="43"/>
  <c r="F18" i="43" s="1"/>
  <c r="AK18" i="43" s="1"/>
  <c r="AM18" i="43" s="1"/>
  <c r="U21" i="28"/>
  <c r="O20" i="19"/>
  <c r="U15" i="19" s="1"/>
  <c r="L9" i="43" s="1"/>
  <c r="O13" i="28"/>
  <c r="U9" i="28" s="1"/>
  <c r="E11" i="43" s="1"/>
  <c r="R15" i="29"/>
  <c r="U19" i="29" s="1"/>
  <c r="Q31" i="43" s="1"/>
  <c r="X21" i="9"/>
  <c r="AM8" i="43" s="1"/>
  <c r="O9" i="26"/>
  <c r="O11" i="26" s="1"/>
  <c r="O20" i="26"/>
  <c r="U15" i="26" s="1"/>
  <c r="L30" i="43" s="1"/>
  <c r="X21" i="28"/>
  <c r="AM11" i="43" s="1"/>
  <c r="U21" i="20"/>
  <c r="T5" i="43"/>
  <c r="W5" i="43" s="1"/>
  <c r="W4" i="43" s="1"/>
  <c r="O13" i="9"/>
  <c r="U9" i="9" s="1"/>
  <c r="E8" i="43" s="1"/>
  <c r="U7" i="32"/>
  <c r="O13" i="32"/>
  <c r="U9" i="32" s="1"/>
  <c r="E12" i="43" s="1"/>
  <c r="X21" i="31"/>
  <c r="C22" i="43"/>
  <c r="F22" i="43" s="1"/>
  <c r="AK22" i="43" s="1"/>
  <c r="AM22" i="43" s="1"/>
  <c r="O13" i="31"/>
  <c r="U9" i="31" s="1"/>
  <c r="E22" i="43" s="1"/>
  <c r="O13" i="23"/>
  <c r="U9" i="23" s="1"/>
  <c r="E20" i="43" s="1"/>
  <c r="P23" i="41"/>
  <c r="U5" i="41"/>
  <c r="U28" i="41"/>
  <c r="P28" i="41"/>
  <c r="P13" i="41"/>
  <c r="U13" i="41"/>
  <c r="P32" i="41"/>
  <c r="U32" i="41"/>
  <c r="K4" i="41"/>
  <c r="P5" i="41"/>
  <c r="I5" i="43"/>
  <c r="I4" i="43" s="1"/>
  <c r="H7" i="43"/>
  <c r="M7" i="43" s="1"/>
  <c r="O56" i="15"/>
  <c r="O57" i="15" s="1"/>
  <c r="O68" i="15" s="1"/>
  <c r="U60" i="15" s="1"/>
  <c r="H17" i="39" s="1"/>
  <c r="U57" i="15"/>
  <c r="O106" i="28"/>
  <c r="O107" i="28" s="1"/>
  <c r="O118" i="28" s="1"/>
  <c r="U110" i="28" s="1"/>
  <c r="H11" i="44" s="1"/>
  <c r="U107" i="28"/>
  <c r="O31" i="21"/>
  <c r="O33" i="21" s="1"/>
  <c r="O35" i="21" s="1"/>
  <c r="U32" i="21"/>
  <c r="D29" i="41" s="1"/>
  <c r="D28" i="41" s="1"/>
  <c r="O31" i="27"/>
  <c r="O33" i="27" s="1"/>
  <c r="O35" i="27" s="1"/>
  <c r="O37" i="27" s="1"/>
  <c r="U32" i="27"/>
  <c r="D10" i="41" s="1"/>
  <c r="O56" i="9"/>
  <c r="O58" i="9" s="1"/>
  <c r="O60" i="9" s="1"/>
  <c r="U56" i="9" s="1"/>
  <c r="C8" i="39" s="1"/>
  <c r="U57" i="9"/>
  <c r="O31" i="13"/>
  <c r="O33" i="13" s="1"/>
  <c r="O35" i="13" s="1"/>
  <c r="O37" i="13" s="1"/>
  <c r="U32" i="13"/>
  <c r="D24" i="41" s="1"/>
  <c r="D23" i="41" s="1"/>
  <c r="O106" i="10"/>
  <c r="O108" i="10" s="1"/>
  <c r="O110" i="10" s="1"/>
  <c r="U107" i="10"/>
  <c r="O31" i="22"/>
  <c r="O33" i="22" s="1"/>
  <c r="O35" i="22" s="1"/>
  <c r="O37" i="22" s="1"/>
  <c r="U32" i="22"/>
  <c r="D19" i="41" s="1"/>
  <c r="D13" i="41" s="1"/>
  <c r="O56" i="31"/>
  <c r="O58" i="31" s="1"/>
  <c r="O60" i="31" s="1"/>
  <c r="U56" i="31" s="1"/>
  <c r="C22" i="39" s="1"/>
  <c r="U57" i="31"/>
  <c r="O56" i="11"/>
  <c r="U57" i="11"/>
  <c r="O31" i="32"/>
  <c r="O33" i="32" s="1"/>
  <c r="O35" i="32" s="1"/>
  <c r="O37" i="32" s="1"/>
  <c r="U32" i="32"/>
  <c r="D12" i="41" s="1"/>
  <c r="O31" i="17"/>
  <c r="O33" i="17" s="1"/>
  <c r="O35" i="17" s="1"/>
  <c r="O37" i="17" s="1"/>
  <c r="U32" i="17"/>
  <c r="D36" i="41" s="1"/>
  <c r="O56" i="28"/>
  <c r="O58" i="28" s="1"/>
  <c r="O60" i="28" s="1"/>
  <c r="U56" i="28" s="1"/>
  <c r="U57" i="28"/>
  <c r="K28" i="40"/>
  <c r="K5" i="39"/>
  <c r="K4" i="39" s="1"/>
  <c r="O81" i="22"/>
  <c r="O83" i="22" s="1"/>
  <c r="O85" i="22" s="1"/>
  <c r="U81" i="22" s="1"/>
  <c r="U82" i="22"/>
  <c r="D19" i="40" s="1"/>
  <c r="R56" i="3"/>
  <c r="R58" i="3" s="1"/>
  <c r="X57" i="3"/>
  <c r="O31" i="12"/>
  <c r="O32" i="12" s="1"/>
  <c r="O43" i="12" s="1"/>
  <c r="U32" i="12"/>
  <c r="D33" i="41" s="1"/>
  <c r="O31" i="28"/>
  <c r="O33" i="28" s="1"/>
  <c r="O35" i="28" s="1"/>
  <c r="U32" i="28"/>
  <c r="D11" i="41" s="1"/>
  <c r="X31" i="23"/>
  <c r="T20" i="41" s="1"/>
  <c r="U31" i="24"/>
  <c r="U41" i="24"/>
  <c r="O26" i="41" s="1"/>
  <c r="X31" i="24"/>
  <c r="T26" i="41" s="1"/>
  <c r="X9" i="26"/>
  <c r="V30" i="43" s="1"/>
  <c r="U15" i="9"/>
  <c r="L8" i="43" s="1"/>
  <c r="X21" i="14"/>
  <c r="U21" i="14"/>
  <c r="U15" i="14"/>
  <c r="L34" i="43" s="1"/>
  <c r="X21" i="29"/>
  <c r="U21" i="29"/>
  <c r="U15" i="12"/>
  <c r="L33" i="43" s="1"/>
  <c r="U21" i="17"/>
  <c r="X21" i="17"/>
  <c r="X7" i="21"/>
  <c r="T29" i="43" s="1"/>
  <c r="W29" i="43" s="1"/>
  <c r="X21" i="27"/>
  <c r="U21" i="27"/>
  <c r="X9" i="3"/>
  <c r="V6" i="43" s="1"/>
  <c r="V5" i="43" s="1"/>
  <c r="V4" i="43" s="1"/>
  <c r="X21" i="16"/>
  <c r="U21" i="16"/>
  <c r="U21" i="12"/>
  <c r="X21" i="12"/>
  <c r="X9" i="22"/>
  <c r="V19" i="43" s="1"/>
  <c r="X9" i="11"/>
  <c r="V16" i="43" s="1"/>
  <c r="U15" i="10"/>
  <c r="L15" i="43" s="1"/>
  <c r="U19" i="19"/>
  <c r="Q9" i="43" s="1"/>
  <c r="U11" i="21"/>
  <c r="H29" i="43" s="1"/>
  <c r="M29" i="43" s="1"/>
  <c r="U19" i="16"/>
  <c r="Q35" i="43" s="1"/>
  <c r="X21" i="25"/>
  <c r="U21" i="25"/>
  <c r="U19" i="27"/>
  <c r="Q10" i="43" s="1"/>
  <c r="X106" i="22"/>
  <c r="T19" i="44" s="1"/>
  <c r="X21" i="3"/>
  <c r="U21" i="3"/>
  <c r="X9" i="17"/>
  <c r="V36" i="43" s="1"/>
  <c r="X9" i="24"/>
  <c r="V26" i="43" s="1"/>
  <c r="X9" i="8"/>
  <c r="V7" i="43" s="1"/>
  <c r="U9" i="24"/>
  <c r="E26" i="43" s="1"/>
  <c r="U19" i="9"/>
  <c r="Q8" i="43" s="1"/>
  <c r="U9" i="30"/>
  <c r="E27" i="43" s="1"/>
  <c r="U9" i="11"/>
  <c r="E16" i="43" s="1"/>
  <c r="U15" i="17"/>
  <c r="L36" i="43" s="1"/>
  <c r="U15" i="23"/>
  <c r="L20" i="43" s="1"/>
  <c r="U15" i="27"/>
  <c r="L10" i="43" s="1"/>
  <c r="U19" i="3"/>
  <c r="Q6" i="43" s="1"/>
  <c r="Q5" i="43" s="1"/>
  <c r="Q4" i="43" s="1"/>
  <c r="X21" i="10"/>
  <c r="U21" i="10"/>
  <c r="U19" i="23"/>
  <c r="Q20" i="43" s="1"/>
  <c r="U15" i="25"/>
  <c r="L21" i="43" s="1"/>
  <c r="U19" i="20"/>
  <c r="Q18" i="43" s="1"/>
  <c r="X21" i="23"/>
  <c r="AM20" i="43" s="1"/>
  <c r="U21" i="23"/>
  <c r="U17" i="3"/>
  <c r="O6" i="43" s="1"/>
  <c r="R6" i="43" s="1"/>
  <c r="U15" i="29"/>
  <c r="L31" i="43" s="1"/>
  <c r="U15" i="8"/>
  <c r="L7" i="43" s="1"/>
  <c r="O23" i="43"/>
  <c r="R23" i="43" s="1"/>
  <c r="H13" i="43"/>
  <c r="M13" i="43" s="1"/>
  <c r="O31" i="8"/>
  <c r="O56" i="8"/>
  <c r="O57" i="8" s="1"/>
  <c r="O106" i="7"/>
  <c r="O56" i="7"/>
  <c r="O31" i="7"/>
  <c r="O106" i="8"/>
  <c r="O107" i="8" s="1"/>
  <c r="O9" i="21"/>
  <c r="O11" i="21" s="1"/>
  <c r="O13" i="21" s="1"/>
  <c r="O13" i="25"/>
  <c r="R15" i="31"/>
  <c r="O13" i="3"/>
  <c r="C19" i="43"/>
  <c r="F19" i="43" s="1"/>
  <c r="AK19" i="43" s="1"/>
  <c r="AM19" i="43" s="1"/>
  <c r="T10" i="43"/>
  <c r="W10" i="43" s="1"/>
  <c r="R16" i="27"/>
  <c r="O32" i="24"/>
  <c r="O43" i="24" s="1"/>
  <c r="U35" i="24" s="1"/>
  <c r="H26" i="41" s="1"/>
  <c r="R15" i="24"/>
  <c r="R15" i="26"/>
  <c r="O13" i="17"/>
  <c r="T33" i="43"/>
  <c r="W33" i="43" s="1"/>
  <c r="R16" i="12"/>
  <c r="O13" i="16"/>
  <c r="O13" i="12"/>
  <c r="C25" i="43"/>
  <c r="F25" i="43" s="1"/>
  <c r="AK25" i="43" s="1"/>
  <c r="AM25" i="43" s="1"/>
  <c r="O20" i="21"/>
  <c r="H6" i="43"/>
  <c r="M6" i="43" s="1"/>
  <c r="O20" i="3"/>
  <c r="C15" i="43"/>
  <c r="F15" i="43" s="1"/>
  <c r="AK15" i="43" s="1"/>
  <c r="AM15" i="43" s="1"/>
  <c r="O20" i="24"/>
  <c r="C26" i="43"/>
  <c r="F26" i="43" s="1"/>
  <c r="AK26" i="43" s="1"/>
  <c r="AM26" i="43" s="1"/>
  <c r="R15" i="8"/>
  <c r="R8" i="7"/>
  <c r="R12" i="7" s="1"/>
  <c r="U17" i="7" s="1"/>
  <c r="O14" i="43" s="1"/>
  <c r="R14" i="43" s="1"/>
  <c r="R9" i="7"/>
  <c r="R13" i="7" s="1"/>
  <c r="X7" i="7" s="1"/>
  <c r="T15" i="43"/>
  <c r="W15" i="43" s="1"/>
  <c r="R16" i="10"/>
  <c r="T23" i="43"/>
  <c r="W23" i="43" s="1"/>
  <c r="R15" i="12"/>
  <c r="O20" i="16"/>
  <c r="R15" i="17"/>
  <c r="O119" i="22"/>
  <c r="U114" i="22" s="1"/>
  <c r="L19" i="44" s="1"/>
  <c r="M19" i="44" s="1"/>
  <c r="R115" i="22"/>
  <c r="C27" i="43"/>
  <c r="F27" i="43" s="1"/>
  <c r="AK27" i="43" s="1"/>
  <c r="C16" i="43"/>
  <c r="F16" i="43" s="1"/>
  <c r="AK16" i="43" s="1"/>
  <c r="AM16" i="43" s="1"/>
  <c r="T8" i="43"/>
  <c r="W8" i="43" s="1"/>
  <c r="R16" i="9"/>
  <c r="R16" i="21"/>
  <c r="O13" i="14"/>
  <c r="T35" i="43"/>
  <c r="W35" i="43" s="1"/>
  <c r="R16" i="16"/>
  <c r="O13" i="29"/>
  <c r="R15" i="10"/>
  <c r="R8" i="21"/>
  <c r="R12" i="21" s="1"/>
  <c r="U17" i="21" s="1"/>
  <c r="O29" i="43" s="1"/>
  <c r="R29" i="43" s="1"/>
  <c r="O13" i="27"/>
  <c r="C24" i="43"/>
  <c r="F24" i="43" s="1"/>
  <c r="AK24" i="43" s="1"/>
  <c r="T18" i="43"/>
  <c r="W18" i="43" s="1"/>
  <c r="R16" i="20"/>
  <c r="T22" i="43"/>
  <c r="W22" i="43" s="1"/>
  <c r="R16" i="31"/>
  <c r="R40" i="24"/>
  <c r="O106" i="32"/>
  <c r="O108" i="32" s="1"/>
  <c r="O110" i="32" s="1"/>
  <c r="R106" i="32"/>
  <c r="R108" i="32" s="1"/>
  <c r="R112" i="32" s="1"/>
  <c r="R56" i="32"/>
  <c r="R58" i="32" s="1"/>
  <c r="R62" i="32" s="1"/>
  <c r="O56" i="32"/>
  <c r="R56" i="31"/>
  <c r="R58" i="31" s="1"/>
  <c r="R62" i="31" s="1"/>
  <c r="R65" i="31" s="1"/>
  <c r="R106" i="31"/>
  <c r="R108" i="31" s="1"/>
  <c r="R112" i="31" s="1"/>
  <c r="R115" i="31" s="1"/>
  <c r="O106" i="31"/>
  <c r="O106" i="30"/>
  <c r="O108" i="30" s="1"/>
  <c r="O110" i="30" s="1"/>
  <c r="R106" i="30"/>
  <c r="R108" i="30" s="1"/>
  <c r="R112" i="30" s="1"/>
  <c r="O56" i="29"/>
  <c r="R56" i="29"/>
  <c r="R58" i="29" s="1"/>
  <c r="R62" i="29" s="1"/>
  <c r="R106" i="29"/>
  <c r="R108" i="29" s="1"/>
  <c r="R112" i="29" s="1"/>
  <c r="O106" i="29"/>
  <c r="R106" i="28"/>
  <c r="R108" i="28" s="1"/>
  <c r="R112" i="28" s="1"/>
  <c r="R56" i="28"/>
  <c r="R58" i="28" s="1"/>
  <c r="R62" i="28" s="1"/>
  <c r="O106" i="27"/>
  <c r="O108" i="27" s="1"/>
  <c r="O110" i="27" s="1"/>
  <c r="O112" i="27" s="1"/>
  <c r="O56" i="27"/>
  <c r="R106" i="27"/>
  <c r="R108" i="27" s="1"/>
  <c r="R112" i="27" s="1"/>
  <c r="R56" i="27"/>
  <c r="R58" i="27" s="1"/>
  <c r="R62" i="27" s="1"/>
  <c r="R106" i="26"/>
  <c r="R108" i="26" s="1"/>
  <c r="R112" i="26" s="1"/>
  <c r="R115" i="26" s="1"/>
  <c r="R56" i="26"/>
  <c r="R58" i="26" s="1"/>
  <c r="R62" i="26" s="1"/>
  <c r="O106" i="26"/>
  <c r="O56" i="26"/>
  <c r="R106" i="25"/>
  <c r="R108" i="25" s="1"/>
  <c r="R112" i="25" s="1"/>
  <c r="R56" i="25"/>
  <c r="R58" i="25" s="1"/>
  <c r="R62" i="25" s="1"/>
  <c r="O56" i="25"/>
  <c r="O106" i="25"/>
  <c r="O56" i="24"/>
  <c r="O58" i="24" s="1"/>
  <c r="O60" i="24" s="1"/>
  <c r="U56" i="24" s="1"/>
  <c r="R106" i="24"/>
  <c r="R108" i="24" s="1"/>
  <c r="R112" i="24" s="1"/>
  <c r="O106" i="24"/>
  <c r="O108" i="24" s="1"/>
  <c r="O110" i="24" s="1"/>
  <c r="R56" i="24"/>
  <c r="R58" i="24" s="1"/>
  <c r="R62" i="24" s="1"/>
  <c r="O56" i="23"/>
  <c r="R56" i="23"/>
  <c r="R58" i="23" s="1"/>
  <c r="R62" i="23" s="1"/>
  <c r="R106" i="23"/>
  <c r="R108" i="23" s="1"/>
  <c r="R112" i="23" s="1"/>
  <c r="O106" i="23"/>
  <c r="R81" i="22"/>
  <c r="R83" i="22" s="1"/>
  <c r="R87" i="22" s="1"/>
  <c r="X81" i="22" s="1"/>
  <c r="O56" i="22"/>
  <c r="R56" i="22"/>
  <c r="R58" i="22" s="1"/>
  <c r="R62" i="22" s="1"/>
  <c r="R56" i="21"/>
  <c r="R58" i="21" s="1"/>
  <c r="R62" i="21" s="1"/>
  <c r="R106" i="21"/>
  <c r="R108" i="21" s="1"/>
  <c r="R112" i="21" s="1"/>
  <c r="O106" i="21"/>
  <c r="O56" i="21"/>
  <c r="R56" i="20"/>
  <c r="R58" i="20" s="1"/>
  <c r="R62" i="20" s="1"/>
  <c r="O56" i="20"/>
  <c r="R106" i="19"/>
  <c r="R108" i="19" s="1"/>
  <c r="R112" i="19" s="1"/>
  <c r="R115" i="19" s="1"/>
  <c r="R56" i="19"/>
  <c r="R58" i="19" s="1"/>
  <c r="R62" i="19" s="1"/>
  <c r="R65" i="19" s="1"/>
  <c r="O106" i="19"/>
  <c r="O56" i="19"/>
  <c r="R56" i="18"/>
  <c r="R58" i="18" s="1"/>
  <c r="R62" i="18" s="1"/>
  <c r="R106" i="18"/>
  <c r="R108" i="18" s="1"/>
  <c r="R112" i="18" s="1"/>
  <c r="O56" i="18"/>
  <c r="O106" i="18"/>
  <c r="O56" i="17"/>
  <c r="R56" i="17"/>
  <c r="R58" i="17" s="1"/>
  <c r="R62" i="17" s="1"/>
  <c r="O106" i="17"/>
  <c r="O108" i="17" s="1"/>
  <c r="O110" i="17" s="1"/>
  <c r="R106" i="17"/>
  <c r="R108" i="17" s="1"/>
  <c r="R112" i="17" s="1"/>
  <c r="R115" i="17" s="1"/>
  <c r="R56" i="16"/>
  <c r="R58" i="16" s="1"/>
  <c r="R62" i="16" s="1"/>
  <c r="O106" i="16"/>
  <c r="O108" i="16" s="1"/>
  <c r="O110" i="16" s="1"/>
  <c r="R106" i="16"/>
  <c r="R108" i="16" s="1"/>
  <c r="R112" i="16" s="1"/>
  <c r="O56" i="16"/>
  <c r="O106" i="15"/>
  <c r="R56" i="15"/>
  <c r="R58" i="15" s="1"/>
  <c r="R62" i="15" s="1"/>
  <c r="R106" i="15"/>
  <c r="R108" i="15" s="1"/>
  <c r="R112" i="15" s="1"/>
  <c r="R56" i="14"/>
  <c r="R58" i="14" s="1"/>
  <c r="R62" i="14" s="1"/>
  <c r="R106" i="14"/>
  <c r="R108" i="14" s="1"/>
  <c r="R112" i="14" s="1"/>
  <c r="X106" i="14" s="1"/>
  <c r="O56" i="14"/>
  <c r="O106" i="14"/>
  <c r="O106" i="13"/>
  <c r="R106" i="13"/>
  <c r="R108" i="13" s="1"/>
  <c r="R112" i="13" s="1"/>
  <c r="R56" i="13"/>
  <c r="R58" i="13" s="1"/>
  <c r="R62" i="13" s="1"/>
  <c r="O56" i="13"/>
  <c r="R106" i="12"/>
  <c r="R108" i="12" s="1"/>
  <c r="R112" i="12" s="1"/>
  <c r="R115" i="12" s="1"/>
  <c r="O56" i="12"/>
  <c r="O58" i="12" s="1"/>
  <c r="O60" i="12" s="1"/>
  <c r="U56" i="12" s="1"/>
  <c r="R56" i="12"/>
  <c r="R58" i="12" s="1"/>
  <c r="R62" i="12" s="1"/>
  <c r="O106" i="12"/>
  <c r="O58" i="11"/>
  <c r="O60" i="11" s="1"/>
  <c r="U56" i="11" s="1"/>
  <c r="O57" i="11"/>
  <c r="O68" i="11" s="1"/>
  <c r="U60" i="11" s="1"/>
  <c r="H16" i="39" s="1"/>
  <c r="R56" i="11"/>
  <c r="R58" i="11" s="1"/>
  <c r="R62" i="11" s="1"/>
  <c r="R106" i="11"/>
  <c r="R108" i="11" s="1"/>
  <c r="R112" i="11" s="1"/>
  <c r="O106" i="11"/>
  <c r="R106" i="10"/>
  <c r="R108" i="10" s="1"/>
  <c r="R112" i="10" s="1"/>
  <c r="R56" i="10"/>
  <c r="R58" i="10" s="1"/>
  <c r="R62" i="10" s="1"/>
  <c r="O56" i="10"/>
  <c r="R56" i="9"/>
  <c r="R58" i="9" s="1"/>
  <c r="R62" i="9" s="1"/>
  <c r="R106" i="9"/>
  <c r="R108" i="9" s="1"/>
  <c r="R112" i="9" s="1"/>
  <c r="O106" i="9"/>
  <c r="O108" i="9" s="1"/>
  <c r="O110" i="9" s="1"/>
  <c r="R56" i="8"/>
  <c r="R58" i="8" s="1"/>
  <c r="R62" i="8" s="1"/>
  <c r="R106" i="8"/>
  <c r="R108" i="8" s="1"/>
  <c r="R112" i="8" s="1"/>
  <c r="AI5" i="41"/>
  <c r="AI4" i="41" s="1"/>
  <c r="AI5" i="40"/>
  <c r="AI4" i="40" s="1"/>
  <c r="AE5" i="41"/>
  <c r="AE4" i="41" s="1"/>
  <c r="AE5" i="40"/>
  <c r="AE4" i="40" s="1"/>
  <c r="Y5" i="41"/>
  <c r="AC5" i="40"/>
  <c r="AC4" i="40" s="1"/>
  <c r="AC5" i="41"/>
  <c r="AC4" i="41" s="1"/>
  <c r="AA5" i="40"/>
  <c r="AA4" i="40" s="1"/>
  <c r="AA5" i="41"/>
  <c r="AA4" i="41" s="1"/>
  <c r="AG5" i="41"/>
  <c r="AG4" i="41" s="1"/>
  <c r="R106" i="7"/>
  <c r="R108" i="7" s="1"/>
  <c r="R112" i="7" s="1"/>
  <c r="X106" i="7" s="1"/>
  <c r="O106" i="3"/>
  <c r="R106" i="3"/>
  <c r="O32" i="32"/>
  <c r="O43" i="32" s="1"/>
  <c r="U35" i="32" s="1"/>
  <c r="H12" i="41" s="1"/>
  <c r="O32" i="28"/>
  <c r="O43" i="28" s="1"/>
  <c r="U35" i="28" s="1"/>
  <c r="H11" i="41" s="1"/>
  <c r="R31" i="30"/>
  <c r="R33" i="30" s="1"/>
  <c r="R37" i="30" s="1"/>
  <c r="R40" i="30" s="1"/>
  <c r="R31" i="11"/>
  <c r="R33" i="11" s="1"/>
  <c r="R37" i="11" s="1"/>
  <c r="R31" i="29"/>
  <c r="R33" i="29" s="1"/>
  <c r="R37" i="29" s="1"/>
  <c r="R40" i="29" s="1"/>
  <c r="R31" i="25"/>
  <c r="R33" i="25" s="1"/>
  <c r="R37" i="25" s="1"/>
  <c r="R31" i="28"/>
  <c r="R33" i="28" s="1"/>
  <c r="R37" i="28" s="1"/>
  <c r="R40" i="28" s="1"/>
  <c r="O31" i="11"/>
  <c r="O44" i="24"/>
  <c r="R31" i="12"/>
  <c r="R33" i="12" s="1"/>
  <c r="R37" i="12" s="1"/>
  <c r="R31" i="18"/>
  <c r="R33" i="18" s="1"/>
  <c r="R37" i="18" s="1"/>
  <c r="R31" i="14"/>
  <c r="R33" i="14" s="1"/>
  <c r="R37" i="14" s="1"/>
  <c r="R31" i="9"/>
  <c r="R33" i="9" s="1"/>
  <c r="R37" i="9" s="1"/>
  <c r="O31" i="29"/>
  <c r="R32" i="23"/>
  <c r="R36" i="23" s="1"/>
  <c r="U41" i="23" s="1"/>
  <c r="O20" i="41" s="1"/>
  <c r="O31" i="15"/>
  <c r="O31" i="25"/>
  <c r="R40" i="23"/>
  <c r="R31" i="19"/>
  <c r="R33" i="19" s="1"/>
  <c r="R37" i="19" s="1"/>
  <c r="R31" i="27"/>
  <c r="R33" i="27" s="1"/>
  <c r="R37" i="27" s="1"/>
  <c r="R31" i="31"/>
  <c r="R33" i="31" s="1"/>
  <c r="R37" i="31" s="1"/>
  <c r="O31" i="20"/>
  <c r="O33" i="20" s="1"/>
  <c r="O35" i="20" s="1"/>
  <c r="O31" i="16"/>
  <c r="O33" i="16" s="1"/>
  <c r="O35" i="16" s="1"/>
  <c r="R31" i="22"/>
  <c r="R33" i="22" s="1"/>
  <c r="R37" i="22" s="1"/>
  <c r="R31" i="17"/>
  <c r="R33" i="17" s="1"/>
  <c r="R37" i="17" s="1"/>
  <c r="R37" i="3"/>
  <c r="O32" i="13"/>
  <c r="O43" i="13" s="1"/>
  <c r="U35" i="13" s="1"/>
  <c r="H24" i="41" s="1"/>
  <c r="R31" i="13"/>
  <c r="R33" i="13" s="1"/>
  <c r="R37" i="13" s="1"/>
  <c r="R31" i="8"/>
  <c r="R33" i="8" s="1"/>
  <c r="R37" i="8" s="1"/>
  <c r="R31" i="32"/>
  <c r="R33" i="32" s="1"/>
  <c r="R37" i="32" s="1"/>
  <c r="R40" i="32" s="1"/>
  <c r="R39" i="24"/>
  <c r="O31" i="18"/>
  <c r="O37" i="24"/>
  <c r="O32" i="23"/>
  <c r="O43" i="23" s="1"/>
  <c r="U35" i="23" s="1"/>
  <c r="H20" i="41" s="1"/>
  <c r="O31" i="9"/>
  <c r="R31" i="21"/>
  <c r="R33" i="21" s="1"/>
  <c r="R37" i="21" s="1"/>
  <c r="R31" i="20"/>
  <c r="R33" i="20" s="1"/>
  <c r="R37" i="20" s="1"/>
  <c r="O31" i="26"/>
  <c r="R31" i="15"/>
  <c r="R33" i="15" s="1"/>
  <c r="R37" i="15" s="1"/>
  <c r="R31" i="16"/>
  <c r="R33" i="16" s="1"/>
  <c r="R37" i="16" s="1"/>
  <c r="R31" i="26"/>
  <c r="R33" i="26" s="1"/>
  <c r="R37" i="26" s="1"/>
  <c r="O31" i="14"/>
  <c r="O31" i="19"/>
  <c r="O37" i="23"/>
  <c r="C20" i="41"/>
  <c r="O31" i="30"/>
  <c r="O31" i="31"/>
  <c r="R56" i="30"/>
  <c r="R58" i="30" s="1"/>
  <c r="R62" i="30" s="1"/>
  <c r="O56" i="30"/>
  <c r="R106" i="20"/>
  <c r="R108" i="20" s="1"/>
  <c r="R112" i="20" s="1"/>
  <c r="O106" i="20"/>
  <c r="R31" i="10"/>
  <c r="O31" i="10"/>
  <c r="R56" i="7"/>
  <c r="R58" i="7" s="1"/>
  <c r="R31" i="7"/>
  <c r="R33" i="7" s="1"/>
  <c r="R57" i="3"/>
  <c r="R61" i="3" s="1"/>
  <c r="U66" i="3" s="1"/>
  <c r="O6" i="39" s="1"/>
  <c r="O56" i="3"/>
  <c r="R32" i="3"/>
  <c r="R36" i="3" s="1"/>
  <c r="L86" i="3"/>
  <c r="J97" i="3" s="1"/>
  <c r="U82" i="3" s="1"/>
  <c r="D6" i="40" s="1"/>
  <c r="L84" i="3"/>
  <c r="J91" i="3" s="1"/>
  <c r="L86" i="15"/>
  <c r="J97" i="15" s="1"/>
  <c r="L84" i="15"/>
  <c r="J91" i="15" s="1"/>
  <c r="U92" i="15" s="1"/>
  <c r="P17" i="40" s="1"/>
  <c r="L85" i="15"/>
  <c r="J92" i="15" s="1"/>
  <c r="X82" i="15" s="1"/>
  <c r="U17" i="40" s="1"/>
  <c r="L84" i="11"/>
  <c r="J91" i="11" s="1"/>
  <c r="U92" i="11" s="1"/>
  <c r="P16" i="40" s="1"/>
  <c r="L85" i="11"/>
  <c r="J92" i="11" s="1"/>
  <c r="X82" i="11" s="1"/>
  <c r="U16" i="40" s="1"/>
  <c r="L86" i="11"/>
  <c r="J97" i="11" s="1"/>
  <c r="U82" i="11" s="1"/>
  <c r="D16" i="40" s="1"/>
  <c r="L85" i="32"/>
  <c r="J92" i="32" s="1"/>
  <c r="X82" i="32" s="1"/>
  <c r="U12" i="40" s="1"/>
  <c r="L84" i="32"/>
  <c r="J91" i="32" s="1"/>
  <c r="U92" i="32" s="1"/>
  <c r="P12" i="40" s="1"/>
  <c r="L86" i="32"/>
  <c r="J97" i="32" s="1"/>
  <c r="U82" i="32" s="1"/>
  <c r="D12" i="40" s="1"/>
  <c r="L85" i="12"/>
  <c r="J92" i="12" s="1"/>
  <c r="X82" i="12" s="1"/>
  <c r="U33" i="40" s="1"/>
  <c r="L86" i="12"/>
  <c r="J97" i="12" s="1"/>
  <c r="U82" i="12" s="1"/>
  <c r="D33" i="40" s="1"/>
  <c r="L84" i="12"/>
  <c r="J91" i="12" s="1"/>
  <c r="U92" i="12" s="1"/>
  <c r="P33" i="40" s="1"/>
  <c r="L84" i="17"/>
  <c r="J91" i="17" s="1"/>
  <c r="U92" i="17" s="1"/>
  <c r="P36" i="40" s="1"/>
  <c r="L86" i="17"/>
  <c r="J97" i="17" s="1"/>
  <c r="U82" i="17" s="1"/>
  <c r="D36" i="40" s="1"/>
  <c r="L85" i="17"/>
  <c r="J92" i="17" s="1"/>
  <c r="X82" i="17" s="1"/>
  <c r="U36" i="40" s="1"/>
  <c r="L86" i="27"/>
  <c r="J97" i="27" s="1"/>
  <c r="U82" i="27" s="1"/>
  <c r="D10" i="40" s="1"/>
  <c r="L85" i="27"/>
  <c r="J92" i="27" s="1"/>
  <c r="X82" i="27" s="1"/>
  <c r="U10" i="40" s="1"/>
  <c r="L84" i="27"/>
  <c r="J91" i="27" s="1"/>
  <c r="U92" i="27" s="1"/>
  <c r="P10" i="40" s="1"/>
  <c r="L85" i="7"/>
  <c r="J92" i="7" s="1"/>
  <c r="X82" i="7" s="1"/>
  <c r="U14" i="40" s="1"/>
  <c r="L86" i="7"/>
  <c r="J97" i="7" s="1"/>
  <c r="U82" i="7" s="1"/>
  <c r="D14" i="40" s="1"/>
  <c r="L84" i="7"/>
  <c r="J91" i="7" s="1"/>
  <c r="U92" i="7" s="1"/>
  <c r="P14" i="40" s="1"/>
  <c r="L85" i="21"/>
  <c r="J92" i="21" s="1"/>
  <c r="X82" i="21" s="1"/>
  <c r="U29" i="40" s="1"/>
  <c r="L86" i="21"/>
  <c r="J97" i="21" s="1"/>
  <c r="U82" i="21" s="1"/>
  <c r="D29" i="40" s="1"/>
  <c r="L84" i="21"/>
  <c r="J91" i="21" s="1"/>
  <c r="U92" i="21" s="1"/>
  <c r="P29" i="40" s="1"/>
  <c r="L86" i="30"/>
  <c r="J97" i="30" s="1"/>
  <c r="U82" i="30" s="1"/>
  <c r="D27" i="40" s="1"/>
  <c r="L85" i="30"/>
  <c r="J92" i="30" s="1"/>
  <c r="X82" i="30" s="1"/>
  <c r="U27" i="40" s="1"/>
  <c r="L84" i="30"/>
  <c r="J91" i="30" s="1"/>
  <c r="U92" i="30" s="1"/>
  <c r="P27" i="40" s="1"/>
  <c r="L86" i="10"/>
  <c r="J97" i="10" s="1"/>
  <c r="U82" i="10" s="1"/>
  <c r="D15" i="40" s="1"/>
  <c r="L85" i="10"/>
  <c r="J92" i="10" s="1"/>
  <c r="X82" i="10" s="1"/>
  <c r="U15" i="40" s="1"/>
  <c r="L84" i="10"/>
  <c r="J91" i="10" s="1"/>
  <c r="U92" i="10" s="1"/>
  <c r="P15" i="40" s="1"/>
  <c r="L86" i="8"/>
  <c r="J97" i="8" s="1"/>
  <c r="U82" i="8" s="1"/>
  <c r="D7" i="40" s="1"/>
  <c r="L85" i="8"/>
  <c r="J92" i="8" s="1"/>
  <c r="X82" i="8" s="1"/>
  <c r="U7" i="40" s="1"/>
  <c r="L84" i="8"/>
  <c r="J91" i="8" s="1"/>
  <c r="U92" i="8" s="1"/>
  <c r="P7" i="40" s="1"/>
  <c r="L85" i="14"/>
  <c r="J92" i="14" s="1"/>
  <c r="X82" i="14" s="1"/>
  <c r="U34" i="40" s="1"/>
  <c r="L86" i="14"/>
  <c r="J97" i="14" s="1"/>
  <c r="L84" i="14"/>
  <c r="J91" i="14" s="1"/>
  <c r="U92" i="14" s="1"/>
  <c r="P34" i="40" s="1"/>
  <c r="L84" i="25"/>
  <c r="J91" i="25" s="1"/>
  <c r="U92" i="25" s="1"/>
  <c r="P21" i="40" s="1"/>
  <c r="L85" i="25"/>
  <c r="J92" i="25" s="1"/>
  <c r="X82" i="25" s="1"/>
  <c r="U21" i="40" s="1"/>
  <c r="L86" i="25"/>
  <c r="J97" i="25" s="1"/>
  <c r="U82" i="25" s="1"/>
  <c r="D21" i="40" s="1"/>
  <c r="L83" i="7"/>
  <c r="J88" i="7" s="1"/>
  <c r="U88" i="7" s="1"/>
  <c r="K14" i="40" s="1"/>
  <c r="L85" i="26"/>
  <c r="J92" i="26" s="1"/>
  <c r="X82" i="26" s="1"/>
  <c r="U30" i="40" s="1"/>
  <c r="L84" i="26"/>
  <c r="J91" i="26" s="1"/>
  <c r="U92" i="26" s="1"/>
  <c r="P30" i="40" s="1"/>
  <c r="L86" i="26"/>
  <c r="J97" i="26" s="1"/>
  <c r="U82" i="26" s="1"/>
  <c r="D30" i="40" s="1"/>
  <c r="L83" i="30"/>
  <c r="J88" i="30" s="1"/>
  <c r="U88" i="30" s="1"/>
  <c r="L86" i="16"/>
  <c r="J97" i="16" s="1"/>
  <c r="U82" i="16" s="1"/>
  <c r="D35" i="40" s="1"/>
  <c r="L85" i="16"/>
  <c r="J92" i="16" s="1"/>
  <c r="X82" i="16" s="1"/>
  <c r="U35" i="40" s="1"/>
  <c r="L84" i="16"/>
  <c r="J91" i="16" s="1"/>
  <c r="U92" i="16" s="1"/>
  <c r="P35" i="40" s="1"/>
  <c r="L83" i="10"/>
  <c r="J88" i="10" s="1"/>
  <c r="U88" i="10" s="1"/>
  <c r="K15" i="40" s="1"/>
  <c r="L83" i="8"/>
  <c r="J88" i="8" s="1"/>
  <c r="U88" i="8" s="1"/>
  <c r="K7" i="40" s="1"/>
  <c r="L83" i="3"/>
  <c r="J88" i="3" s="1"/>
  <c r="U88" i="3" s="1"/>
  <c r="K6" i="40" s="1"/>
  <c r="L86" i="29"/>
  <c r="J97" i="29" s="1"/>
  <c r="L85" i="29"/>
  <c r="J92" i="29" s="1"/>
  <c r="X82" i="29" s="1"/>
  <c r="U31" i="40" s="1"/>
  <c r="L84" i="29"/>
  <c r="J91" i="29" s="1"/>
  <c r="U92" i="29" s="1"/>
  <c r="P31" i="40" s="1"/>
  <c r="L85" i="13"/>
  <c r="J92" i="13" s="1"/>
  <c r="X82" i="13" s="1"/>
  <c r="U24" i="40" s="1"/>
  <c r="L84" i="13"/>
  <c r="J91" i="13" s="1"/>
  <c r="U92" i="13" s="1"/>
  <c r="P24" i="40" s="1"/>
  <c r="L86" i="13"/>
  <c r="J97" i="13" s="1"/>
  <c r="U82" i="13" s="1"/>
  <c r="D24" i="40" s="1"/>
  <c r="L84" i="18"/>
  <c r="J91" i="18" s="1"/>
  <c r="U92" i="18" s="1"/>
  <c r="P25" i="40" s="1"/>
  <c r="L86" i="18"/>
  <c r="J97" i="18" s="1"/>
  <c r="L85" i="18"/>
  <c r="J92" i="18" s="1"/>
  <c r="X82" i="18" s="1"/>
  <c r="U25" i="40" s="1"/>
  <c r="L84" i="24"/>
  <c r="J91" i="24" s="1"/>
  <c r="U92" i="24" s="1"/>
  <c r="P26" i="40" s="1"/>
  <c r="L86" i="24"/>
  <c r="J97" i="24" s="1"/>
  <c r="U82" i="24" s="1"/>
  <c r="D26" i="40" s="1"/>
  <c r="L85" i="24"/>
  <c r="J92" i="24" s="1"/>
  <c r="X82" i="24" s="1"/>
  <c r="U26" i="40" s="1"/>
  <c r="L85" i="20"/>
  <c r="J92" i="20" s="1"/>
  <c r="X82" i="20" s="1"/>
  <c r="U18" i="40" s="1"/>
  <c r="L84" i="20"/>
  <c r="J91" i="20" s="1"/>
  <c r="U92" i="20" s="1"/>
  <c r="P18" i="40" s="1"/>
  <c r="L86" i="20"/>
  <c r="J97" i="20" s="1"/>
  <c r="L84" i="28"/>
  <c r="J91" i="28" s="1"/>
  <c r="U92" i="28" s="1"/>
  <c r="P11" i="40" s="1"/>
  <c r="L85" i="28"/>
  <c r="J92" i="28" s="1"/>
  <c r="X82" i="28" s="1"/>
  <c r="U11" i="40" s="1"/>
  <c r="L86" i="28"/>
  <c r="J97" i="28" s="1"/>
  <c r="L84" i="31"/>
  <c r="J91" i="31" s="1"/>
  <c r="U92" i="31" s="1"/>
  <c r="P22" i="40" s="1"/>
  <c r="L85" i="31"/>
  <c r="J92" i="31" s="1"/>
  <c r="X82" i="31" s="1"/>
  <c r="U22" i="40" s="1"/>
  <c r="L86" i="31"/>
  <c r="J97" i="31" s="1"/>
  <c r="U82" i="31" s="1"/>
  <c r="D22" i="40" s="1"/>
  <c r="L86" i="19"/>
  <c r="J97" i="19" s="1"/>
  <c r="L84" i="19"/>
  <c r="J91" i="19" s="1"/>
  <c r="U92" i="19" s="1"/>
  <c r="P9" i="40" s="1"/>
  <c r="L85" i="19"/>
  <c r="J92" i="19" s="1"/>
  <c r="X82" i="19" s="1"/>
  <c r="U9" i="40" s="1"/>
  <c r="L86" i="9"/>
  <c r="J97" i="9" s="1"/>
  <c r="U82" i="9" s="1"/>
  <c r="D8" i="40" s="1"/>
  <c r="L85" i="9"/>
  <c r="J92" i="9" s="1"/>
  <c r="X82" i="9" s="1"/>
  <c r="U8" i="40" s="1"/>
  <c r="L84" i="9"/>
  <c r="J91" i="9" s="1"/>
  <c r="U92" i="9" s="1"/>
  <c r="P8" i="40" s="1"/>
  <c r="L84" i="23"/>
  <c r="J91" i="23" s="1"/>
  <c r="U92" i="23" s="1"/>
  <c r="P20" i="40" s="1"/>
  <c r="L86" i="23"/>
  <c r="J97" i="23" s="1"/>
  <c r="L85" i="23"/>
  <c r="J92" i="23" s="1"/>
  <c r="X82" i="23" s="1"/>
  <c r="U20" i="40" s="1"/>
  <c r="L83" i="24"/>
  <c r="J88" i="24" s="1"/>
  <c r="U88" i="24" s="1"/>
  <c r="K26" i="40" s="1"/>
  <c r="O112" i="22" l="1"/>
  <c r="K5" i="40"/>
  <c r="O82" i="22"/>
  <c r="O93" i="22" s="1"/>
  <c r="U85" i="22" s="1"/>
  <c r="H19" i="40" s="1"/>
  <c r="O107" i="10"/>
  <c r="O118" i="10" s="1"/>
  <c r="U110" i="10" s="1"/>
  <c r="H15" i="44" s="1"/>
  <c r="R107" i="22"/>
  <c r="R111" i="22" s="1"/>
  <c r="U116" i="22" s="1"/>
  <c r="O19" i="44" s="1"/>
  <c r="AM27" i="43"/>
  <c r="AM24" i="43"/>
  <c r="O33" i="12"/>
  <c r="O35" i="12" s="1"/>
  <c r="O37" i="12" s="1"/>
  <c r="O32" i="21"/>
  <c r="O43" i="21" s="1"/>
  <c r="U35" i="21" s="1"/>
  <c r="H29" i="41" s="1"/>
  <c r="O32" i="17"/>
  <c r="O43" i="17" s="1"/>
  <c r="U35" i="17" s="1"/>
  <c r="H36" i="41" s="1"/>
  <c r="R114" i="22"/>
  <c r="U118" i="22" s="1"/>
  <c r="Q19" i="44" s="1"/>
  <c r="R19" i="44" s="1"/>
  <c r="O108" i="28"/>
  <c r="O110" i="28" s="1"/>
  <c r="R107" i="21"/>
  <c r="R111" i="21" s="1"/>
  <c r="U116" i="21" s="1"/>
  <c r="O29" i="44" s="1"/>
  <c r="R57" i="24"/>
  <c r="R61" i="24" s="1"/>
  <c r="U66" i="24" s="1"/>
  <c r="O26" i="39" s="1"/>
  <c r="O108" i="8"/>
  <c r="O110" i="8" s="1"/>
  <c r="O112" i="8" s="1"/>
  <c r="R107" i="31"/>
  <c r="R111" i="31" s="1"/>
  <c r="U116" i="31" s="1"/>
  <c r="O22" i="44" s="1"/>
  <c r="O107" i="16"/>
  <c r="O118" i="16" s="1"/>
  <c r="U110" i="16" s="1"/>
  <c r="H35" i="44" s="1"/>
  <c r="R107" i="17"/>
  <c r="R111" i="17" s="1"/>
  <c r="U116" i="17" s="1"/>
  <c r="O36" i="44" s="1"/>
  <c r="O58" i="8"/>
  <c r="O60" i="8" s="1"/>
  <c r="U56" i="8" s="1"/>
  <c r="O58" i="15"/>
  <c r="O60" i="15" s="1"/>
  <c r="U56" i="15" s="1"/>
  <c r="C17" i="39" s="1"/>
  <c r="O62" i="31"/>
  <c r="U58" i="31" s="1"/>
  <c r="E22" i="39" s="1"/>
  <c r="O32" i="20"/>
  <c r="O43" i="20" s="1"/>
  <c r="U35" i="20" s="1"/>
  <c r="H18" i="41" s="1"/>
  <c r="O32" i="22"/>
  <c r="O43" i="22" s="1"/>
  <c r="O44" i="22" s="1"/>
  <c r="O32" i="27"/>
  <c r="O43" i="27" s="1"/>
  <c r="U35" i="27" s="1"/>
  <c r="H10" i="41" s="1"/>
  <c r="O33" i="3"/>
  <c r="O35" i="3" s="1"/>
  <c r="U31" i="3" s="1"/>
  <c r="H28" i="43"/>
  <c r="M28" i="43" s="1"/>
  <c r="O13" i="7"/>
  <c r="U9" i="7" s="1"/>
  <c r="E14" i="43" s="1"/>
  <c r="E13" i="43" s="1"/>
  <c r="T4" i="43"/>
  <c r="C12" i="43"/>
  <c r="F12" i="43" s="1"/>
  <c r="AK12" i="43" s="1"/>
  <c r="X21" i="32"/>
  <c r="U21" i="32"/>
  <c r="U7" i="26"/>
  <c r="O13" i="26"/>
  <c r="U9" i="26" s="1"/>
  <c r="E30" i="43" s="1"/>
  <c r="T28" i="43"/>
  <c r="W28" i="43" s="1"/>
  <c r="D32" i="41"/>
  <c r="P4" i="41"/>
  <c r="O62" i="9"/>
  <c r="O57" i="9"/>
  <c r="O68" i="9" s="1"/>
  <c r="U60" i="9" s="1"/>
  <c r="H8" i="39" s="1"/>
  <c r="O57" i="28"/>
  <c r="O68" i="28" s="1"/>
  <c r="U60" i="28" s="1"/>
  <c r="H11" i="39" s="1"/>
  <c r="O57" i="31"/>
  <c r="O68" i="31" s="1"/>
  <c r="U60" i="31" s="1"/>
  <c r="H22" i="39" s="1"/>
  <c r="D5" i="41"/>
  <c r="U4" i="41"/>
  <c r="O81" i="23"/>
  <c r="U82" i="23"/>
  <c r="D20" i="40" s="1"/>
  <c r="O81" i="19"/>
  <c r="O83" i="19" s="1"/>
  <c r="O85" i="19" s="1"/>
  <c r="U82" i="19"/>
  <c r="D9" i="40" s="1"/>
  <c r="O81" i="28"/>
  <c r="O82" i="28" s="1"/>
  <c r="O93" i="28" s="1"/>
  <c r="U85" i="28" s="1"/>
  <c r="H11" i="40" s="1"/>
  <c r="U82" i="28"/>
  <c r="D11" i="40" s="1"/>
  <c r="O81" i="20"/>
  <c r="O83" i="20" s="1"/>
  <c r="O85" i="20" s="1"/>
  <c r="U81" i="20" s="1"/>
  <c r="U82" i="20"/>
  <c r="D18" i="40" s="1"/>
  <c r="O81" i="18"/>
  <c r="U82" i="18"/>
  <c r="D25" i="40" s="1"/>
  <c r="D23" i="40" s="1"/>
  <c r="P23" i="40"/>
  <c r="U23" i="40"/>
  <c r="O81" i="29"/>
  <c r="U82" i="29"/>
  <c r="D31" i="40" s="1"/>
  <c r="D28" i="40" s="1"/>
  <c r="K27" i="40"/>
  <c r="K23" i="40" s="1"/>
  <c r="K13" i="40"/>
  <c r="O81" i="14"/>
  <c r="O83" i="14" s="1"/>
  <c r="O85" i="14" s="1"/>
  <c r="U81" i="14" s="1"/>
  <c r="U82" i="14"/>
  <c r="D34" i="40" s="1"/>
  <c r="D32" i="40" s="1"/>
  <c r="U5" i="40"/>
  <c r="P28" i="40"/>
  <c r="U28" i="40"/>
  <c r="P13" i="40"/>
  <c r="U13" i="40"/>
  <c r="P32" i="40"/>
  <c r="U32" i="40"/>
  <c r="O81" i="15"/>
  <c r="O82" i="15" s="1"/>
  <c r="O93" i="15" s="1"/>
  <c r="U85" i="15" s="1"/>
  <c r="H17" i="40" s="1"/>
  <c r="U82" i="15"/>
  <c r="D17" i="40" s="1"/>
  <c r="R81" i="3"/>
  <c r="R82" i="3" s="1"/>
  <c r="U92" i="3"/>
  <c r="P6" i="40" s="1"/>
  <c r="P5" i="40" s="1"/>
  <c r="R39" i="3"/>
  <c r="U43" i="3" s="1"/>
  <c r="Q6" i="41" s="1"/>
  <c r="U41" i="3"/>
  <c r="O6" i="41" s="1"/>
  <c r="X106" i="20"/>
  <c r="T18" i="44" s="1"/>
  <c r="X56" i="30"/>
  <c r="T27" i="39" s="1"/>
  <c r="U33" i="23"/>
  <c r="E20" i="41" s="1"/>
  <c r="F20" i="41" s="1"/>
  <c r="X31" i="26"/>
  <c r="T30" i="41" s="1"/>
  <c r="X31" i="16"/>
  <c r="T35" i="41" s="1"/>
  <c r="X33" i="32"/>
  <c r="V12" i="41" s="1"/>
  <c r="U33" i="22"/>
  <c r="E19" i="41" s="1"/>
  <c r="X33" i="30"/>
  <c r="V27" i="41" s="1"/>
  <c r="X31" i="15"/>
  <c r="T17" i="41" s="1"/>
  <c r="X33" i="28"/>
  <c r="V11" i="41" s="1"/>
  <c r="X31" i="20"/>
  <c r="T18" i="41" s="1"/>
  <c r="U33" i="32"/>
  <c r="E12" i="41" s="1"/>
  <c r="X31" i="21"/>
  <c r="T29" i="41" s="1"/>
  <c r="U33" i="24"/>
  <c r="E26" i="41" s="1"/>
  <c r="U43" i="24"/>
  <c r="Q26" i="41" s="1"/>
  <c r="R26" i="41" s="1"/>
  <c r="U33" i="17"/>
  <c r="E36" i="41" s="1"/>
  <c r="X31" i="32"/>
  <c r="T12" i="41" s="1"/>
  <c r="U33" i="13"/>
  <c r="E24" i="41" s="1"/>
  <c r="X31" i="8"/>
  <c r="T7" i="41" s="1"/>
  <c r="X31" i="13"/>
  <c r="T24" i="41" s="1"/>
  <c r="X33" i="29"/>
  <c r="V31" i="41" s="1"/>
  <c r="X31" i="3"/>
  <c r="T6" i="41" s="1"/>
  <c r="X31" i="17"/>
  <c r="T36" i="41" s="1"/>
  <c r="X31" i="22"/>
  <c r="T19" i="41" s="1"/>
  <c r="U31" i="16"/>
  <c r="U31" i="20"/>
  <c r="X31" i="31"/>
  <c r="T22" i="41" s="1"/>
  <c r="X31" i="27"/>
  <c r="T10" i="41" s="1"/>
  <c r="X31" i="19"/>
  <c r="T9" i="41" s="1"/>
  <c r="X33" i="23"/>
  <c r="V20" i="41" s="1"/>
  <c r="W20" i="41" s="1"/>
  <c r="X31" i="9"/>
  <c r="T8" i="41" s="1"/>
  <c r="U33" i="12"/>
  <c r="E33" i="41" s="1"/>
  <c r="U33" i="27"/>
  <c r="E10" i="41" s="1"/>
  <c r="X31" i="14"/>
  <c r="T34" i="41" s="1"/>
  <c r="X31" i="18"/>
  <c r="T25" i="41" s="1"/>
  <c r="X31" i="12"/>
  <c r="T33" i="41" s="1"/>
  <c r="U39" i="24"/>
  <c r="L26" i="41" s="1"/>
  <c r="M26" i="41" s="1"/>
  <c r="X31" i="28"/>
  <c r="T11" i="41" s="1"/>
  <c r="X31" i="25"/>
  <c r="T21" i="41" s="1"/>
  <c r="X31" i="29"/>
  <c r="T31" i="41" s="1"/>
  <c r="X31" i="11"/>
  <c r="T16" i="41" s="1"/>
  <c r="X31" i="30"/>
  <c r="T27" i="41" s="1"/>
  <c r="U31" i="28"/>
  <c r="U31" i="32"/>
  <c r="U31" i="17"/>
  <c r="X106" i="8"/>
  <c r="T7" i="44" s="1"/>
  <c r="X56" i="8"/>
  <c r="T7" i="39" s="1"/>
  <c r="U106" i="8"/>
  <c r="D8" i="39"/>
  <c r="U58" i="9"/>
  <c r="E8" i="39" s="1"/>
  <c r="U106" i="9"/>
  <c r="X106" i="9"/>
  <c r="T8" i="44" s="1"/>
  <c r="X56" i="9"/>
  <c r="T8" i="39" s="1"/>
  <c r="X56" i="10"/>
  <c r="T15" i="39" s="1"/>
  <c r="X106" i="10"/>
  <c r="T15" i="44" s="1"/>
  <c r="U106" i="10"/>
  <c r="X106" i="11"/>
  <c r="T16" i="44" s="1"/>
  <c r="X56" i="11"/>
  <c r="T16" i="39" s="1"/>
  <c r="X56" i="12"/>
  <c r="T33" i="39" s="1"/>
  <c r="U33" i="44"/>
  <c r="X108" i="12"/>
  <c r="V33" i="44" s="1"/>
  <c r="X106" i="12"/>
  <c r="T33" i="44" s="1"/>
  <c r="U35" i="12"/>
  <c r="H33" i="41" s="1"/>
  <c r="U31" i="12"/>
  <c r="X56" i="13"/>
  <c r="T24" i="39" s="1"/>
  <c r="X106" i="13"/>
  <c r="T24" i="44" s="1"/>
  <c r="X56" i="14"/>
  <c r="T34" i="39" s="1"/>
  <c r="X106" i="15"/>
  <c r="T17" i="44" s="1"/>
  <c r="X56" i="15"/>
  <c r="T17" i="39" s="1"/>
  <c r="X106" i="16"/>
  <c r="T35" i="44" s="1"/>
  <c r="U106" i="16"/>
  <c r="X56" i="16"/>
  <c r="T35" i="39" s="1"/>
  <c r="U36" i="44"/>
  <c r="X108" i="17"/>
  <c r="V36" i="44" s="1"/>
  <c r="X106" i="17"/>
  <c r="T36" i="44" s="1"/>
  <c r="U106" i="17"/>
  <c r="X56" i="17"/>
  <c r="T36" i="39" s="1"/>
  <c r="X106" i="18"/>
  <c r="T25" i="44" s="1"/>
  <c r="X56" i="18"/>
  <c r="T25" i="39" s="1"/>
  <c r="U9" i="44"/>
  <c r="X108" i="19"/>
  <c r="V9" i="44" s="1"/>
  <c r="U9" i="39"/>
  <c r="X58" i="19"/>
  <c r="V9" i="39" s="1"/>
  <c r="X56" i="19"/>
  <c r="T9" i="39" s="1"/>
  <c r="X106" i="19"/>
  <c r="T9" i="44" s="1"/>
  <c r="X56" i="20"/>
  <c r="T18" i="39" s="1"/>
  <c r="X106" i="21"/>
  <c r="T29" i="44" s="1"/>
  <c r="X56" i="21"/>
  <c r="T29" i="39" s="1"/>
  <c r="U31" i="21"/>
  <c r="X56" i="22"/>
  <c r="T19" i="39" s="1"/>
  <c r="U31" i="22"/>
  <c r="X106" i="23"/>
  <c r="T20" i="44" s="1"/>
  <c r="X56" i="23"/>
  <c r="T20" i="39" s="1"/>
  <c r="X56" i="24"/>
  <c r="T26" i="39" s="1"/>
  <c r="U106" i="24"/>
  <c r="X106" i="24"/>
  <c r="T26" i="44" s="1"/>
  <c r="X56" i="25"/>
  <c r="T21" i="39" s="1"/>
  <c r="X106" i="25"/>
  <c r="T21" i="44" s="1"/>
  <c r="X56" i="26"/>
  <c r="T30" i="39" s="1"/>
  <c r="U30" i="44"/>
  <c r="X108" i="26"/>
  <c r="V30" i="44" s="1"/>
  <c r="X106" i="26"/>
  <c r="T30" i="44" s="1"/>
  <c r="X56" i="27"/>
  <c r="T10" i="39" s="1"/>
  <c r="X106" i="27"/>
  <c r="T10" i="44" s="1"/>
  <c r="D10" i="44"/>
  <c r="U108" i="27"/>
  <c r="E10" i="44" s="1"/>
  <c r="U106" i="27"/>
  <c r="X56" i="28"/>
  <c r="T11" i="39" s="1"/>
  <c r="X106" i="28"/>
  <c r="T11" i="44" s="1"/>
  <c r="U106" i="28"/>
  <c r="X106" i="29"/>
  <c r="T31" i="44" s="1"/>
  <c r="X56" i="29"/>
  <c r="T31" i="39" s="1"/>
  <c r="X106" i="30"/>
  <c r="T27" i="44" s="1"/>
  <c r="U106" i="30"/>
  <c r="U22" i="44"/>
  <c r="X108" i="31"/>
  <c r="V22" i="44" s="1"/>
  <c r="X106" i="31"/>
  <c r="T22" i="44" s="1"/>
  <c r="D22" i="39"/>
  <c r="U22" i="39"/>
  <c r="X58" i="31"/>
  <c r="V22" i="39" s="1"/>
  <c r="X56" i="31"/>
  <c r="T22" i="39" s="1"/>
  <c r="X56" i="32"/>
  <c r="T12" i="39" s="1"/>
  <c r="X106" i="32"/>
  <c r="T12" i="44" s="1"/>
  <c r="U106" i="32"/>
  <c r="X33" i="24"/>
  <c r="V26" i="41" s="1"/>
  <c r="W26" i="41" s="1"/>
  <c r="X9" i="31"/>
  <c r="V22" i="43" s="1"/>
  <c r="U9" i="21"/>
  <c r="E29" i="43" s="1"/>
  <c r="E28" i="43" s="1"/>
  <c r="X9" i="20"/>
  <c r="V18" i="43" s="1"/>
  <c r="U9" i="27"/>
  <c r="E10" i="43" s="1"/>
  <c r="U19" i="10"/>
  <c r="Q15" i="43" s="1"/>
  <c r="U9" i="29"/>
  <c r="E31" i="43" s="1"/>
  <c r="X9" i="16"/>
  <c r="V35" i="43" s="1"/>
  <c r="U9" i="14"/>
  <c r="E34" i="43" s="1"/>
  <c r="X9" i="21"/>
  <c r="V29" i="43" s="1"/>
  <c r="V28" i="43" s="1"/>
  <c r="X9" i="9"/>
  <c r="V8" i="43" s="1"/>
  <c r="U19" i="44"/>
  <c r="X108" i="22"/>
  <c r="V19" i="44" s="1"/>
  <c r="U19" i="17"/>
  <c r="Q36" i="43" s="1"/>
  <c r="L32" i="43"/>
  <c r="U15" i="16"/>
  <c r="L35" i="43" s="1"/>
  <c r="H32" i="43"/>
  <c r="M32" i="43" s="1"/>
  <c r="U19" i="12"/>
  <c r="Q33" i="43" s="1"/>
  <c r="Q32" i="43" s="1"/>
  <c r="X9" i="10"/>
  <c r="V15" i="43" s="1"/>
  <c r="U19" i="8"/>
  <c r="Q7" i="43" s="1"/>
  <c r="L23" i="43"/>
  <c r="U15" i="24"/>
  <c r="L26" i="43" s="1"/>
  <c r="U15" i="3"/>
  <c r="L6" i="43" s="1"/>
  <c r="L5" i="43" s="1"/>
  <c r="L4" i="43" s="1"/>
  <c r="U15" i="21"/>
  <c r="L29" i="43" s="1"/>
  <c r="L28" i="43" s="1"/>
  <c r="U9" i="12"/>
  <c r="E33" i="43" s="1"/>
  <c r="E32" i="43" s="1"/>
  <c r="U9" i="16"/>
  <c r="E35" i="43" s="1"/>
  <c r="X9" i="12"/>
  <c r="V33" i="43" s="1"/>
  <c r="V32" i="43" s="1"/>
  <c r="U9" i="17"/>
  <c r="E36" i="43" s="1"/>
  <c r="U19" i="26"/>
  <c r="Q30" i="43" s="1"/>
  <c r="Q23" i="43"/>
  <c r="U19" i="24"/>
  <c r="Q26" i="43" s="1"/>
  <c r="D19" i="44"/>
  <c r="U108" i="22"/>
  <c r="X9" i="27"/>
  <c r="V10" i="43" s="1"/>
  <c r="U9" i="3"/>
  <c r="E6" i="43" s="1"/>
  <c r="E5" i="43" s="1"/>
  <c r="E4" i="43" s="1"/>
  <c r="U19" i="31"/>
  <c r="Q22" i="43" s="1"/>
  <c r="U9" i="25"/>
  <c r="E21" i="43" s="1"/>
  <c r="U7" i="21"/>
  <c r="O5" i="43"/>
  <c r="R5" i="43" s="1"/>
  <c r="X21" i="7"/>
  <c r="AM14" i="43" s="1"/>
  <c r="U21" i="7"/>
  <c r="C26" i="41"/>
  <c r="U31" i="13"/>
  <c r="U31" i="27"/>
  <c r="H23" i="43"/>
  <c r="M23" i="43" s="1"/>
  <c r="O81" i="8"/>
  <c r="O82" i="8" s="1"/>
  <c r="O81" i="7"/>
  <c r="O82" i="7" s="1"/>
  <c r="O58" i="3"/>
  <c r="O60" i="3" s="1"/>
  <c r="U56" i="3" s="1"/>
  <c r="C6" i="39" s="1"/>
  <c r="O57" i="3"/>
  <c r="O108" i="3"/>
  <c r="O110" i="3" s="1"/>
  <c r="U106" i="3" s="1"/>
  <c r="O107" i="3"/>
  <c r="O118" i="3" s="1"/>
  <c r="U110" i="3" s="1"/>
  <c r="H6" i="44" s="1"/>
  <c r="O58" i="27"/>
  <c r="O60" i="27" s="1"/>
  <c r="U56" i="27" s="1"/>
  <c r="O57" i="27"/>
  <c r="O68" i="27" s="1"/>
  <c r="U60" i="27" s="1"/>
  <c r="H10" i="39" s="1"/>
  <c r="O32" i="7"/>
  <c r="O43" i="7" s="1"/>
  <c r="U35" i="7" s="1"/>
  <c r="H14" i="41" s="1"/>
  <c r="O33" i="7"/>
  <c r="O35" i="7" s="1"/>
  <c r="U31" i="7" s="1"/>
  <c r="O57" i="7"/>
  <c r="O68" i="7" s="1"/>
  <c r="U60" i="7" s="1"/>
  <c r="H14" i="39" s="1"/>
  <c r="O58" i="7"/>
  <c r="O60" i="7" s="1"/>
  <c r="U56" i="7" s="1"/>
  <c r="O107" i="7"/>
  <c r="O118" i="7" s="1"/>
  <c r="U110" i="7" s="1"/>
  <c r="H14" i="44" s="1"/>
  <c r="O108" i="7"/>
  <c r="O110" i="7" s="1"/>
  <c r="U106" i="7" s="1"/>
  <c r="O32" i="8"/>
  <c r="O43" i="8" s="1"/>
  <c r="U35" i="8" s="1"/>
  <c r="H7" i="41" s="1"/>
  <c r="O33" i="8"/>
  <c r="O35" i="8" s="1"/>
  <c r="U31" i="8" s="1"/>
  <c r="R16" i="7"/>
  <c r="T14" i="43"/>
  <c r="W14" i="43" s="1"/>
  <c r="T32" i="43"/>
  <c r="W32" i="43" s="1"/>
  <c r="R65" i="20"/>
  <c r="C13" i="43"/>
  <c r="F13" i="43" s="1"/>
  <c r="AK13" i="43" s="1"/>
  <c r="O37" i="21"/>
  <c r="R82" i="22"/>
  <c r="R86" i="22" s="1"/>
  <c r="U91" i="22" s="1"/>
  <c r="O19" i="40" s="1"/>
  <c r="R115" i="32"/>
  <c r="C23" i="43"/>
  <c r="F23" i="43" s="1"/>
  <c r="AK23" i="43" s="1"/>
  <c r="O32" i="43"/>
  <c r="R32" i="43" s="1"/>
  <c r="R15" i="7"/>
  <c r="H5" i="43"/>
  <c r="M5" i="43" s="1"/>
  <c r="C35" i="43"/>
  <c r="F35" i="43" s="1"/>
  <c r="AK35" i="43" s="1"/>
  <c r="AM35" i="43" s="1"/>
  <c r="C19" i="44"/>
  <c r="C6" i="43"/>
  <c r="F6" i="43" s="1"/>
  <c r="AK6" i="43" s="1"/>
  <c r="AM6" i="43" s="1"/>
  <c r="T14" i="44"/>
  <c r="R107" i="15"/>
  <c r="R111" i="15" s="1"/>
  <c r="U116" i="15" s="1"/>
  <c r="O17" i="44" s="1"/>
  <c r="R65" i="17"/>
  <c r="R115" i="18"/>
  <c r="R107" i="18"/>
  <c r="R111" i="18" s="1"/>
  <c r="U116" i="18" s="1"/>
  <c r="O25" i="44" s="1"/>
  <c r="R57" i="19"/>
  <c r="R61" i="19" s="1"/>
  <c r="U66" i="19" s="1"/>
  <c r="O9" i="39" s="1"/>
  <c r="R57" i="22"/>
  <c r="R61" i="22" s="1"/>
  <c r="U66" i="22" s="1"/>
  <c r="O19" i="39" s="1"/>
  <c r="R65" i="22"/>
  <c r="R65" i="26"/>
  <c r="O62" i="28"/>
  <c r="R57" i="31"/>
  <c r="R61" i="31" s="1"/>
  <c r="U66" i="31" s="1"/>
  <c r="O22" i="39" s="1"/>
  <c r="C36" i="43"/>
  <c r="F36" i="43" s="1"/>
  <c r="AK36" i="43" s="1"/>
  <c r="AM36" i="43" s="1"/>
  <c r="C10" i="43"/>
  <c r="F10" i="43" s="1"/>
  <c r="AK10" i="43" s="1"/>
  <c r="AM10" i="43" s="1"/>
  <c r="R32" i="16"/>
  <c r="R36" i="16" s="1"/>
  <c r="R39" i="16" s="1"/>
  <c r="R32" i="8"/>
  <c r="R36" i="8" s="1"/>
  <c r="R39" i="8" s="1"/>
  <c r="R57" i="17"/>
  <c r="R61" i="17" s="1"/>
  <c r="U66" i="17" s="1"/>
  <c r="O36" i="39" s="1"/>
  <c r="R57" i="20"/>
  <c r="R61" i="20" s="1"/>
  <c r="U66" i="20" s="1"/>
  <c r="O18" i="39" s="1"/>
  <c r="R114" i="21"/>
  <c r="U118" i="21" s="1"/>
  <c r="Q29" i="44" s="1"/>
  <c r="R90" i="22"/>
  <c r="X83" i="22" s="1"/>
  <c r="V19" i="40" s="1"/>
  <c r="O107" i="30"/>
  <c r="O118" i="30" s="1"/>
  <c r="U110" i="30" s="1"/>
  <c r="H27" i="44" s="1"/>
  <c r="R107" i="32"/>
  <c r="R111" i="32" s="1"/>
  <c r="U116" i="32" s="1"/>
  <c r="O12" i="44" s="1"/>
  <c r="R15" i="21"/>
  <c r="C31" i="43"/>
  <c r="F31" i="43" s="1"/>
  <c r="AK31" i="43" s="1"/>
  <c r="AM31" i="43" s="1"/>
  <c r="C34" i="43"/>
  <c r="F34" i="43" s="1"/>
  <c r="AK34" i="43" s="1"/>
  <c r="AM34" i="43" s="1"/>
  <c r="C33" i="43"/>
  <c r="F33" i="43" s="1"/>
  <c r="AK33" i="43" s="1"/>
  <c r="AM33" i="43" s="1"/>
  <c r="C21" i="43"/>
  <c r="F21" i="43" s="1"/>
  <c r="AK21" i="43" s="1"/>
  <c r="AM21" i="43" s="1"/>
  <c r="R57" i="30"/>
  <c r="R61" i="30" s="1"/>
  <c r="U66" i="30" s="1"/>
  <c r="O27" i="39" s="1"/>
  <c r="O112" i="28"/>
  <c r="R40" i="27"/>
  <c r="R57" i="27"/>
  <c r="R61" i="27" s="1"/>
  <c r="U66" i="27" s="1"/>
  <c r="O10" i="39" s="1"/>
  <c r="R65" i="27"/>
  <c r="R57" i="26"/>
  <c r="R61" i="26" s="1"/>
  <c r="U66" i="26" s="1"/>
  <c r="O30" i="39" s="1"/>
  <c r="O62" i="24"/>
  <c r="R64" i="24"/>
  <c r="U68" i="24" s="1"/>
  <c r="Q26" i="39" s="1"/>
  <c r="R26" i="39" s="1"/>
  <c r="R115" i="24"/>
  <c r="O57" i="24"/>
  <c r="O68" i="24" s="1"/>
  <c r="U60" i="24" s="1"/>
  <c r="H26" i="39" s="1"/>
  <c r="R65" i="23"/>
  <c r="O87" i="22"/>
  <c r="U83" i="22" s="1"/>
  <c r="R115" i="21"/>
  <c r="R107" i="14"/>
  <c r="R111" i="14" s="1"/>
  <c r="U116" i="14" s="1"/>
  <c r="O34" i="44" s="1"/>
  <c r="R57" i="14"/>
  <c r="R61" i="14" s="1"/>
  <c r="U66" i="14" s="1"/>
  <c r="O34" i="39" s="1"/>
  <c r="R65" i="14"/>
  <c r="R65" i="13"/>
  <c r="O44" i="12"/>
  <c r="R107" i="11"/>
  <c r="R111" i="11" s="1"/>
  <c r="U116" i="11" s="1"/>
  <c r="O16" i="44" s="1"/>
  <c r="O112" i="9"/>
  <c r="R57" i="9"/>
  <c r="R61" i="9" s="1"/>
  <c r="U66" i="9" s="1"/>
  <c r="O8" i="39" s="1"/>
  <c r="R107" i="7"/>
  <c r="R111" i="7" s="1"/>
  <c r="U116" i="7" s="1"/>
  <c r="O14" i="44" s="1"/>
  <c r="R40" i="16"/>
  <c r="R115" i="16"/>
  <c r="R65" i="15"/>
  <c r="R114" i="15"/>
  <c r="U118" i="15" s="1"/>
  <c r="Q17" i="44" s="1"/>
  <c r="R57" i="15"/>
  <c r="R61" i="15" s="1"/>
  <c r="U66" i="15" s="1"/>
  <c r="O17" i="39" s="1"/>
  <c r="R57" i="25"/>
  <c r="R61" i="25" s="1"/>
  <c r="U66" i="25" s="1"/>
  <c r="O21" i="39" s="1"/>
  <c r="R115" i="13"/>
  <c r="R40" i="12"/>
  <c r="R57" i="11"/>
  <c r="R61" i="11" s="1"/>
  <c r="U66" i="11" s="1"/>
  <c r="O16" i="39" s="1"/>
  <c r="R115" i="11"/>
  <c r="O112" i="10"/>
  <c r="R57" i="10"/>
  <c r="R61" i="10" s="1"/>
  <c r="U66" i="10" s="1"/>
  <c r="O15" i="39" s="1"/>
  <c r="O107" i="9"/>
  <c r="O118" i="9" s="1"/>
  <c r="U110" i="9" s="1"/>
  <c r="H8" i="44" s="1"/>
  <c r="O68" i="8"/>
  <c r="U60" i="8" s="1"/>
  <c r="H7" i="39" s="1"/>
  <c r="O118" i="8"/>
  <c r="U110" i="8" s="1"/>
  <c r="H7" i="44" s="1"/>
  <c r="O81" i="32"/>
  <c r="R81" i="32"/>
  <c r="R83" i="32" s="1"/>
  <c r="R87" i="32" s="1"/>
  <c r="X81" i="32" s="1"/>
  <c r="O112" i="32"/>
  <c r="R65" i="32"/>
  <c r="O107" i="32"/>
  <c r="O118" i="32" s="1"/>
  <c r="U110" i="32" s="1"/>
  <c r="H12" i="44" s="1"/>
  <c r="O58" i="32"/>
  <c r="O60" i="32" s="1"/>
  <c r="U56" i="32" s="1"/>
  <c r="O57" i="32"/>
  <c r="O68" i="32" s="1"/>
  <c r="U60" i="32" s="1"/>
  <c r="H12" i="39" s="1"/>
  <c r="R57" i="32"/>
  <c r="R61" i="32" s="1"/>
  <c r="U66" i="32" s="1"/>
  <c r="O12" i="39" s="1"/>
  <c r="R81" i="31"/>
  <c r="R83" i="31" s="1"/>
  <c r="R87" i="31" s="1"/>
  <c r="X81" i="31" s="1"/>
  <c r="O108" i="31"/>
  <c r="O110" i="31" s="1"/>
  <c r="U106" i="31" s="1"/>
  <c r="O107" i="31"/>
  <c r="O118" i="31" s="1"/>
  <c r="U110" i="31" s="1"/>
  <c r="H22" i="44" s="1"/>
  <c r="R32" i="31"/>
  <c r="R36" i="31" s="1"/>
  <c r="U41" i="31" s="1"/>
  <c r="O22" i="41" s="1"/>
  <c r="O69" i="31"/>
  <c r="O81" i="31"/>
  <c r="R81" i="30"/>
  <c r="R83" i="30" s="1"/>
  <c r="R87" i="30" s="1"/>
  <c r="X81" i="30" s="1"/>
  <c r="R107" i="30"/>
  <c r="R111" i="30" s="1"/>
  <c r="U116" i="30" s="1"/>
  <c r="O27" i="44" s="1"/>
  <c r="O81" i="30"/>
  <c r="O83" i="30" s="1"/>
  <c r="O85" i="30" s="1"/>
  <c r="U81" i="30" s="1"/>
  <c r="R65" i="30"/>
  <c r="R115" i="30"/>
  <c r="O112" i="30"/>
  <c r="O83" i="29"/>
  <c r="O85" i="29" s="1"/>
  <c r="U81" i="29" s="1"/>
  <c r="O82" i="29"/>
  <c r="O93" i="29" s="1"/>
  <c r="U85" i="29" s="1"/>
  <c r="H31" i="40" s="1"/>
  <c r="O108" i="29"/>
  <c r="O110" i="29" s="1"/>
  <c r="U106" i="29" s="1"/>
  <c r="O107" i="29"/>
  <c r="O118" i="29" s="1"/>
  <c r="U110" i="29" s="1"/>
  <c r="H31" i="44" s="1"/>
  <c r="R65" i="29"/>
  <c r="R57" i="29"/>
  <c r="R61" i="29" s="1"/>
  <c r="U66" i="29" s="1"/>
  <c r="O31" i="39" s="1"/>
  <c r="O58" i="29"/>
  <c r="O60" i="29" s="1"/>
  <c r="U56" i="29" s="1"/>
  <c r="O57" i="29"/>
  <c r="O68" i="29" s="1"/>
  <c r="U60" i="29" s="1"/>
  <c r="H31" i="39" s="1"/>
  <c r="R81" i="29"/>
  <c r="R83" i="29" s="1"/>
  <c r="R87" i="29" s="1"/>
  <c r="X81" i="29" s="1"/>
  <c r="R107" i="29"/>
  <c r="R111" i="29" s="1"/>
  <c r="U116" i="29" s="1"/>
  <c r="O31" i="44" s="1"/>
  <c r="R115" i="29"/>
  <c r="O37" i="28"/>
  <c r="U33" i="28" s="1"/>
  <c r="E11" i="41" s="1"/>
  <c r="R32" i="28"/>
  <c r="R36" i="28" s="1"/>
  <c r="R39" i="28" s="1"/>
  <c r="R81" i="28"/>
  <c r="R83" i="28" s="1"/>
  <c r="R87" i="28" s="1"/>
  <c r="X81" i="28" s="1"/>
  <c r="R107" i="28"/>
  <c r="R111" i="28" s="1"/>
  <c r="U116" i="28" s="1"/>
  <c r="O11" i="44" s="1"/>
  <c r="O119" i="28"/>
  <c r="U114" i="28" s="1"/>
  <c r="L11" i="44" s="1"/>
  <c r="M11" i="44" s="1"/>
  <c r="R65" i="28"/>
  <c r="R57" i="28"/>
  <c r="R61" i="28" s="1"/>
  <c r="U66" i="28" s="1"/>
  <c r="O11" i="39" s="1"/>
  <c r="R115" i="28"/>
  <c r="C11" i="39"/>
  <c r="R81" i="27"/>
  <c r="R83" i="27" s="1"/>
  <c r="R87" i="27" s="1"/>
  <c r="X81" i="27" s="1"/>
  <c r="O44" i="27"/>
  <c r="O107" i="27"/>
  <c r="O118" i="27" s="1"/>
  <c r="U110" i="27" s="1"/>
  <c r="H10" i="44" s="1"/>
  <c r="R115" i="27"/>
  <c r="R32" i="27"/>
  <c r="R36" i="27" s="1"/>
  <c r="U41" i="27" s="1"/>
  <c r="O10" i="41" s="1"/>
  <c r="R107" i="27"/>
  <c r="R111" i="27" s="1"/>
  <c r="U116" i="27" s="1"/>
  <c r="O10" i="44" s="1"/>
  <c r="O81" i="27"/>
  <c r="R81" i="26"/>
  <c r="R83" i="26" s="1"/>
  <c r="R87" i="26" s="1"/>
  <c r="X81" i="26" s="1"/>
  <c r="O108" i="26"/>
  <c r="O110" i="26" s="1"/>
  <c r="U106" i="26" s="1"/>
  <c r="O107" i="26"/>
  <c r="O118" i="26" s="1"/>
  <c r="U110" i="26" s="1"/>
  <c r="H30" i="44" s="1"/>
  <c r="O58" i="26"/>
  <c r="O60" i="26" s="1"/>
  <c r="U56" i="26" s="1"/>
  <c r="O57" i="26"/>
  <c r="O68" i="26" s="1"/>
  <c r="U60" i="26" s="1"/>
  <c r="H30" i="39" s="1"/>
  <c r="R107" i="26"/>
  <c r="R111" i="26" s="1"/>
  <c r="U116" i="26" s="1"/>
  <c r="O30" i="44" s="1"/>
  <c r="O81" i="26"/>
  <c r="O108" i="25"/>
  <c r="O110" i="25" s="1"/>
  <c r="U106" i="25" s="1"/>
  <c r="O107" i="25"/>
  <c r="O118" i="25" s="1"/>
  <c r="U110" i="25" s="1"/>
  <c r="H21" i="44" s="1"/>
  <c r="O81" i="25"/>
  <c r="R65" i="25"/>
  <c r="R115" i="25"/>
  <c r="R107" i="25"/>
  <c r="R111" i="25" s="1"/>
  <c r="U116" i="25" s="1"/>
  <c r="O21" i="44" s="1"/>
  <c r="O58" i="25"/>
  <c r="O60" i="25" s="1"/>
  <c r="U56" i="25" s="1"/>
  <c r="O57" i="25"/>
  <c r="O68" i="25" s="1"/>
  <c r="U60" i="25" s="1"/>
  <c r="H21" i="39" s="1"/>
  <c r="R81" i="25"/>
  <c r="R83" i="25" s="1"/>
  <c r="R87" i="25" s="1"/>
  <c r="X81" i="25" s="1"/>
  <c r="C26" i="39"/>
  <c r="R81" i="24"/>
  <c r="R83" i="24" s="1"/>
  <c r="R87" i="24" s="1"/>
  <c r="X81" i="24" s="1"/>
  <c r="O107" i="24"/>
  <c r="O118" i="24" s="1"/>
  <c r="U110" i="24" s="1"/>
  <c r="H26" i="44" s="1"/>
  <c r="O81" i="24"/>
  <c r="O83" i="24" s="1"/>
  <c r="O85" i="24" s="1"/>
  <c r="U81" i="24" s="1"/>
  <c r="O112" i="24"/>
  <c r="R107" i="24"/>
  <c r="R111" i="24" s="1"/>
  <c r="U116" i="24" s="1"/>
  <c r="O26" i="44" s="1"/>
  <c r="R65" i="24"/>
  <c r="O83" i="23"/>
  <c r="O85" i="23" s="1"/>
  <c r="U81" i="23" s="1"/>
  <c r="O82" i="23"/>
  <c r="O93" i="23" s="1"/>
  <c r="U85" i="23" s="1"/>
  <c r="H20" i="40" s="1"/>
  <c r="O108" i="23"/>
  <c r="O110" i="23" s="1"/>
  <c r="U106" i="23" s="1"/>
  <c r="O107" i="23"/>
  <c r="O118" i="23" s="1"/>
  <c r="U110" i="23" s="1"/>
  <c r="H20" i="44" s="1"/>
  <c r="O58" i="23"/>
  <c r="O60" i="23" s="1"/>
  <c r="U56" i="23" s="1"/>
  <c r="O57" i="23"/>
  <c r="O68" i="23" s="1"/>
  <c r="U60" i="23" s="1"/>
  <c r="H20" i="39" s="1"/>
  <c r="R81" i="23"/>
  <c r="R83" i="23" s="1"/>
  <c r="R87" i="23" s="1"/>
  <c r="X81" i="23" s="1"/>
  <c r="R57" i="23"/>
  <c r="R61" i="23" s="1"/>
  <c r="U66" i="23" s="1"/>
  <c r="O20" i="39" s="1"/>
  <c r="R107" i="23"/>
  <c r="R111" i="23" s="1"/>
  <c r="U116" i="23" s="1"/>
  <c r="O20" i="44" s="1"/>
  <c r="R115" i="23"/>
  <c r="O94" i="22"/>
  <c r="U89" i="22" s="1"/>
  <c r="L19" i="40" s="1"/>
  <c r="O58" i="22"/>
  <c r="O60" i="22" s="1"/>
  <c r="U56" i="22" s="1"/>
  <c r="O57" i="22"/>
  <c r="O68" i="22" s="1"/>
  <c r="U60" i="22" s="1"/>
  <c r="H19" i="39" s="1"/>
  <c r="C19" i="40"/>
  <c r="T19" i="40"/>
  <c r="R40" i="21"/>
  <c r="O58" i="21"/>
  <c r="O60" i="21" s="1"/>
  <c r="U56" i="21" s="1"/>
  <c r="O57" i="21"/>
  <c r="O68" i="21" s="1"/>
  <c r="U60" i="21" s="1"/>
  <c r="H29" i="39" s="1"/>
  <c r="R32" i="21"/>
  <c r="R36" i="21" s="1"/>
  <c r="U41" i="21" s="1"/>
  <c r="O29" i="41" s="1"/>
  <c r="R65" i="21"/>
  <c r="O108" i="21"/>
  <c r="O110" i="21" s="1"/>
  <c r="U106" i="21" s="1"/>
  <c r="O107" i="21"/>
  <c r="O118" i="21" s="1"/>
  <c r="U110" i="21" s="1"/>
  <c r="H29" i="44" s="1"/>
  <c r="O44" i="21"/>
  <c r="O81" i="21"/>
  <c r="R81" i="21"/>
  <c r="R83" i="21" s="1"/>
  <c r="R87" i="21" s="1"/>
  <c r="X81" i="21" s="1"/>
  <c r="R57" i="21"/>
  <c r="R61" i="21" s="1"/>
  <c r="U66" i="21" s="1"/>
  <c r="O29" i="39" s="1"/>
  <c r="O82" i="20"/>
  <c r="O93" i="20" s="1"/>
  <c r="U85" i="20" s="1"/>
  <c r="H18" i="40" s="1"/>
  <c r="R81" i="20"/>
  <c r="R83" i="20" s="1"/>
  <c r="R87" i="20" s="1"/>
  <c r="X81" i="20" s="1"/>
  <c r="O37" i="20"/>
  <c r="R107" i="20"/>
  <c r="R111" i="20" s="1"/>
  <c r="U116" i="20" s="1"/>
  <c r="O18" i="44" s="1"/>
  <c r="R40" i="20"/>
  <c r="O58" i="20"/>
  <c r="O60" i="20" s="1"/>
  <c r="U56" i="20" s="1"/>
  <c r="O57" i="20"/>
  <c r="O68" i="20" s="1"/>
  <c r="U60" i="20" s="1"/>
  <c r="H18" i="39" s="1"/>
  <c r="R81" i="19"/>
  <c r="R83" i="19" s="1"/>
  <c r="R87" i="19" s="1"/>
  <c r="X81" i="19" s="1"/>
  <c r="O58" i="19"/>
  <c r="O60" i="19" s="1"/>
  <c r="U56" i="19" s="1"/>
  <c r="O57" i="19"/>
  <c r="O68" i="19" s="1"/>
  <c r="U60" i="19" s="1"/>
  <c r="H9" i="39" s="1"/>
  <c r="Y4" i="41"/>
  <c r="O108" i="19"/>
  <c r="O110" i="19" s="1"/>
  <c r="U106" i="19" s="1"/>
  <c r="O107" i="19"/>
  <c r="O118" i="19" s="1"/>
  <c r="U110" i="19" s="1"/>
  <c r="H9" i="44" s="1"/>
  <c r="R107" i="19"/>
  <c r="R111" i="19" s="1"/>
  <c r="U116" i="19" s="1"/>
  <c r="O9" i="44" s="1"/>
  <c r="O83" i="18"/>
  <c r="O85" i="18" s="1"/>
  <c r="U81" i="18" s="1"/>
  <c r="O82" i="18"/>
  <c r="O93" i="18" s="1"/>
  <c r="U85" i="18" s="1"/>
  <c r="H25" i="40" s="1"/>
  <c r="R81" i="18"/>
  <c r="R83" i="18" s="1"/>
  <c r="R87" i="18" s="1"/>
  <c r="X81" i="18" s="1"/>
  <c r="O108" i="18"/>
  <c r="O110" i="18" s="1"/>
  <c r="U106" i="18" s="1"/>
  <c r="O107" i="18"/>
  <c r="O118" i="18" s="1"/>
  <c r="U110" i="18" s="1"/>
  <c r="H25" i="44" s="1"/>
  <c r="O58" i="18"/>
  <c r="O60" i="18" s="1"/>
  <c r="U56" i="18" s="1"/>
  <c r="O57" i="18"/>
  <c r="O68" i="18" s="1"/>
  <c r="U60" i="18" s="1"/>
  <c r="H25" i="39" s="1"/>
  <c r="R65" i="18"/>
  <c r="R57" i="18"/>
  <c r="R61" i="18" s="1"/>
  <c r="U66" i="18" s="1"/>
  <c r="O25" i="39" s="1"/>
  <c r="R40" i="17"/>
  <c r="R81" i="17"/>
  <c r="R83" i="17" s="1"/>
  <c r="R87" i="17" s="1"/>
  <c r="X81" i="17" s="1"/>
  <c r="O107" i="17"/>
  <c r="O118" i="17" s="1"/>
  <c r="U110" i="17" s="1"/>
  <c r="H36" i="44" s="1"/>
  <c r="O58" i="17"/>
  <c r="O60" i="17" s="1"/>
  <c r="U56" i="17" s="1"/>
  <c r="O57" i="17"/>
  <c r="O68" i="17" s="1"/>
  <c r="U60" i="17" s="1"/>
  <c r="H36" i="39" s="1"/>
  <c r="O81" i="17"/>
  <c r="R32" i="17"/>
  <c r="R36" i="17" s="1"/>
  <c r="U41" i="17" s="1"/>
  <c r="O36" i="41" s="1"/>
  <c r="O112" i="17"/>
  <c r="R65" i="16"/>
  <c r="O112" i="16"/>
  <c r="O58" i="16"/>
  <c r="O60" i="16" s="1"/>
  <c r="U56" i="16" s="1"/>
  <c r="O57" i="16"/>
  <c r="O68" i="16" s="1"/>
  <c r="U60" i="16" s="1"/>
  <c r="H35" i="39" s="1"/>
  <c r="R57" i="16"/>
  <c r="R61" i="16" s="1"/>
  <c r="U66" i="16" s="1"/>
  <c r="O35" i="39" s="1"/>
  <c r="R81" i="16"/>
  <c r="R83" i="16" s="1"/>
  <c r="R87" i="16" s="1"/>
  <c r="X81" i="16" s="1"/>
  <c r="R107" i="16"/>
  <c r="R111" i="16" s="1"/>
  <c r="U116" i="16" s="1"/>
  <c r="O35" i="44" s="1"/>
  <c r="O81" i="16"/>
  <c r="O83" i="15"/>
  <c r="O85" i="15" s="1"/>
  <c r="U81" i="15" s="1"/>
  <c r="O108" i="15"/>
  <c r="O110" i="15" s="1"/>
  <c r="U106" i="15" s="1"/>
  <c r="O107" i="15"/>
  <c r="O118" i="15" s="1"/>
  <c r="U110" i="15" s="1"/>
  <c r="H17" i="44" s="1"/>
  <c r="R81" i="15"/>
  <c r="R83" i="15" s="1"/>
  <c r="R87" i="15" s="1"/>
  <c r="X81" i="15" s="1"/>
  <c r="R115" i="15"/>
  <c r="O69" i="15"/>
  <c r="U64" i="15" s="1"/>
  <c r="L17" i="39" s="1"/>
  <c r="C34" i="40"/>
  <c r="O58" i="14"/>
  <c r="O60" i="14" s="1"/>
  <c r="U56" i="14" s="1"/>
  <c r="O57" i="14"/>
  <c r="O68" i="14" s="1"/>
  <c r="U60" i="14" s="1"/>
  <c r="H34" i="39" s="1"/>
  <c r="O82" i="14"/>
  <c r="O93" i="14" s="1"/>
  <c r="U85" i="14" s="1"/>
  <c r="H34" i="40" s="1"/>
  <c r="R81" i="14"/>
  <c r="R83" i="14" s="1"/>
  <c r="R87" i="14" s="1"/>
  <c r="X81" i="14" s="1"/>
  <c r="O108" i="14"/>
  <c r="O110" i="14" s="1"/>
  <c r="U106" i="14" s="1"/>
  <c r="O107" i="14"/>
  <c r="O118" i="14" s="1"/>
  <c r="U110" i="14" s="1"/>
  <c r="H34" i="44" s="1"/>
  <c r="O87" i="14"/>
  <c r="U83" i="14" s="1"/>
  <c r="E34" i="40" s="1"/>
  <c r="R115" i="14"/>
  <c r="T34" i="44"/>
  <c r="O58" i="13"/>
  <c r="O60" i="13" s="1"/>
  <c r="U56" i="13" s="1"/>
  <c r="O57" i="13"/>
  <c r="O68" i="13" s="1"/>
  <c r="U60" i="13" s="1"/>
  <c r="H24" i="39" s="1"/>
  <c r="R81" i="13"/>
  <c r="R83" i="13" s="1"/>
  <c r="R87" i="13" s="1"/>
  <c r="X81" i="13" s="1"/>
  <c r="O108" i="13"/>
  <c r="O110" i="13" s="1"/>
  <c r="U106" i="13" s="1"/>
  <c r="O107" i="13"/>
  <c r="O118" i="13" s="1"/>
  <c r="U110" i="13" s="1"/>
  <c r="H24" i="44" s="1"/>
  <c r="O81" i="13"/>
  <c r="R57" i="13"/>
  <c r="R61" i="13" s="1"/>
  <c r="U66" i="13" s="1"/>
  <c r="O24" i="39" s="1"/>
  <c r="R107" i="13"/>
  <c r="R111" i="13" s="1"/>
  <c r="U116" i="13" s="1"/>
  <c r="O24" i="44" s="1"/>
  <c r="R81" i="12"/>
  <c r="R83" i="12" s="1"/>
  <c r="R87" i="12" s="1"/>
  <c r="X81" i="12" s="1"/>
  <c r="O62" i="12"/>
  <c r="O108" i="12"/>
  <c r="O110" i="12" s="1"/>
  <c r="U106" i="12" s="1"/>
  <c r="O107" i="12"/>
  <c r="O118" i="12" s="1"/>
  <c r="U110" i="12" s="1"/>
  <c r="H33" i="44" s="1"/>
  <c r="R65" i="12"/>
  <c r="R57" i="12"/>
  <c r="R61" i="12" s="1"/>
  <c r="U66" i="12" s="1"/>
  <c r="O33" i="39" s="1"/>
  <c r="O57" i="12"/>
  <c r="O68" i="12" s="1"/>
  <c r="U60" i="12" s="1"/>
  <c r="H33" i="39" s="1"/>
  <c r="R107" i="12"/>
  <c r="R111" i="12" s="1"/>
  <c r="U116" i="12" s="1"/>
  <c r="O33" i="44" s="1"/>
  <c r="C33" i="39"/>
  <c r="O81" i="12"/>
  <c r="O108" i="11"/>
  <c r="O110" i="11" s="1"/>
  <c r="U106" i="11" s="1"/>
  <c r="O107" i="11"/>
  <c r="O118" i="11" s="1"/>
  <c r="U110" i="11" s="1"/>
  <c r="H16" i="44" s="1"/>
  <c r="C16" i="39"/>
  <c r="R65" i="11"/>
  <c r="O81" i="11"/>
  <c r="R81" i="11"/>
  <c r="R83" i="11" s="1"/>
  <c r="R87" i="11" s="1"/>
  <c r="X81" i="11" s="1"/>
  <c r="O62" i="11"/>
  <c r="O69" i="11"/>
  <c r="R107" i="10"/>
  <c r="R111" i="10" s="1"/>
  <c r="U116" i="10" s="1"/>
  <c r="O15" i="44" s="1"/>
  <c r="R115" i="10"/>
  <c r="O58" i="10"/>
  <c r="O60" i="10" s="1"/>
  <c r="U56" i="10" s="1"/>
  <c r="O57" i="10"/>
  <c r="O68" i="10" s="1"/>
  <c r="U60" i="10" s="1"/>
  <c r="H15" i="39" s="1"/>
  <c r="O119" i="10"/>
  <c r="U114" i="10" s="1"/>
  <c r="L15" i="44" s="1"/>
  <c r="M15" i="44" s="1"/>
  <c r="R81" i="10"/>
  <c r="R83" i="10" s="1"/>
  <c r="R87" i="10" s="1"/>
  <c r="X81" i="10" s="1"/>
  <c r="O81" i="10"/>
  <c r="O83" i="10" s="1"/>
  <c r="O85" i="10" s="1"/>
  <c r="U81" i="10" s="1"/>
  <c r="R65" i="10"/>
  <c r="R107" i="9"/>
  <c r="R111" i="9" s="1"/>
  <c r="U116" i="9" s="1"/>
  <c r="O8" i="44" s="1"/>
  <c r="R115" i="9"/>
  <c r="R65" i="9"/>
  <c r="R81" i="8"/>
  <c r="R83" i="8" s="1"/>
  <c r="R87" i="8" s="1"/>
  <c r="X81" i="8" s="1"/>
  <c r="R40" i="8"/>
  <c r="R107" i="8"/>
  <c r="R111" i="8" s="1"/>
  <c r="U116" i="8" s="1"/>
  <c r="O7" i="44" s="1"/>
  <c r="C7" i="39"/>
  <c r="R57" i="8"/>
  <c r="R61" i="8" s="1"/>
  <c r="U66" i="8" s="1"/>
  <c r="O7" i="39" s="1"/>
  <c r="O62" i="8"/>
  <c r="U58" i="8" s="1"/>
  <c r="R115" i="8"/>
  <c r="R65" i="8"/>
  <c r="R40" i="3"/>
  <c r="R115" i="7"/>
  <c r="R62" i="7"/>
  <c r="R81" i="7"/>
  <c r="R83" i="7" s="1"/>
  <c r="R87" i="7" s="1"/>
  <c r="X81" i="7" s="1"/>
  <c r="C14" i="39"/>
  <c r="O68" i="3"/>
  <c r="U60" i="3" s="1"/>
  <c r="H6" i="39" s="1"/>
  <c r="R62" i="3"/>
  <c r="R108" i="3"/>
  <c r="R112" i="3" s="1"/>
  <c r="X106" i="3" s="1"/>
  <c r="T6" i="44" s="1"/>
  <c r="R107" i="3"/>
  <c r="R111" i="3" s="1"/>
  <c r="U116" i="3" s="1"/>
  <c r="O6" i="44" s="1"/>
  <c r="R37" i="7"/>
  <c r="R32" i="9"/>
  <c r="R36" i="9" s="1"/>
  <c r="U41" i="9" s="1"/>
  <c r="O8" i="41" s="1"/>
  <c r="R40" i="9"/>
  <c r="R32" i="18"/>
  <c r="R36" i="18" s="1"/>
  <c r="U41" i="18" s="1"/>
  <c r="O25" i="41" s="1"/>
  <c r="O44" i="28"/>
  <c r="R32" i="13"/>
  <c r="R36" i="13" s="1"/>
  <c r="U41" i="13" s="1"/>
  <c r="O24" i="41" s="1"/>
  <c r="O33" i="25"/>
  <c r="O35" i="25" s="1"/>
  <c r="U31" i="25" s="1"/>
  <c r="O32" i="25"/>
  <c r="O43" i="25" s="1"/>
  <c r="U35" i="25" s="1"/>
  <c r="H21" i="41" s="1"/>
  <c r="O33" i="11"/>
  <c r="O35" i="11" s="1"/>
  <c r="U31" i="11" s="1"/>
  <c r="O32" i="11"/>
  <c r="O43" i="11" s="1"/>
  <c r="U35" i="11" s="1"/>
  <c r="H16" i="41" s="1"/>
  <c r="O32" i="16"/>
  <c r="O43" i="16" s="1"/>
  <c r="U35" i="16" s="1"/>
  <c r="H35" i="41" s="1"/>
  <c r="O33" i="15"/>
  <c r="O35" i="15" s="1"/>
  <c r="U31" i="15" s="1"/>
  <c r="O32" i="15"/>
  <c r="O43" i="15" s="1"/>
  <c r="U35" i="15" s="1"/>
  <c r="H17" i="41" s="1"/>
  <c r="O33" i="19"/>
  <c r="O35" i="19" s="1"/>
  <c r="U31" i="19" s="1"/>
  <c r="O32" i="19"/>
  <c r="O43" i="19" s="1"/>
  <c r="U35" i="19" s="1"/>
  <c r="H9" i="41" s="1"/>
  <c r="R32" i="15"/>
  <c r="R36" i="15" s="1"/>
  <c r="U41" i="15" s="1"/>
  <c r="O17" i="41" s="1"/>
  <c r="R32" i="20"/>
  <c r="R36" i="20" s="1"/>
  <c r="U41" i="20" s="1"/>
  <c r="O18" i="41" s="1"/>
  <c r="O44" i="13"/>
  <c r="R39" i="23"/>
  <c r="R40" i="14"/>
  <c r="R32" i="14"/>
  <c r="R36" i="14" s="1"/>
  <c r="U41" i="14" s="1"/>
  <c r="O34" i="41" s="1"/>
  <c r="R32" i="12"/>
  <c r="R36" i="12" s="1"/>
  <c r="U41" i="12" s="1"/>
  <c r="O33" i="41" s="1"/>
  <c r="R32" i="29"/>
  <c r="R36" i="29" s="1"/>
  <c r="U41" i="29" s="1"/>
  <c r="O31" i="41" s="1"/>
  <c r="R32" i="30"/>
  <c r="R36" i="30" s="1"/>
  <c r="U41" i="30" s="1"/>
  <c r="O27" i="41" s="1"/>
  <c r="O44" i="17"/>
  <c r="O44" i="23"/>
  <c r="R40" i="22"/>
  <c r="R32" i="19"/>
  <c r="R36" i="19" s="1"/>
  <c r="U41" i="19" s="1"/>
  <c r="O9" i="41" s="1"/>
  <c r="O33" i="26"/>
  <c r="O35" i="26" s="1"/>
  <c r="U31" i="26" s="1"/>
  <c r="O32" i="26"/>
  <c r="O43" i="26" s="1"/>
  <c r="U35" i="26" s="1"/>
  <c r="H30" i="41" s="1"/>
  <c r="O33" i="18"/>
  <c r="O35" i="18" s="1"/>
  <c r="U31" i="18" s="1"/>
  <c r="O32" i="18"/>
  <c r="O43" i="18" s="1"/>
  <c r="U35" i="18" s="1"/>
  <c r="H25" i="41" s="1"/>
  <c r="R40" i="19"/>
  <c r="R32" i="11"/>
  <c r="R36" i="11" s="1"/>
  <c r="U41" i="11" s="1"/>
  <c r="O16" i="41" s="1"/>
  <c r="O44" i="32"/>
  <c r="O33" i="14"/>
  <c r="O35" i="14" s="1"/>
  <c r="U31" i="14" s="1"/>
  <c r="O32" i="14"/>
  <c r="O43" i="14" s="1"/>
  <c r="U35" i="14" s="1"/>
  <c r="H34" i="41" s="1"/>
  <c r="O37" i="16"/>
  <c r="O33" i="29"/>
  <c r="O35" i="29" s="1"/>
  <c r="U31" i="29" s="1"/>
  <c r="O32" i="29"/>
  <c r="O43" i="29" s="1"/>
  <c r="U35" i="29" s="1"/>
  <c r="H31" i="41" s="1"/>
  <c r="R40" i="31"/>
  <c r="O33" i="30"/>
  <c r="O35" i="30" s="1"/>
  <c r="U31" i="30" s="1"/>
  <c r="O32" i="30"/>
  <c r="O43" i="30" s="1"/>
  <c r="U35" i="30" s="1"/>
  <c r="H27" i="41" s="1"/>
  <c r="R32" i="26"/>
  <c r="R36" i="26" s="1"/>
  <c r="U41" i="26" s="1"/>
  <c r="O30" i="41" s="1"/>
  <c r="R40" i="13"/>
  <c r="R32" i="25"/>
  <c r="R36" i="25" s="1"/>
  <c r="U41" i="25" s="1"/>
  <c r="O21" i="41" s="1"/>
  <c r="O33" i="31"/>
  <c r="O35" i="31" s="1"/>
  <c r="O32" i="31"/>
  <c r="O43" i="31" s="1"/>
  <c r="U35" i="31" s="1"/>
  <c r="H22" i="41" s="1"/>
  <c r="R40" i="11"/>
  <c r="O33" i="9"/>
  <c r="O35" i="9" s="1"/>
  <c r="U31" i="9" s="1"/>
  <c r="O32" i="9"/>
  <c r="O43" i="9" s="1"/>
  <c r="U35" i="9" s="1"/>
  <c r="H8" i="41" s="1"/>
  <c r="R32" i="32"/>
  <c r="R36" i="32" s="1"/>
  <c r="U41" i="32" s="1"/>
  <c r="O12" i="41" s="1"/>
  <c r="R32" i="22"/>
  <c r="R36" i="22" s="1"/>
  <c r="U41" i="22" s="1"/>
  <c r="O19" i="41" s="1"/>
  <c r="R40" i="18"/>
  <c r="R40" i="25"/>
  <c r="R40" i="26"/>
  <c r="R40" i="15"/>
  <c r="O58" i="30"/>
  <c r="O60" i="30" s="1"/>
  <c r="U56" i="30" s="1"/>
  <c r="O57" i="30"/>
  <c r="O68" i="30" s="1"/>
  <c r="U60" i="30" s="1"/>
  <c r="H27" i="39" s="1"/>
  <c r="R81" i="9"/>
  <c r="R83" i="9" s="1"/>
  <c r="R87" i="9" s="1"/>
  <c r="X81" i="9" s="1"/>
  <c r="O81" i="9"/>
  <c r="O108" i="20"/>
  <c r="O110" i="20" s="1"/>
  <c r="U106" i="20" s="1"/>
  <c r="O107" i="20"/>
  <c r="O118" i="20" s="1"/>
  <c r="U110" i="20" s="1"/>
  <c r="H18" i="44" s="1"/>
  <c r="R115" i="20"/>
  <c r="R33" i="10"/>
  <c r="R32" i="10"/>
  <c r="O33" i="10"/>
  <c r="O35" i="10" s="1"/>
  <c r="U31" i="10" s="1"/>
  <c r="O32" i="10"/>
  <c r="O43" i="10" s="1"/>
  <c r="U35" i="10" s="1"/>
  <c r="H15" i="41" s="1"/>
  <c r="R57" i="7"/>
  <c r="R61" i="7" s="1"/>
  <c r="U66" i="7" s="1"/>
  <c r="O14" i="39" s="1"/>
  <c r="R32" i="7"/>
  <c r="R36" i="7" s="1"/>
  <c r="U41" i="7" s="1"/>
  <c r="O14" i="41" s="1"/>
  <c r="R64" i="3"/>
  <c r="U68" i="3" s="1"/>
  <c r="Q6" i="39" s="1"/>
  <c r="H6" i="41"/>
  <c r="O44" i="3"/>
  <c r="R83" i="3"/>
  <c r="O81" i="3"/>
  <c r="W22" i="44" l="1"/>
  <c r="O119" i="8"/>
  <c r="U114" i="8" s="1"/>
  <c r="L7" i="44" s="1"/>
  <c r="O44" i="20"/>
  <c r="U35" i="22"/>
  <c r="H19" i="41" s="1"/>
  <c r="W31" i="41"/>
  <c r="O69" i="27"/>
  <c r="O62" i="7"/>
  <c r="T23" i="39"/>
  <c r="O83" i="28"/>
  <c r="O85" i="28" s="1"/>
  <c r="U81" i="28" s="1"/>
  <c r="O119" i="16"/>
  <c r="U114" i="16" s="1"/>
  <c r="L35" i="44" s="1"/>
  <c r="M35" i="44" s="1"/>
  <c r="R114" i="14"/>
  <c r="U118" i="14" s="1"/>
  <c r="Q34" i="44" s="1"/>
  <c r="R114" i="32"/>
  <c r="U118" i="32" s="1"/>
  <c r="Q12" i="44" s="1"/>
  <c r="R114" i="31"/>
  <c r="U118" i="31" s="1"/>
  <c r="Q22" i="44" s="1"/>
  <c r="R22" i="44" s="1"/>
  <c r="O112" i="3"/>
  <c r="U108" i="3" s="1"/>
  <c r="E6" i="44" s="1"/>
  <c r="R64" i="22"/>
  <c r="U68" i="22" s="1"/>
  <c r="Q19" i="39" s="1"/>
  <c r="R64" i="27"/>
  <c r="U68" i="27" s="1"/>
  <c r="Q10" i="39" s="1"/>
  <c r="W9" i="44"/>
  <c r="O62" i="15"/>
  <c r="U58" i="15" s="1"/>
  <c r="W19" i="44"/>
  <c r="F8" i="39"/>
  <c r="AM12" i="43"/>
  <c r="W11" i="41"/>
  <c r="D5" i="40"/>
  <c r="R64" i="26"/>
  <c r="U68" i="26" s="1"/>
  <c r="Q30" i="39" s="1"/>
  <c r="T28" i="39"/>
  <c r="T28" i="44"/>
  <c r="F26" i="41"/>
  <c r="U81" i="19"/>
  <c r="C9" i="40" s="1"/>
  <c r="O87" i="19"/>
  <c r="U83" i="19" s="1"/>
  <c r="E9" i="40" s="1"/>
  <c r="O82" i="19"/>
  <c r="O93" i="19" s="1"/>
  <c r="U85" i="19" s="1"/>
  <c r="H9" i="40" s="1"/>
  <c r="W9" i="39"/>
  <c r="R64" i="19"/>
  <c r="U68" i="19" s="1"/>
  <c r="Q9" i="39" s="1"/>
  <c r="R114" i="18"/>
  <c r="U118" i="18" s="1"/>
  <c r="Q25" i="44" s="1"/>
  <c r="R25" i="44" s="1"/>
  <c r="T23" i="44"/>
  <c r="R114" i="17"/>
  <c r="U118" i="17" s="1"/>
  <c r="Q36" i="44" s="1"/>
  <c r="R36" i="44" s="1"/>
  <c r="T32" i="39"/>
  <c r="W33" i="44"/>
  <c r="R114" i="11"/>
  <c r="U118" i="11" s="1"/>
  <c r="Q16" i="44" s="1"/>
  <c r="R16" i="44" s="1"/>
  <c r="R114" i="7"/>
  <c r="U118" i="7" s="1"/>
  <c r="Q14" i="44" s="1"/>
  <c r="R14" i="44" s="1"/>
  <c r="O83" i="7"/>
  <c r="O85" i="7" s="1"/>
  <c r="U81" i="7" s="1"/>
  <c r="C14" i="40" s="1"/>
  <c r="R89" i="22"/>
  <c r="U93" i="22" s="1"/>
  <c r="Q19" i="40" s="1"/>
  <c r="R19" i="40" s="1"/>
  <c r="W30" i="44"/>
  <c r="W36" i="44"/>
  <c r="R90" i="17"/>
  <c r="X83" i="17" s="1"/>
  <c r="V36" i="40" s="1"/>
  <c r="O82" i="24"/>
  <c r="O93" i="24" s="1"/>
  <c r="U85" i="24" s="1"/>
  <c r="H26" i="40" s="1"/>
  <c r="D13" i="40"/>
  <c r="R82" i="21"/>
  <c r="R86" i="21" s="1"/>
  <c r="K4" i="40"/>
  <c r="R64" i="14"/>
  <c r="U68" i="14" s="1"/>
  <c r="Q34" i="39" s="1"/>
  <c r="O69" i="9"/>
  <c r="U64" i="9" s="1"/>
  <c r="D4" i="41"/>
  <c r="W12" i="41"/>
  <c r="U45" i="24"/>
  <c r="T28" i="41"/>
  <c r="U21" i="26"/>
  <c r="C30" i="43"/>
  <c r="F30" i="43" s="1"/>
  <c r="AK30" i="43" s="1"/>
  <c r="X21" i="26"/>
  <c r="O37" i="3"/>
  <c r="U33" i="3" s="1"/>
  <c r="X45" i="3" s="1"/>
  <c r="X45" i="24"/>
  <c r="W27" i="41"/>
  <c r="R64" i="11"/>
  <c r="U68" i="11" s="1"/>
  <c r="Q16" i="39" s="1"/>
  <c r="R64" i="10"/>
  <c r="U68" i="10" s="1"/>
  <c r="Q15" i="39" s="1"/>
  <c r="R15" i="39" s="1"/>
  <c r="O62" i="3"/>
  <c r="U58" i="3" s="1"/>
  <c r="E6" i="39" s="1"/>
  <c r="F6" i="39" s="1"/>
  <c r="W22" i="39"/>
  <c r="O69" i="7"/>
  <c r="U64" i="7" s="1"/>
  <c r="L14" i="39" s="1"/>
  <c r="R64" i="17"/>
  <c r="U68" i="17" s="1"/>
  <c r="Q36" i="39" s="1"/>
  <c r="R36" i="39" s="1"/>
  <c r="R64" i="25"/>
  <c r="U68" i="25" s="1"/>
  <c r="Q21" i="39" s="1"/>
  <c r="R21" i="39" s="1"/>
  <c r="O69" i="28"/>
  <c r="U64" i="28" s="1"/>
  <c r="L11" i="39" s="1"/>
  <c r="O87" i="28"/>
  <c r="U83" i="28" s="1"/>
  <c r="E11" i="40" s="1"/>
  <c r="O83" i="8"/>
  <c r="O85" i="8" s="1"/>
  <c r="U81" i="8" s="1"/>
  <c r="C7" i="40" s="1"/>
  <c r="P4" i="40"/>
  <c r="H13" i="41"/>
  <c r="H23" i="41"/>
  <c r="H28" i="41"/>
  <c r="H32" i="41"/>
  <c r="R6" i="41"/>
  <c r="U39" i="3"/>
  <c r="L6" i="41" s="1"/>
  <c r="M6" i="41" s="1"/>
  <c r="R6" i="39"/>
  <c r="J14" i="39"/>
  <c r="M14" i="39" s="1"/>
  <c r="U18" i="44"/>
  <c r="X108" i="20"/>
  <c r="V18" i="44" s="1"/>
  <c r="X33" i="15"/>
  <c r="V17" i="41" s="1"/>
  <c r="W17" i="41" s="1"/>
  <c r="X33" i="26"/>
  <c r="V30" i="41" s="1"/>
  <c r="W30" i="41" s="1"/>
  <c r="X33" i="25"/>
  <c r="V21" i="41" s="1"/>
  <c r="W21" i="41" s="1"/>
  <c r="X33" i="18"/>
  <c r="V25" i="41" s="1"/>
  <c r="W25" i="41" s="1"/>
  <c r="X33" i="11"/>
  <c r="V16" i="41" s="1"/>
  <c r="W16" i="41" s="1"/>
  <c r="O37" i="31"/>
  <c r="U33" i="31" s="1"/>
  <c r="E22" i="41" s="1"/>
  <c r="U31" i="31"/>
  <c r="X33" i="13"/>
  <c r="V24" i="41" s="1"/>
  <c r="W24" i="41" s="1"/>
  <c r="X33" i="31"/>
  <c r="V22" i="41" s="1"/>
  <c r="W22" i="41" s="1"/>
  <c r="U33" i="16"/>
  <c r="E35" i="41" s="1"/>
  <c r="U39" i="32"/>
  <c r="L12" i="41" s="1"/>
  <c r="M12" i="41" s="1"/>
  <c r="X33" i="19"/>
  <c r="V9" i="41" s="1"/>
  <c r="W9" i="41" s="1"/>
  <c r="X33" i="22"/>
  <c r="V19" i="41" s="1"/>
  <c r="W19" i="41" s="1"/>
  <c r="U39" i="23"/>
  <c r="L20" i="41" s="1"/>
  <c r="M20" i="41" s="1"/>
  <c r="U39" i="17"/>
  <c r="L36" i="41" s="1"/>
  <c r="M36" i="41" s="1"/>
  <c r="U43" i="28"/>
  <c r="Q11" i="41" s="1"/>
  <c r="X33" i="14"/>
  <c r="V34" i="41" s="1"/>
  <c r="W34" i="41" s="1"/>
  <c r="U43" i="23"/>
  <c r="Q20" i="41" s="1"/>
  <c r="R20" i="41" s="1"/>
  <c r="U39" i="20"/>
  <c r="L18" i="41" s="1"/>
  <c r="M18" i="41" s="1"/>
  <c r="U39" i="13"/>
  <c r="L24" i="41" s="1"/>
  <c r="M24" i="41" s="1"/>
  <c r="U43" i="8"/>
  <c r="Q7" i="41" s="1"/>
  <c r="I5" i="41"/>
  <c r="U39" i="28"/>
  <c r="L11" i="41" s="1"/>
  <c r="M11" i="41" s="1"/>
  <c r="X33" i="9"/>
  <c r="V8" i="41" s="1"/>
  <c r="W8" i="41" s="1"/>
  <c r="X31" i="7"/>
  <c r="T14" i="41" s="1"/>
  <c r="R65" i="3"/>
  <c r="X58" i="3" s="1"/>
  <c r="V6" i="39" s="1"/>
  <c r="X56" i="3"/>
  <c r="H5" i="39"/>
  <c r="X56" i="7"/>
  <c r="T14" i="39" s="1"/>
  <c r="U14" i="44"/>
  <c r="X108" i="7"/>
  <c r="V14" i="44" s="1"/>
  <c r="X33" i="3"/>
  <c r="V6" i="41" s="1"/>
  <c r="W6" i="41" s="1"/>
  <c r="U7" i="39"/>
  <c r="X58" i="8"/>
  <c r="V7" i="39" s="1"/>
  <c r="U7" i="44"/>
  <c r="X108" i="8"/>
  <c r="V7" i="44" s="1"/>
  <c r="E7" i="39"/>
  <c r="F7" i="39" s="1"/>
  <c r="X33" i="8"/>
  <c r="V7" i="41" s="1"/>
  <c r="W7" i="41" s="1"/>
  <c r="U8" i="39"/>
  <c r="X58" i="9"/>
  <c r="V8" i="39" s="1"/>
  <c r="J8" i="39"/>
  <c r="U8" i="44"/>
  <c r="X108" i="9"/>
  <c r="V8" i="44" s="1"/>
  <c r="U15" i="39"/>
  <c r="X58" i="10"/>
  <c r="V15" i="39" s="1"/>
  <c r="U15" i="44"/>
  <c r="X108" i="10"/>
  <c r="V15" i="44" s="1"/>
  <c r="J16" i="39"/>
  <c r="U64" i="11"/>
  <c r="L16" i="39" s="1"/>
  <c r="D16" i="39"/>
  <c r="U58" i="11"/>
  <c r="U16" i="39"/>
  <c r="X58" i="11"/>
  <c r="V16" i="39" s="1"/>
  <c r="H32" i="39"/>
  <c r="U33" i="39"/>
  <c r="X58" i="12"/>
  <c r="V33" i="39" s="1"/>
  <c r="D33" i="39"/>
  <c r="U58" i="12"/>
  <c r="H23" i="39"/>
  <c r="U34" i="44"/>
  <c r="X108" i="14"/>
  <c r="V34" i="44" s="1"/>
  <c r="D17" i="39"/>
  <c r="U17" i="44"/>
  <c r="X108" i="15"/>
  <c r="V17" i="44" s="1"/>
  <c r="D35" i="44"/>
  <c r="U108" i="16"/>
  <c r="E35" i="44" s="1"/>
  <c r="U35" i="39"/>
  <c r="X58" i="16"/>
  <c r="V35" i="39" s="1"/>
  <c r="D36" i="44"/>
  <c r="U108" i="17"/>
  <c r="E36" i="44" s="1"/>
  <c r="X33" i="17"/>
  <c r="V36" i="41" s="1"/>
  <c r="W36" i="41" s="1"/>
  <c r="U25" i="39"/>
  <c r="X58" i="18"/>
  <c r="V25" i="39" s="1"/>
  <c r="X33" i="20"/>
  <c r="V18" i="41" s="1"/>
  <c r="W18" i="41" s="1"/>
  <c r="U33" i="20"/>
  <c r="E18" i="41" s="1"/>
  <c r="U39" i="21"/>
  <c r="L29" i="41" s="1"/>
  <c r="M29" i="41" s="1"/>
  <c r="U29" i="39"/>
  <c r="X58" i="21"/>
  <c r="V29" i="39" s="1"/>
  <c r="H28" i="39"/>
  <c r="X33" i="21"/>
  <c r="V29" i="41" s="1"/>
  <c r="W29" i="41" s="1"/>
  <c r="U20" i="44"/>
  <c r="X108" i="23"/>
  <c r="V20" i="44" s="1"/>
  <c r="U26" i="39"/>
  <c r="X58" i="24"/>
  <c r="V26" i="39" s="1"/>
  <c r="D26" i="44"/>
  <c r="U108" i="24"/>
  <c r="E26" i="44" s="1"/>
  <c r="U21" i="44"/>
  <c r="X108" i="25"/>
  <c r="V21" i="44" s="1"/>
  <c r="U21" i="39"/>
  <c r="X58" i="25"/>
  <c r="V21" i="39" s="1"/>
  <c r="U10" i="44"/>
  <c r="X108" i="27"/>
  <c r="V10" i="44" s="1"/>
  <c r="U39" i="27"/>
  <c r="L10" i="41" s="1"/>
  <c r="M10" i="41" s="1"/>
  <c r="J10" i="39"/>
  <c r="U64" i="27"/>
  <c r="L10" i="39" s="1"/>
  <c r="U11" i="44"/>
  <c r="X108" i="28"/>
  <c r="V11" i="44" s="1"/>
  <c r="U11" i="39"/>
  <c r="X58" i="28"/>
  <c r="V11" i="39" s="1"/>
  <c r="W11" i="39" s="1"/>
  <c r="J11" i="39"/>
  <c r="U41" i="28"/>
  <c r="O11" i="41" s="1"/>
  <c r="U31" i="44"/>
  <c r="X108" i="29"/>
  <c r="V31" i="44" s="1"/>
  <c r="U31" i="39"/>
  <c r="X58" i="29"/>
  <c r="V31" i="39" s="1"/>
  <c r="D27" i="44"/>
  <c r="U108" i="30"/>
  <c r="E27" i="44" s="1"/>
  <c r="U27" i="44"/>
  <c r="X108" i="30"/>
  <c r="V27" i="44" s="1"/>
  <c r="U27" i="39"/>
  <c r="X58" i="30"/>
  <c r="V27" i="39" s="1"/>
  <c r="W27" i="39" s="1"/>
  <c r="J22" i="39"/>
  <c r="U64" i="31"/>
  <c r="U12" i="39"/>
  <c r="X58" i="32"/>
  <c r="V12" i="39" s="1"/>
  <c r="W12" i="39" s="1"/>
  <c r="D12" i="44"/>
  <c r="U108" i="32"/>
  <c r="E12" i="44" s="1"/>
  <c r="M7" i="44"/>
  <c r="D15" i="44"/>
  <c r="U108" i="10"/>
  <c r="E15" i="44" s="1"/>
  <c r="U16" i="44"/>
  <c r="X108" i="11"/>
  <c r="V16" i="44" s="1"/>
  <c r="R16" i="39"/>
  <c r="X33" i="12"/>
  <c r="V33" i="41" s="1"/>
  <c r="W33" i="41" s="1"/>
  <c r="U24" i="44"/>
  <c r="X108" i="13"/>
  <c r="V24" i="44" s="1"/>
  <c r="U17" i="39"/>
  <c r="X58" i="15"/>
  <c r="V17" i="39" s="1"/>
  <c r="U35" i="44"/>
  <c r="X108" i="16"/>
  <c r="V35" i="44" s="1"/>
  <c r="X33" i="16"/>
  <c r="V35" i="41" s="1"/>
  <c r="W35" i="41" s="1"/>
  <c r="D14" i="39"/>
  <c r="U58" i="7"/>
  <c r="E14" i="39" s="1"/>
  <c r="D8" i="44"/>
  <c r="U108" i="9"/>
  <c r="E8" i="44" s="1"/>
  <c r="U39" i="12"/>
  <c r="L33" i="41" s="1"/>
  <c r="M33" i="41" s="1"/>
  <c r="U24" i="39"/>
  <c r="X58" i="13"/>
  <c r="V24" i="39" s="1"/>
  <c r="U34" i="39"/>
  <c r="X58" i="14"/>
  <c r="V34" i="39" s="1"/>
  <c r="R34" i="39"/>
  <c r="R34" i="44"/>
  <c r="U43" i="16"/>
  <c r="Q35" i="41" s="1"/>
  <c r="U29" i="44"/>
  <c r="X108" i="21"/>
  <c r="V29" i="44" s="1"/>
  <c r="E19" i="40"/>
  <c r="F19" i="40" s="1"/>
  <c r="U39" i="22"/>
  <c r="L19" i="41" s="1"/>
  <c r="M19" i="41" s="1"/>
  <c r="U20" i="39"/>
  <c r="X58" i="23"/>
  <c r="V20" i="39" s="1"/>
  <c r="U26" i="44"/>
  <c r="X108" i="24"/>
  <c r="V26" i="44" s="1"/>
  <c r="D26" i="39"/>
  <c r="U58" i="24"/>
  <c r="R30" i="39"/>
  <c r="U10" i="39"/>
  <c r="X58" i="27"/>
  <c r="V10" i="39" s="1"/>
  <c r="R10" i="39"/>
  <c r="X33" i="27"/>
  <c r="V10" i="41" s="1"/>
  <c r="W10" i="41" s="1"/>
  <c r="D11" i="44"/>
  <c r="U108" i="28"/>
  <c r="E11" i="44" s="1"/>
  <c r="U19" i="21"/>
  <c r="Q29" i="43" s="1"/>
  <c r="Q28" i="43" s="1"/>
  <c r="R12" i="44"/>
  <c r="R29" i="44"/>
  <c r="U41" i="8"/>
  <c r="O7" i="41" s="1"/>
  <c r="U41" i="16"/>
  <c r="O35" i="41" s="1"/>
  <c r="D11" i="39"/>
  <c r="U58" i="28"/>
  <c r="U30" i="39"/>
  <c r="X58" i="26"/>
  <c r="V30" i="39" s="1"/>
  <c r="U19" i="39"/>
  <c r="X58" i="22"/>
  <c r="V19" i="39" s="1"/>
  <c r="R19" i="39"/>
  <c r="R9" i="39"/>
  <c r="U25" i="44"/>
  <c r="X108" i="18"/>
  <c r="V25" i="44" s="1"/>
  <c r="U36" i="39"/>
  <c r="X58" i="17"/>
  <c r="V36" i="39" s="1"/>
  <c r="R17" i="44"/>
  <c r="T13" i="44"/>
  <c r="U19" i="7"/>
  <c r="Q14" i="43" s="1"/>
  <c r="Q13" i="43" s="1"/>
  <c r="U12" i="44"/>
  <c r="X108" i="32"/>
  <c r="V12" i="44" s="1"/>
  <c r="D7" i="44"/>
  <c r="U108" i="8"/>
  <c r="E7" i="44" s="1"/>
  <c r="U33" i="21"/>
  <c r="E29" i="41" s="1"/>
  <c r="U18" i="39"/>
  <c r="X58" i="20"/>
  <c r="V18" i="39" s="1"/>
  <c r="X9" i="7"/>
  <c r="V14" i="43" s="1"/>
  <c r="V13" i="43" s="1"/>
  <c r="H13" i="39"/>
  <c r="M10" i="39"/>
  <c r="C6" i="44"/>
  <c r="C10" i="41"/>
  <c r="F10" i="41" s="1"/>
  <c r="C24" i="41"/>
  <c r="F24" i="41" s="1"/>
  <c r="R4" i="43"/>
  <c r="O4" i="43"/>
  <c r="X21" i="21"/>
  <c r="U21" i="21"/>
  <c r="C29" i="43"/>
  <c r="F29" i="43" s="1"/>
  <c r="AK29" i="43" s="1"/>
  <c r="AM29" i="43" s="1"/>
  <c r="E19" i="44"/>
  <c r="F19" i="44" s="1"/>
  <c r="U120" i="22"/>
  <c r="X120" i="22"/>
  <c r="C12" i="44"/>
  <c r="F22" i="39"/>
  <c r="C27" i="44"/>
  <c r="C11" i="44"/>
  <c r="C10" i="44"/>
  <c r="F10" i="44" s="1"/>
  <c r="W10" i="39"/>
  <c r="C26" i="44"/>
  <c r="C19" i="41"/>
  <c r="F19" i="41" s="1"/>
  <c r="W19" i="39"/>
  <c r="C29" i="41"/>
  <c r="C36" i="44"/>
  <c r="C35" i="44"/>
  <c r="C33" i="41"/>
  <c r="F33" i="41" s="1"/>
  <c r="C15" i="44"/>
  <c r="C8" i="44"/>
  <c r="C7" i="44"/>
  <c r="C36" i="41"/>
  <c r="F36" i="41" s="1"/>
  <c r="C12" i="41"/>
  <c r="F12" i="41" s="1"/>
  <c r="C11" i="41"/>
  <c r="F11" i="41" s="1"/>
  <c r="C18" i="41"/>
  <c r="C35" i="41"/>
  <c r="U4" i="40"/>
  <c r="O82" i="3"/>
  <c r="O83" i="3"/>
  <c r="O85" i="3" s="1"/>
  <c r="C10" i="39"/>
  <c r="O62" i="27"/>
  <c r="C6" i="41"/>
  <c r="C5" i="43"/>
  <c r="F5" i="43" s="1"/>
  <c r="AK5" i="43" s="1"/>
  <c r="R90" i="13"/>
  <c r="X83" i="13" s="1"/>
  <c r="V24" i="40" s="1"/>
  <c r="R90" i="31"/>
  <c r="X83" i="31" s="1"/>
  <c r="V22" i="40" s="1"/>
  <c r="O119" i="30"/>
  <c r="U114" i="30" s="1"/>
  <c r="R64" i="31"/>
  <c r="U68" i="31" s="1"/>
  <c r="Q22" i="39" s="1"/>
  <c r="R22" i="39" s="1"/>
  <c r="R64" i="9"/>
  <c r="U68" i="9" s="1"/>
  <c r="Q8" i="39" s="1"/>
  <c r="R8" i="39" s="1"/>
  <c r="W19" i="40"/>
  <c r="O87" i="23"/>
  <c r="U83" i="23" s="1"/>
  <c r="R90" i="27"/>
  <c r="X83" i="27" s="1"/>
  <c r="V10" i="40" s="1"/>
  <c r="R82" i="27"/>
  <c r="R86" i="27" s="1"/>
  <c r="U91" i="27" s="1"/>
  <c r="O10" i="40" s="1"/>
  <c r="R82" i="31"/>
  <c r="R86" i="31" s="1"/>
  <c r="U91" i="31" s="1"/>
  <c r="O22" i="40" s="1"/>
  <c r="T13" i="43"/>
  <c r="W13" i="43" s="1"/>
  <c r="O28" i="43"/>
  <c r="R28" i="43" s="1"/>
  <c r="R64" i="20"/>
  <c r="U68" i="20" s="1"/>
  <c r="Q18" i="39" s="1"/>
  <c r="R18" i="39" s="1"/>
  <c r="R90" i="20"/>
  <c r="X83" i="20" s="1"/>
  <c r="V18" i="40" s="1"/>
  <c r="C32" i="43"/>
  <c r="F32" i="43" s="1"/>
  <c r="AK32" i="43" s="1"/>
  <c r="H4" i="43"/>
  <c r="M4" i="43"/>
  <c r="O13" i="43"/>
  <c r="R13" i="43" s="1"/>
  <c r="R64" i="30"/>
  <c r="U68" i="30" s="1"/>
  <c r="Q27" i="39" s="1"/>
  <c r="R27" i="39" s="1"/>
  <c r="O87" i="29"/>
  <c r="U83" i="29" s="1"/>
  <c r="R82" i="28"/>
  <c r="R86" i="28" s="1"/>
  <c r="U91" i="28" s="1"/>
  <c r="O11" i="40" s="1"/>
  <c r="R90" i="26"/>
  <c r="X83" i="26" s="1"/>
  <c r="V30" i="40" s="1"/>
  <c r="R82" i="25"/>
  <c r="R86" i="25" s="1"/>
  <c r="U91" i="25" s="1"/>
  <c r="O21" i="40" s="1"/>
  <c r="R90" i="25"/>
  <c r="X83" i="25" s="1"/>
  <c r="V21" i="40" s="1"/>
  <c r="O69" i="24"/>
  <c r="R90" i="23"/>
  <c r="X83" i="23" s="1"/>
  <c r="V20" i="40" s="1"/>
  <c r="R90" i="21"/>
  <c r="X83" i="21" s="1"/>
  <c r="V29" i="40" s="1"/>
  <c r="R82" i="20"/>
  <c r="R86" i="20" s="1"/>
  <c r="U91" i="20" s="1"/>
  <c r="O18" i="40" s="1"/>
  <c r="O87" i="20"/>
  <c r="U83" i="20" s="1"/>
  <c r="O87" i="18"/>
  <c r="U83" i="18" s="1"/>
  <c r="R82" i="18"/>
  <c r="R86" i="18" s="1"/>
  <c r="U91" i="18" s="1"/>
  <c r="O25" i="40" s="1"/>
  <c r="R90" i="18"/>
  <c r="X83" i="18" s="1"/>
  <c r="V25" i="40" s="1"/>
  <c r="O87" i="15"/>
  <c r="U83" i="15" s="1"/>
  <c r="R82" i="15"/>
  <c r="R86" i="15" s="1"/>
  <c r="U91" i="15" s="1"/>
  <c r="O17" i="40" s="1"/>
  <c r="O82" i="10"/>
  <c r="O93" i="10" s="1"/>
  <c r="U85" i="10" s="1"/>
  <c r="H15" i="40" s="1"/>
  <c r="R82" i="9"/>
  <c r="R86" i="9" s="1"/>
  <c r="U91" i="9" s="1"/>
  <c r="O8" i="40" s="1"/>
  <c r="O69" i="8"/>
  <c r="R82" i="17"/>
  <c r="R86" i="17" s="1"/>
  <c r="U91" i="17" s="1"/>
  <c r="O36" i="40" s="1"/>
  <c r="U32" i="44"/>
  <c r="R90" i="16"/>
  <c r="X83" i="16" s="1"/>
  <c r="V35" i="40" s="1"/>
  <c r="R64" i="15"/>
  <c r="U68" i="15" s="1"/>
  <c r="Q17" i="39" s="1"/>
  <c r="R17" i="39" s="1"/>
  <c r="T32" i="44"/>
  <c r="R90" i="12"/>
  <c r="X83" i="12" s="1"/>
  <c r="V33" i="40" s="1"/>
  <c r="O119" i="9"/>
  <c r="U114" i="9" s="1"/>
  <c r="O93" i="8"/>
  <c r="U85" i="8" s="1"/>
  <c r="H7" i="40" s="1"/>
  <c r="R64" i="32"/>
  <c r="U68" i="32" s="1"/>
  <c r="Q12" i="39" s="1"/>
  <c r="R12" i="39" s="1"/>
  <c r="O119" i="32"/>
  <c r="U114" i="32" s="1"/>
  <c r="R90" i="32"/>
  <c r="X83" i="32" s="1"/>
  <c r="V12" i="40" s="1"/>
  <c r="R82" i="32"/>
  <c r="R86" i="32" s="1"/>
  <c r="U91" i="32" s="1"/>
  <c r="O12" i="40" s="1"/>
  <c r="T12" i="40"/>
  <c r="O69" i="32"/>
  <c r="O83" i="32"/>
  <c r="O85" i="32" s="1"/>
  <c r="U81" i="32" s="1"/>
  <c r="O82" i="32"/>
  <c r="O93" i="32" s="1"/>
  <c r="U85" i="32" s="1"/>
  <c r="H12" i="40" s="1"/>
  <c r="O62" i="32"/>
  <c r="O83" i="31"/>
  <c r="O85" i="31" s="1"/>
  <c r="U81" i="31" s="1"/>
  <c r="O82" i="31"/>
  <c r="O93" i="31" s="1"/>
  <c r="U85" i="31" s="1"/>
  <c r="H22" i="40" s="1"/>
  <c r="R39" i="31"/>
  <c r="O119" i="31"/>
  <c r="U114" i="31" s="1"/>
  <c r="L22" i="44" s="1"/>
  <c r="M22" i="44" s="1"/>
  <c r="C22" i="44"/>
  <c r="O112" i="31"/>
  <c r="T22" i="40"/>
  <c r="C27" i="40"/>
  <c r="R114" i="30"/>
  <c r="U118" i="30" s="1"/>
  <c r="Q27" i="44" s="1"/>
  <c r="T27" i="40"/>
  <c r="O82" i="30"/>
  <c r="O93" i="30" s="1"/>
  <c r="U85" i="30" s="1"/>
  <c r="H27" i="40" s="1"/>
  <c r="R82" i="30"/>
  <c r="R86" i="30" s="1"/>
  <c r="U91" i="30" s="1"/>
  <c r="O27" i="40" s="1"/>
  <c r="O87" i="30"/>
  <c r="U83" i="30" s="1"/>
  <c r="R90" i="30"/>
  <c r="X83" i="30" s="1"/>
  <c r="V27" i="40" s="1"/>
  <c r="T31" i="40"/>
  <c r="O119" i="29"/>
  <c r="U114" i="29" s="1"/>
  <c r="L31" i="44" s="1"/>
  <c r="M31" i="44" s="1"/>
  <c r="R114" i="29"/>
  <c r="U118" i="29" s="1"/>
  <c r="Q31" i="44" s="1"/>
  <c r="R31" i="44" s="1"/>
  <c r="O62" i="29"/>
  <c r="R64" i="29"/>
  <c r="U68" i="29" s="1"/>
  <c r="Q31" i="39" s="1"/>
  <c r="R31" i="39" s="1"/>
  <c r="O94" i="29"/>
  <c r="U89" i="29" s="1"/>
  <c r="L31" i="40" s="1"/>
  <c r="O69" i="29"/>
  <c r="U64" i="29" s="1"/>
  <c r="L31" i="39" s="1"/>
  <c r="C31" i="44"/>
  <c r="O112" i="29"/>
  <c r="R82" i="29"/>
  <c r="R86" i="29" s="1"/>
  <c r="U91" i="29" s="1"/>
  <c r="O31" i="40" s="1"/>
  <c r="R90" i="29"/>
  <c r="X83" i="29" s="1"/>
  <c r="V31" i="40" s="1"/>
  <c r="C31" i="40"/>
  <c r="R90" i="28"/>
  <c r="X83" i="28" s="1"/>
  <c r="V11" i="40" s="1"/>
  <c r="R114" i="28"/>
  <c r="U118" i="28" s="1"/>
  <c r="O94" i="28"/>
  <c r="U89" i="28" s="1"/>
  <c r="R64" i="28"/>
  <c r="U68" i="28" s="1"/>
  <c r="Q11" i="39" s="1"/>
  <c r="R11" i="39" s="1"/>
  <c r="T11" i="40"/>
  <c r="C11" i="40"/>
  <c r="R39" i="27"/>
  <c r="R114" i="27"/>
  <c r="U118" i="27" s="1"/>
  <c r="Q10" i="44" s="1"/>
  <c r="R10" i="44" s="1"/>
  <c r="O83" i="27"/>
  <c r="O85" i="27" s="1"/>
  <c r="U81" i="27" s="1"/>
  <c r="O82" i="27"/>
  <c r="O93" i="27" s="1"/>
  <c r="U85" i="27" s="1"/>
  <c r="H10" i="40" s="1"/>
  <c r="O119" i="27"/>
  <c r="U114" i="27" s="1"/>
  <c r="T10" i="40"/>
  <c r="O62" i="26"/>
  <c r="O69" i="26"/>
  <c r="O83" i="26"/>
  <c r="O85" i="26" s="1"/>
  <c r="U81" i="26" s="1"/>
  <c r="O82" i="26"/>
  <c r="O93" i="26" s="1"/>
  <c r="U85" i="26" s="1"/>
  <c r="H30" i="40" s="1"/>
  <c r="O119" i="26"/>
  <c r="U114" i="26" s="1"/>
  <c r="L30" i="44" s="1"/>
  <c r="M30" i="44" s="1"/>
  <c r="T30" i="40"/>
  <c r="R114" i="26"/>
  <c r="C30" i="44"/>
  <c r="O112" i="26"/>
  <c r="R82" i="26"/>
  <c r="R86" i="26" s="1"/>
  <c r="U91" i="26" s="1"/>
  <c r="O30" i="40" s="1"/>
  <c r="O69" i="25"/>
  <c r="O62" i="25"/>
  <c r="R114" i="25"/>
  <c r="U118" i="25" s="1"/>
  <c r="Q21" i="44" s="1"/>
  <c r="R21" i="44" s="1"/>
  <c r="C21" i="44"/>
  <c r="O112" i="25"/>
  <c r="O83" i="25"/>
  <c r="O85" i="25" s="1"/>
  <c r="U81" i="25" s="1"/>
  <c r="O82" i="25"/>
  <c r="O93" i="25" s="1"/>
  <c r="U85" i="25" s="1"/>
  <c r="H21" i="40" s="1"/>
  <c r="O119" i="25"/>
  <c r="U114" i="25" s="1"/>
  <c r="L21" i="44" s="1"/>
  <c r="M21" i="44" s="1"/>
  <c r="T21" i="40"/>
  <c r="R114" i="24"/>
  <c r="U118" i="24" s="1"/>
  <c r="Q26" i="44" s="1"/>
  <c r="R26" i="44" s="1"/>
  <c r="C26" i="40"/>
  <c r="T26" i="40"/>
  <c r="O119" i="24"/>
  <c r="U114" i="24" s="1"/>
  <c r="O87" i="24"/>
  <c r="U83" i="24" s="1"/>
  <c r="R90" i="24"/>
  <c r="X83" i="24" s="1"/>
  <c r="V26" i="40" s="1"/>
  <c r="R82" i="24"/>
  <c r="R86" i="24" s="1"/>
  <c r="U91" i="24" s="1"/>
  <c r="O26" i="40" s="1"/>
  <c r="R114" i="23"/>
  <c r="U118" i="23" s="1"/>
  <c r="Q20" i="44" s="1"/>
  <c r="R20" i="44" s="1"/>
  <c r="T20" i="40"/>
  <c r="O119" i="23"/>
  <c r="U114" i="23" s="1"/>
  <c r="L20" i="44" s="1"/>
  <c r="M20" i="44" s="1"/>
  <c r="R64" i="23"/>
  <c r="U68" i="23" s="1"/>
  <c r="Q20" i="39" s="1"/>
  <c r="R20" i="39" s="1"/>
  <c r="O69" i="23"/>
  <c r="C20" i="44"/>
  <c r="O112" i="23"/>
  <c r="O62" i="23"/>
  <c r="O94" i="23"/>
  <c r="U89" i="23" s="1"/>
  <c r="L20" i="40" s="1"/>
  <c r="R82" i="23"/>
  <c r="R86" i="23" s="1"/>
  <c r="U91" i="23" s="1"/>
  <c r="O20" i="40" s="1"/>
  <c r="C20" i="40"/>
  <c r="O69" i="22"/>
  <c r="O62" i="22"/>
  <c r="O62" i="21"/>
  <c r="O119" i="21"/>
  <c r="R64" i="21"/>
  <c r="U68" i="21" s="1"/>
  <c r="Q29" i="39" s="1"/>
  <c r="O83" i="21"/>
  <c r="O85" i="21" s="1"/>
  <c r="U81" i="21" s="1"/>
  <c r="O82" i="21"/>
  <c r="O93" i="21" s="1"/>
  <c r="U85" i="21" s="1"/>
  <c r="H29" i="40" s="1"/>
  <c r="O69" i="21"/>
  <c r="R39" i="21"/>
  <c r="T29" i="40"/>
  <c r="C29" i="44"/>
  <c r="O112" i="21"/>
  <c r="O69" i="20"/>
  <c r="T18" i="40"/>
  <c r="R114" i="20"/>
  <c r="U118" i="20" s="1"/>
  <c r="Q18" i="44" s="1"/>
  <c r="R18" i="44" s="1"/>
  <c r="O62" i="20"/>
  <c r="O94" i="20"/>
  <c r="U89" i="20" s="1"/>
  <c r="L18" i="40" s="1"/>
  <c r="C18" i="40"/>
  <c r="R114" i="19"/>
  <c r="U118" i="19" s="1"/>
  <c r="Q9" i="44" s="1"/>
  <c r="R9" i="44" s="1"/>
  <c r="T9" i="40"/>
  <c r="O69" i="19"/>
  <c r="R90" i="19"/>
  <c r="X83" i="19" s="1"/>
  <c r="V9" i="40" s="1"/>
  <c r="O119" i="19"/>
  <c r="U114" i="19" s="1"/>
  <c r="L9" i="44" s="1"/>
  <c r="M9" i="44" s="1"/>
  <c r="O62" i="19"/>
  <c r="R82" i="19"/>
  <c r="R86" i="19" s="1"/>
  <c r="U91" i="19" s="1"/>
  <c r="O9" i="40" s="1"/>
  <c r="C9" i="44"/>
  <c r="O112" i="19"/>
  <c r="R64" i="18"/>
  <c r="U68" i="18" s="1"/>
  <c r="Q25" i="39" s="1"/>
  <c r="R25" i="39" s="1"/>
  <c r="O119" i="18"/>
  <c r="U114" i="18" s="1"/>
  <c r="L25" i="44" s="1"/>
  <c r="M25" i="44" s="1"/>
  <c r="C25" i="44"/>
  <c r="O112" i="18"/>
  <c r="U108" i="18" s="1"/>
  <c r="O94" i="18"/>
  <c r="U89" i="18" s="1"/>
  <c r="L25" i="40" s="1"/>
  <c r="O62" i="18"/>
  <c r="O69" i="18"/>
  <c r="T25" i="40"/>
  <c r="C25" i="40"/>
  <c r="O83" i="17"/>
  <c r="O85" i="17" s="1"/>
  <c r="U81" i="17" s="1"/>
  <c r="O82" i="17"/>
  <c r="O93" i="17" s="1"/>
  <c r="U85" i="17" s="1"/>
  <c r="H36" i="40" s="1"/>
  <c r="O69" i="17"/>
  <c r="U64" i="17" s="1"/>
  <c r="L36" i="39" s="1"/>
  <c r="R39" i="17"/>
  <c r="O62" i="17"/>
  <c r="T36" i="40"/>
  <c r="O119" i="17"/>
  <c r="U114" i="17" s="1"/>
  <c r="R82" i="16"/>
  <c r="R86" i="16" s="1"/>
  <c r="U91" i="16" s="1"/>
  <c r="O35" i="40" s="1"/>
  <c r="O62" i="16"/>
  <c r="T35" i="40"/>
  <c r="O69" i="16"/>
  <c r="R114" i="16"/>
  <c r="U118" i="16" s="1"/>
  <c r="R64" i="16"/>
  <c r="U68" i="16" s="1"/>
  <c r="Q35" i="39" s="1"/>
  <c r="R35" i="39" s="1"/>
  <c r="O83" i="16"/>
  <c r="O85" i="16" s="1"/>
  <c r="U81" i="16" s="1"/>
  <c r="O82" i="16"/>
  <c r="O93" i="16" s="1"/>
  <c r="U85" i="16" s="1"/>
  <c r="H35" i="40" s="1"/>
  <c r="O119" i="15"/>
  <c r="U114" i="15" s="1"/>
  <c r="L17" i="44" s="1"/>
  <c r="M17" i="44" s="1"/>
  <c r="C17" i="44"/>
  <c r="O112" i="15"/>
  <c r="O94" i="15"/>
  <c r="U89" i="15" s="1"/>
  <c r="L17" i="40" s="1"/>
  <c r="T17" i="40"/>
  <c r="J17" i="39"/>
  <c r="M17" i="39" s="1"/>
  <c r="R90" i="15"/>
  <c r="X83" i="15" s="1"/>
  <c r="V17" i="40" s="1"/>
  <c r="C17" i="40"/>
  <c r="F34" i="40"/>
  <c r="O119" i="14"/>
  <c r="U114" i="14" s="1"/>
  <c r="L34" i="44" s="1"/>
  <c r="M34" i="44" s="1"/>
  <c r="T34" i="40"/>
  <c r="O69" i="14"/>
  <c r="C34" i="44"/>
  <c r="O112" i="14"/>
  <c r="R82" i="14"/>
  <c r="R86" i="14" s="1"/>
  <c r="U91" i="14" s="1"/>
  <c r="O34" i="40" s="1"/>
  <c r="O62" i="14"/>
  <c r="O94" i="14"/>
  <c r="U89" i="14" s="1"/>
  <c r="R90" i="14"/>
  <c r="X83" i="14" s="1"/>
  <c r="V34" i="40" s="1"/>
  <c r="T24" i="40"/>
  <c r="O83" i="13"/>
  <c r="O85" i="13" s="1"/>
  <c r="U81" i="13" s="1"/>
  <c r="O82" i="13"/>
  <c r="O93" i="13" s="1"/>
  <c r="U85" i="13" s="1"/>
  <c r="H24" i="40" s="1"/>
  <c r="O69" i="13"/>
  <c r="U64" i="13" s="1"/>
  <c r="L24" i="39" s="1"/>
  <c r="R114" i="13"/>
  <c r="O119" i="13"/>
  <c r="U114" i="13" s="1"/>
  <c r="L24" i="44" s="1"/>
  <c r="O62" i="13"/>
  <c r="R64" i="13"/>
  <c r="U68" i="13" s="1"/>
  <c r="Q24" i="39" s="1"/>
  <c r="C24" i="44"/>
  <c r="O112" i="13"/>
  <c r="R82" i="13"/>
  <c r="R86" i="13" s="1"/>
  <c r="U91" i="13" s="1"/>
  <c r="O24" i="40" s="1"/>
  <c r="O83" i="12"/>
  <c r="O85" i="12" s="1"/>
  <c r="U81" i="12" s="1"/>
  <c r="O82" i="12"/>
  <c r="O93" i="12" s="1"/>
  <c r="U85" i="12" s="1"/>
  <c r="H33" i="40" s="1"/>
  <c r="R64" i="12"/>
  <c r="O119" i="12"/>
  <c r="U114" i="12" s="1"/>
  <c r="L33" i="44" s="1"/>
  <c r="R114" i="12"/>
  <c r="U118" i="12" s="1"/>
  <c r="Q33" i="44" s="1"/>
  <c r="C33" i="44"/>
  <c r="O112" i="12"/>
  <c r="T33" i="40"/>
  <c r="O69" i="12"/>
  <c r="R82" i="12"/>
  <c r="R86" i="12" s="1"/>
  <c r="U91" i="12" s="1"/>
  <c r="O33" i="40" s="1"/>
  <c r="R82" i="11"/>
  <c r="R86" i="11" s="1"/>
  <c r="U91" i="11" s="1"/>
  <c r="O16" i="40" s="1"/>
  <c r="O119" i="11"/>
  <c r="U114" i="11" s="1"/>
  <c r="L16" i="44" s="1"/>
  <c r="M16" i="44" s="1"/>
  <c r="T16" i="40"/>
  <c r="O83" i="11"/>
  <c r="O85" i="11" s="1"/>
  <c r="U81" i="11" s="1"/>
  <c r="O82" i="11"/>
  <c r="O93" i="11" s="1"/>
  <c r="U85" i="11" s="1"/>
  <c r="H16" i="40" s="1"/>
  <c r="R90" i="11"/>
  <c r="X83" i="11" s="1"/>
  <c r="V16" i="40" s="1"/>
  <c r="C16" i="44"/>
  <c r="O112" i="11"/>
  <c r="T15" i="40"/>
  <c r="C15" i="40"/>
  <c r="R82" i="10"/>
  <c r="R86" i="10" s="1"/>
  <c r="U91" i="10" s="1"/>
  <c r="O15" i="40" s="1"/>
  <c r="O87" i="10"/>
  <c r="U83" i="10" s="1"/>
  <c r="O69" i="10"/>
  <c r="O62" i="10"/>
  <c r="R114" i="10"/>
  <c r="U118" i="10" s="1"/>
  <c r="O94" i="10"/>
  <c r="U89" i="10" s="1"/>
  <c r="L15" i="40" s="1"/>
  <c r="R90" i="10"/>
  <c r="X83" i="10" s="1"/>
  <c r="V15" i="40" s="1"/>
  <c r="T8" i="40"/>
  <c r="R114" i="9"/>
  <c r="U118" i="9" s="1"/>
  <c r="Q8" i="44" s="1"/>
  <c r="R8" i="44" s="1"/>
  <c r="R64" i="8"/>
  <c r="U68" i="8" s="1"/>
  <c r="Q7" i="39" s="1"/>
  <c r="R114" i="8"/>
  <c r="U118" i="8" s="1"/>
  <c r="R82" i="8"/>
  <c r="R86" i="8" s="1"/>
  <c r="U91" i="8" s="1"/>
  <c r="O7" i="40" s="1"/>
  <c r="T7" i="40"/>
  <c r="R90" i="8"/>
  <c r="X83" i="8" s="1"/>
  <c r="V7" i="40" s="1"/>
  <c r="O69" i="3"/>
  <c r="U64" i="3" s="1"/>
  <c r="O93" i="7"/>
  <c r="U85" i="7" s="1"/>
  <c r="H14" i="40" s="1"/>
  <c r="H13" i="40" s="1"/>
  <c r="R40" i="7"/>
  <c r="R65" i="7"/>
  <c r="T13" i="39"/>
  <c r="T14" i="40"/>
  <c r="R90" i="7"/>
  <c r="X83" i="7" s="1"/>
  <c r="V14" i="40" s="1"/>
  <c r="R82" i="7"/>
  <c r="R86" i="7" s="1"/>
  <c r="U91" i="7" s="1"/>
  <c r="O14" i="40" s="1"/>
  <c r="O119" i="7"/>
  <c r="U114" i="7" s="1"/>
  <c r="L14" i="44" s="1"/>
  <c r="O112" i="7"/>
  <c r="U6" i="39"/>
  <c r="R86" i="3"/>
  <c r="U91" i="3" s="1"/>
  <c r="O6" i="40" s="1"/>
  <c r="R87" i="3"/>
  <c r="X81" i="3" s="1"/>
  <c r="R115" i="3"/>
  <c r="R114" i="3"/>
  <c r="U118" i="3" s="1"/>
  <c r="Q6" i="44" s="1"/>
  <c r="O119" i="3"/>
  <c r="U114" i="3" s="1"/>
  <c r="R39" i="25"/>
  <c r="R39" i="15"/>
  <c r="R39" i="32"/>
  <c r="C31" i="41"/>
  <c r="O37" i="29"/>
  <c r="O44" i="11"/>
  <c r="C9" i="41"/>
  <c r="O37" i="19"/>
  <c r="O44" i="30"/>
  <c r="C34" i="41"/>
  <c r="O37" i="14"/>
  <c r="R39" i="29"/>
  <c r="C21" i="41"/>
  <c r="O37" i="25"/>
  <c r="R39" i="19"/>
  <c r="C17" i="41"/>
  <c r="O37" i="15"/>
  <c r="O44" i="29"/>
  <c r="R39" i="18"/>
  <c r="R39" i="26"/>
  <c r="O44" i="14"/>
  <c r="O44" i="25"/>
  <c r="C27" i="41"/>
  <c r="O37" i="30"/>
  <c r="O44" i="15"/>
  <c r="R39" i="12"/>
  <c r="O44" i="16"/>
  <c r="R39" i="13"/>
  <c r="U43" i="13" s="1"/>
  <c r="Q24" i="41" s="1"/>
  <c r="R24" i="41" s="1"/>
  <c r="R39" i="22"/>
  <c r="C7" i="41"/>
  <c r="O37" i="8"/>
  <c r="O44" i="18"/>
  <c r="O44" i="19"/>
  <c r="O44" i="9"/>
  <c r="O37" i="18"/>
  <c r="C16" i="41"/>
  <c r="O37" i="11"/>
  <c r="C8" i="41"/>
  <c r="O37" i="9"/>
  <c r="O44" i="26"/>
  <c r="R39" i="30"/>
  <c r="R39" i="9"/>
  <c r="C30" i="41"/>
  <c r="O37" i="26"/>
  <c r="O44" i="31"/>
  <c r="C22" i="41"/>
  <c r="F22" i="41" s="1"/>
  <c r="R39" i="11"/>
  <c r="R39" i="14"/>
  <c r="R39" i="20"/>
  <c r="O44" i="8"/>
  <c r="O69" i="30"/>
  <c r="O62" i="30"/>
  <c r="O83" i="9"/>
  <c r="O85" i="9" s="1"/>
  <c r="U81" i="9" s="1"/>
  <c r="O82" i="9"/>
  <c r="O93" i="9" s="1"/>
  <c r="U85" i="9" s="1"/>
  <c r="H8" i="40" s="1"/>
  <c r="R90" i="9"/>
  <c r="X83" i="9" s="1"/>
  <c r="V8" i="40" s="1"/>
  <c r="O119" i="20"/>
  <c r="U114" i="20" s="1"/>
  <c r="L18" i="44" s="1"/>
  <c r="M18" i="44" s="1"/>
  <c r="C18" i="44"/>
  <c r="O112" i="20"/>
  <c r="R36" i="10"/>
  <c r="R37" i="10"/>
  <c r="X31" i="10" s="1"/>
  <c r="C15" i="41"/>
  <c r="O37" i="10"/>
  <c r="O44" i="10"/>
  <c r="R39" i="7"/>
  <c r="R64" i="7"/>
  <c r="U68" i="7" s="1"/>
  <c r="O44" i="7"/>
  <c r="O37" i="7"/>
  <c r="O93" i="3"/>
  <c r="U85" i="3" s="1"/>
  <c r="H6" i="40" s="1"/>
  <c r="R35" i="41" l="1"/>
  <c r="W20" i="39"/>
  <c r="W24" i="39"/>
  <c r="O94" i="19"/>
  <c r="U89" i="19" s="1"/>
  <c r="L9" i="40" s="1"/>
  <c r="O87" i="7"/>
  <c r="U83" i="7" s="1"/>
  <c r="R89" i="20"/>
  <c r="U93" i="20" s="1"/>
  <c r="Q18" i="40" s="1"/>
  <c r="W15" i="44"/>
  <c r="W8" i="44"/>
  <c r="W26" i="44"/>
  <c r="W31" i="44"/>
  <c r="V32" i="44"/>
  <c r="W32" i="44" s="1"/>
  <c r="F26" i="44"/>
  <c r="F6" i="44"/>
  <c r="W12" i="44"/>
  <c r="W11" i="44"/>
  <c r="W21" i="44"/>
  <c r="W17" i="44"/>
  <c r="U95" i="22"/>
  <c r="F35" i="44"/>
  <c r="AK19" i="44"/>
  <c r="AM19" i="44" s="1"/>
  <c r="F36" i="44"/>
  <c r="W25" i="44"/>
  <c r="V28" i="44"/>
  <c r="X95" i="22"/>
  <c r="U28" i="44"/>
  <c r="R89" i="18"/>
  <c r="U93" i="18" s="1"/>
  <c r="Q25" i="40" s="1"/>
  <c r="R25" i="40" s="1"/>
  <c r="W16" i="44"/>
  <c r="U23" i="39"/>
  <c r="W24" i="44"/>
  <c r="F9" i="40"/>
  <c r="O94" i="24"/>
  <c r="U89" i="24" s="1"/>
  <c r="L26" i="40" s="1"/>
  <c r="M26" i="40" s="1"/>
  <c r="W10" i="44"/>
  <c r="W26" i="39"/>
  <c r="W35" i="39"/>
  <c r="W15" i="39"/>
  <c r="W36" i="39"/>
  <c r="U23" i="44"/>
  <c r="W17" i="39"/>
  <c r="W21" i="39"/>
  <c r="W20" i="44"/>
  <c r="W29" i="39"/>
  <c r="W33" i="39"/>
  <c r="W18" i="44"/>
  <c r="AM30" i="43"/>
  <c r="F27" i="44"/>
  <c r="F11" i="40"/>
  <c r="R89" i="28"/>
  <c r="U93" i="28" s="1"/>
  <c r="Q11" i="40" s="1"/>
  <c r="R11" i="40" s="1"/>
  <c r="F11" i="44"/>
  <c r="D4" i="40"/>
  <c r="U13" i="44"/>
  <c r="U28" i="39"/>
  <c r="W25" i="39"/>
  <c r="W35" i="44"/>
  <c r="F35" i="41"/>
  <c r="W16" i="39"/>
  <c r="R89" i="9"/>
  <c r="U93" i="9" s="1"/>
  <c r="Q8" i="40" s="1"/>
  <c r="R8" i="40" s="1"/>
  <c r="F8" i="44"/>
  <c r="U5" i="39"/>
  <c r="O87" i="8"/>
  <c r="U83" i="8" s="1"/>
  <c r="E7" i="40" s="1"/>
  <c r="F7" i="40" s="1"/>
  <c r="W7" i="44"/>
  <c r="W14" i="44"/>
  <c r="F7" i="44"/>
  <c r="F15" i="44"/>
  <c r="W29" i="44"/>
  <c r="F12" i="44"/>
  <c r="W27" i="44"/>
  <c r="O94" i="8"/>
  <c r="U89" i="8" s="1"/>
  <c r="L7" i="40" s="1"/>
  <c r="M7" i="40" s="1"/>
  <c r="R89" i="15"/>
  <c r="U93" i="15" s="1"/>
  <c r="Q17" i="40" s="1"/>
  <c r="R17" i="40" s="1"/>
  <c r="W18" i="39"/>
  <c r="W30" i="39"/>
  <c r="W7" i="39"/>
  <c r="U32" i="39"/>
  <c r="W34" i="39"/>
  <c r="W31" i="39"/>
  <c r="W8" i="39"/>
  <c r="F18" i="41"/>
  <c r="U45" i="3"/>
  <c r="U45" i="23"/>
  <c r="X45" i="23"/>
  <c r="F29" i="41"/>
  <c r="R7" i="41"/>
  <c r="U45" i="28"/>
  <c r="X45" i="28"/>
  <c r="R11" i="41"/>
  <c r="V23" i="39"/>
  <c r="W23" i="39" s="1"/>
  <c r="U33" i="7"/>
  <c r="E14" i="41" s="1"/>
  <c r="U39" i="7"/>
  <c r="L14" i="41" s="1"/>
  <c r="M14" i="41" s="1"/>
  <c r="Q14" i="39"/>
  <c r="U43" i="7"/>
  <c r="Q14" i="41" s="1"/>
  <c r="R14" i="41" s="1"/>
  <c r="U39" i="10"/>
  <c r="L15" i="41" s="1"/>
  <c r="M15" i="41" s="1"/>
  <c r="U33" i="10"/>
  <c r="E15" i="41" s="1"/>
  <c r="F15" i="41" s="1"/>
  <c r="U41" i="10"/>
  <c r="O15" i="41" s="1"/>
  <c r="D18" i="44"/>
  <c r="U108" i="20"/>
  <c r="D27" i="39"/>
  <c r="U58" i="30"/>
  <c r="J27" i="39"/>
  <c r="U64" i="30"/>
  <c r="U39" i="8"/>
  <c r="L7" i="41" s="1"/>
  <c r="M7" i="41" s="1"/>
  <c r="U43" i="20"/>
  <c r="Q18" i="41" s="1"/>
  <c r="R18" i="41" s="1"/>
  <c r="U43" i="14"/>
  <c r="Q34" i="41" s="1"/>
  <c r="R34" i="41" s="1"/>
  <c r="U43" i="11"/>
  <c r="Q16" i="41" s="1"/>
  <c r="R16" i="41" s="1"/>
  <c r="U39" i="31"/>
  <c r="L22" i="41" s="1"/>
  <c r="M22" i="41" s="1"/>
  <c r="U33" i="26"/>
  <c r="E30" i="41" s="1"/>
  <c r="F30" i="41" s="1"/>
  <c r="U43" i="9"/>
  <c r="Q8" i="41" s="1"/>
  <c r="R8" i="41" s="1"/>
  <c r="U43" i="30"/>
  <c r="Q27" i="41" s="1"/>
  <c r="R27" i="41" s="1"/>
  <c r="U39" i="26"/>
  <c r="L30" i="41" s="1"/>
  <c r="M30" i="41" s="1"/>
  <c r="U33" i="9"/>
  <c r="E8" i="41" s="1"/>
  <c r="F8" i="41" s="1"/>
  <c r="U33" i="11"/>
  <c r="E16" i="41" s="1"/>
  <c r="F16" i="41" s="1"/>
  <c r="U33" i="18"/>
  <c r="E25" i="41" s="1"/>
  <c r="U39" i="9"/>
  <c r="L8" i="41" s="1"/>
  <c r="M8" i="41" s="1"/>
  <c r="U39" i="19"/>
  <c r="L9" i="41" s="1"/>
  <c r="M9" i="41" s="1"/>
  <c r="U39" i="18"/>
  <c r="L25" i="41" s="1"/>
  <c r="M25" i="41" s="1"/>
  <c r="U33" i="8"/>
  <c r="E7" i="41" s="1"/>
  <c r="F7" i="41" s="1"/>
  <c r="U43" i="22"/>
  <c r="Q19" i="41" s="1"/>
  <c r="R19" i="41" s="1"/>
  <c r="U45" i="13"/>
  <c r="X45" i="13"/>
  <c r="U39" i="16"/>
  <c r="L35" i="41" s="1"/>
  <c r="M35" i="41" s="1"/>
  <c r="U43" i="12"/>
  <c r="Q33" i="41" s="1"/>
  <c r="R33" i="41" s="1"/>
  <c r="U39" i="15"/>
  <c r="L17" i="41" s="1"/>
  <c r="M17" i="41" s="1"/>
  <c r="U33" i="30"/>
  <c r="E27" i="41" s="1"/>
  <c r="F27" i="41" s="1"/>
  <c r="U39" i="25"/>
  <c r="L21" i="41" s="1"/>
  <c r="M21" i="41" s="1"/>
  <c r="U39" i="14"/>
  <c r="L34" i="41" s="1"/>
  <c r="M34" i="41" s="1"/>
  <c r="U43" i="26"/>
  <c r="Q30" i="41" s="1"/>
  <c r="R30" i="41" s="1"/>
  <c r="U43" i="18"/>
  <c r="Q25" i="41" s="1"/>
  <c r="R25" i="41" s="1"/>
  <c r="U39" i="29"/>
  <c r="L31" i="41" s="1"/>
  <c r="M31" i="41" s="1"/>
  <c r="U33" i="15"/>
  <c r="E17" i="41" s="1"/>
  <c r="F17" i="41" s="1"/>
  <c r="U43" i="19"/>
  <c r="Q9" i="41" s="1"/>
  <c r="R9" i="41" s="1"/>
  <c r="U33" i="25"/>
  <c r="E21" i="41" s="1"/>
  <c r="F21" i="41" s="1"/>
  <c r="U43" i="29"/>
  <c r="Q31" i="41" s="1"/>
  <c r="R31" i="41" s="1"/>
  <c r="U33" i="14"/>
  <c r="E34" i="41" s="1"/>
  <c r="F34" i="41" s="1"/>
  <c r="U39" i="30"/>
  <c r="L27" i="41" s="1"/>
  <c r="M27" i="41" s="1"/>
  <c r="U33" i="19"/>
  <c r="E9" i="41" s="1"/>
  <c r="F9" i="41" s="1"/>
  <c r="U39" i="11"/>
  <c r="L16" i="41" s="1"/>
  <c r="M16" i="41" s="1"/>
  <c r="U33" i="29"/>
  <c r="E31" i="41" s="1"/>
  <c r="F31" i="41" s="1"/>
  <c r="U43" i="32"/>
  <c r="Q12" i="41" s="1"/>
  <c r="R12" i="41" s="1"/>
  <c r="U43" i="15"/>
  <c r="Q17" i="41" s="1"/>
  <c r="R17" i="41" s="1"/>
  <c r="U43" i="25"/>
  <c r="Q21" i="41" s="1"/>
  <c r="R21" i="41" s="1"/>
  <c r="L6" i="44"/>
  <c r="R6" i="44"/>
  <c r="U5" i="44"/>
  <c r="X108" i="3"/>
  <c r="E14" i="40"/>
  <c r="D14" i="44"/>
  <c r="U108" i="7"/>
  <c r="L13" i="44"/>
  <c r="M14" i="44"/>
  <c r="U14" i="39"/>
  <c r="U13" i="39" s="1"/>
  <c r="X58" i="7"/>
  <c r="X33" i="7"/>
  <c r="V14" i="41" s="1"/>
  <c r="W14" i="41" s="1"/>
  <c r="L6" i="39"/>
  <c r="U70" i="3"/>
  <c r="X70" i="3"/>
  <c r="Q7" i="44"/>
  <c r="X120" i="8"/>
  <c r="U120" i="8"/>
  <c r="Q5" i="39"/>
  <c r="R7" i="39"/>
  <c r="W8" i="40"/>
  <c r="Q15" i="44"/>
  <c r="X120" i="10"/>
  <c r="U120" i="10"/>
  <c r="D15" i="39"/>
  <c r="U58" i="10"/>
  <c r="J15" i="39"/>
  <c r="U64" i="10"/>
  <c r="L15" i="39" s="1"/>
  <c r="E15" i="40"/>
  <c r="F15" i="40" s="1"/>
  <c r="D16" i="44"/>
  <c r="U108" i="11"/>
  <c r="J33" i="39"/>
  <c r="U64" i="12"/>
  <c r="L33" i="39" s="1"/>
  <c r="D33" i="44"/>
  <c r="U108" i="12"/>
  <c r="R33" i="44"/>
  <c r="M33" i="44"/>
  <c r="P32" i="39"/>
  <c r="U68" i="12"/>
  <c r="Q33" i="39" s="1"/>
  <c r="D24" i="44"/>
  <c r="U108" i="13"/>
  <c r="Q23" i="39"/>
  <c r="R24" i="39"/>
  <c r="D24" i="39"/>
  <c r="U58" i="13"/>
  <c r="M24" i="44"/>
  <c r="P23" i="44"/>
  <c r="U118" i="13"/>
  <c r="Q24" i="44" s="1"/>
  <c r="R24" i="44" s="1"/>
  <c r="L34" i="40"/>
  <c r="D34" i="39"/>
  <c r="U58" i="14"/>
  <c r="D34" i="44"/>
  <c r="U108" i="14"/>
  <c r="J34" i="39"/>
  <c r="J32" i="39" s="1"/>
  <c r="U64" i="14"/>
  <c r="L34" i="39" s="1"/>
  <c r="D17" i="44"/>
  <c r="U108" i="15"/>
  <c r="Q35" i="44"/>
  <c r="X120" i="16"/>
  <c r="U120" i="16"/>
  <c r="J35" i="39"/>
  <c r="U64" i="16"/>
  <c r="L35" i="39" s="1"/>
  <c r="D35" i="39"/>
  <c r="U58" i="16"/>
  <c r="L36" i="44"/>
  <c r="U120" i="17"/>
  <c r="X120" i="17"/>
  <c r="D36" i="39"/>
  <c r="U58" i="17"/>
  <c r="U43" i="17"/>
  <c r="Q36" i="41" s="1"/>
  <c r="R36" i="41" s="1"/>
  <c r="J25" i="39"/>
  <c r="U64" i="18"/>
  <c r="L25" i="39" s="1"/>
  <c r="D25" i="39"/>
  <c r="U58" i="18"/>
  <c r="E25" i="44"/>
  <c r="X120" i="18"/>
  <c r="U120" i="18"/>
  <c r="D9" i="44"/>
  <c r="D5" i="44" s="1"/>
  <c r="U108" i="19"/>
  <c r="D9" i="39"/>
  <c r="U58" i="19"/>
  <c r="J9" i="39"/>
  <c r="U64" i="19"/>
  <c r="L9" i="39" s="1"/>
  <c r="D18" i="39"/>
  <c r="U58" i="20"/>
  <c r="J18" i="39"/>
  <c r="U64" i="20"/>
  <c r="L18" i="39" s="1"/>
  <c r="D29" i="44"/>
  <c r="U108" i="21"/>
  <c r="U43" i="21"/>
  <c r="Q29" i="41" s="1"/>
  <c r="J29" i="39"/>
  <c r="U64" i="21"/>
  <c r="L29" i="39" s="1"/>
  <c r="Q28" i="39"/>
  <c r="R29" i="39"/>
  <c r="K28" i="44"/>
  <c r="U114" i="21"/>
  <c r="L29" i="44" s="1"/>
  <c r="D29" i="39"/>
  <c r="U58" i="21"/>
  <c r="D19" i="39"/>
  <c r="U58" i="22"/>
  <c r="J19" i="39"/>
  <c r="U64" i="22"/>
  <c r="L19" i="39" s="1"/>
  <c r="D20" i="39"/>
  <c r="U58" i="23"/>
  <c r="D20" i="44"/>
  <c r="U108" i="23"/>
  <c r="J20" i="39"/>
  <c r="U64" i="23"/>
  <c r="L20" i="39" s="1"/>
  <c r="E26" i="40"/>
  <c r="F26" i="40" s="1"/>
  <c r="L26" i="44"/>
  <c r="X120" i="24"/>
  <c r="U120" i="24"/>
  <c r="D21" i="44"/>
  <c r="U108" i="25"/>
  <c r="D21" i="39"/>
  <c r="U58" i="25"/>
  <c r="J21" i="39"/>
  <c r="U64" i="25"/>
  <c r="L21" i="39" s="1"/>
  <c r="D30" i="44"/>
  <c r="U108" i="26"/>
  <c r="P28" i="44"/>
  <c r="U118" i="26"/>
  <c r="Q30" i="44" s="1"/>
  <c r="J30" i="39"/>
  <c r="U64" i="26"/>
  <c r="L30" i="39" s="1"/>
  <c r="D30" i="39"/>
  <c r="U58" i="26"/>
  <c r="L10" i="44"/>
  <c r="M10" i="44" s="1"/>
  <c r="X120" i="27"/>
  <c r="U120" i="27"/>
  <c r="U43" i="27"/>
  <c r="Q10" i="41" s="1"/>
  <c r="R10" i="41" s="1"/>
  <c r="L11" i="40"/>
  <c r="Q11" i="44"/>
  <c r="R11" i="44" s="1"/>
  <c r="X120" i="28"/>
  <c r="U120" i="28"/>
  <c r="D31" i="44"/>
  <c r="U108" i="29"/>
  <c r="D31" i="39"/>
  <c r="U58" i="29"/>
  <c r="E27" i="40"/>
  <c r="F27" i="40" s="1"/>
  <c r="R27" i="44"/>
  <c r="D22" i="44"/>
  <c r="U108" i="31"/>
  <c r="U43" i="31"/>
  <c r="Q22" i="41" s="1"/>
  <c r="R22" i="41" s="1"/>
  <c r="D12" i="39"/>
  <c r="U58" i="32"/>
  <c r="J12" i="39"/>
  <c r="U64" i="32"/>
  <c r="L12" i="39" s="1"/>
  <c r="L12" i="44"/>
  <c r="M12" i="44" s="1"/>
  <c r="X120" i="32"/>
  <c r="U120" i="32"/>
  <c r="L8" i="44"/>
  <c r="M8" i="44" s="1"/>
  <c r="X120" i="9"/>
  <c r="U120" i="9"/>
  <c r="J7" i="39"/>
  <c r="U64" i="8"/>
  <c r="E17" i="40"/>
  <c r="F17" i="40" s="1"/>
  <c r="E25" i="40"/>
  <c r="F25" i="40" s="1"/>
  <c r="E18" i="40"/>
  <c r="F18" i="40" s="1"/>
  <c r="X95" i="20"/>
  <c r="U95" i="20"/>
  <c r="R89" i="21"/>
  <c r="U93" i="21" s="1"/>
  <c r="Q29" i="40" s="1"/>
  <c r="U91" i="21"/>
  <c r="O29" i="40" s="1"/>
  <c r="J26" i="39"/>
  <c r="U64" i="24"/>
  <c r="L26" i="39" s="1"/>
  <c r="E31" i="40"/>
  <c r="F31" i="40" s="1"/>
  <c r="E20" i="40"/>
  <c r="L27" i="44"/>
  <c r="M27" i="44" s="1"/>
  <c r="U120" i="30"/>
  <c r="X120" i="30"/>
  <c r="D10" i="39"/>
  <c r="U58" i="27"/>
  <c r="O87" i="3"/>
  <c r="U83" i="3" s="1"/>
  <c r="E6" i="40" s="1"/>
  <c r="U81" i="3"/>
  <c r="C28" i="43"/>
  <c r="F28" i="43" s="1"/>
  <c r="AK28" i="43" s="1"/>
  <c r="E11" i="39"/>
  <c r="F11" i="39" s="1"/>
  <c r="X70" i="28"/>
  <c r="U70" i="28"/>
  <c r="E26" i="39"/>
  <c r="F26" i="39"/>
  <c r="F14" i="39"/>
  <c r="V23" i="44"/>
  <c r="X70" i="31"/>
  <c r="L22" i="39"/>
  <c r="M22" i="39" s="1"/>
  <c r="U70" i="31"/>
  <c r="M11" i="39"/>
  <c r="V28" i="39"/>
  <c r="W28" i="39" s="1"/>
  <c r="E17" i="39"/>
  <c r="F17" i="39" s="1"/>
  <c r="AK17" i="39" s="1"/>
  <c r="X70" i="15"/>
  <c r="U70" i="15"/>
  <c r="W34" i="44"/>
  <c r="E33" i="39"/>
  <c r="F33" i="39" s="1"/>
  <c r="V32" i="39"/>
  <c r="E16" i="39"/>
  <c r="F16" i="39" s="1"/>
  <c r="X70" i="11"/>
  <c r="U70" i="11"/>
  <c r="M16" i="39"/>
  <c r="AK16" i="39" s="1"/>
  <c r="L8" i="39"/>
  <c r="M8" i="39" s="1"/>
  <c r="X70" i="9"/>
  <c r="U70" i="9"/>
  <c r="V13" i="44"/>
  <c r="H4" i="39"/>
  <c r="V5" i="39"/>
  <c r="I4" i="41"/>
  <c r="W25" i="40"/>
  <c r="W30" i="40"/>
  <c r="E6" i="41"/>
  <c r="F6" i="41" s="1"/>
  <c r="W10" i="40"/>
  <c r="W22" i="40"/>
  <c r="R89" i="31"/>
  <c r="U93" i="31" s="1"/>
  <c r="Q22" i="40" s="1"/>
  <c r="R89" i="27"/>
  <c r="U93" i="27" s="1"/>
  <c r="Q10" i="40" s="1"/>
  <c r="F4" i="43"/>
  <c r="AK4" i="43" s="1"/>
  <c r="C4" i="43"/>
  <c r="P13" i="39"/>
  <c r="R89" i="3"/>
  <c r="U93" i="3" s="1"/>
  <c r="Q6" i="40" s="1"/>
  <c r="R6" i="40" s="1"/>
  <c r="C14" i="44"/>
  <c r="C13" i="44" s="1"/>
  <c r="AK22" i="39"/>
  <c r="AM22" i="39" s="1"/>
  <c r="P28" i="39"/>
  <c r="O28" i="44"/>
  <c r="O13" i="44"/>
  <c r="R89" i="25"/>
  <c r="U93" i="25" s="1"/>
  <c r="Q21" i="40" s="1"/>
  <c r="M19" i="40"/>
  <c r="AK19" i="40" s="1"/>
  <c r="C28" i="44"/>
  <c r="H28" i="44"/>
  <c r="O13" i="41"/>
  <c r="W18" i="40"/>
  <c r="C5" i="44"/>
  <c r="C25" i="41"/>
  <c r="D25" i="44"/>
  <c r="R39" i="10"/>
  <c r="P5" i="44"/>
  <c r="C14" i="41"/>
  <c r="I13" i="44"/>
  <c r="I4" i="44" s="1"/>
  <c r="O94" i="7"/>
  <c r="R89" i="17"/>
  <c r="U93" i="17" s="1"/>
  <c r="Q36" i="40" s="1"/>
  <c r="W35" i="40"/>
  <c r="P32" i="44"/>
  <c r="K13" i="44"/>
  <c r="C23" i="44"/>
  <c r="O23" i="44"/>
  <c r="H23" i="44"/>
  <c r="O32" i="44"/>
  <c r="C32" i="44"/>
  <c r="H13" i="44"/>
  <c r="P13" i="44"/>
  <c r="J6" i="39"/>
  <c r="H5" i="44"/>
  <c r="T5" i="44"/>
  <c r="AK19" i="41"/>
  <c r="C12" i="39"/>
  <c r="R89" i="32"/>
  <c r="U93" i="32" s="1"/>
  <c r="Q12" i="40" s="1"/>
  <c r="O94" i="32"/>
  <c r="U89" i="32" s="1"/>
  <c r="L12" i="40" s="1"/>
  <c r="W12" i="40"/>
  <c r="O87" i="32"/>
  <c r="U83" i="32" s="1"/>
  <c r="O94" i="31"/>
  <c r="U89" i="31" s="1"/>
  <c r="L22" i="40" s="1"/>
  <c r="O87" i="31"/>
  <c r="U83" i="31" s="1"/>
  <c r="R89" i="30"/>
  <c r="U93" i="30" s="1"/>
  <c r="Q27" i="40" s="1"/>
  <c r="C27" i="39"/>
  <c r="O94" i="30"/>
  <c r="U89" i="30" s="1"/>
  <c r="W27" i="40"/>
  <c r="W31" i="40"/>
  <c r="V28" i="41"/>
  <c r="W28" i="41" s="1"/>
  <c r="R89" i="29"/>
  <c r="U93" i="29" s="1"/>
  <c r="J31" i="39"/>
  <c r="C31" i="39"/>
  <c r="P5" i="39"/>
  <c r="W11" i="40"/>
  <c r="O94" i="27"/>
  <c r="U89" i="27" s="1"/>
  <c r="L10" i="40" s="1"/>
  <c r="O87" i="27"/>
  <c r="U83" i="27" s="1"/>
  <c r="O94" i="26"/>
  <c r="U89" i="26" s="1"/>
  <c r="L30" i="40" s="1"/>
  <c r="O87" i="26"/>
  <c r="U83" i="26" s="1"/>
  <c r="C30" i="39"/>
  <c r="R89" i="26"/>
  <c r="U93" i="26" s="1"/>
  <c r="Q30" i="40" s="1"/>
  <c r="O94" i="25"/>
  <c r="U89" i="25" s="1"/>
  <c r="L21" i="40" s="1"/>
  <c r="W21" i="40"/>
  <c r="O87" i="25"/>
  <c r="U83" i="25" s="1"/>
  <c r="C21" i="39"/>
  <c r="W26" i="40"/>
  <c r="R89" i="24"/>
  <c r="U93" i="24" s="1"/>
  <c r="C20" i="39"/>
  <c r="F20" i="40"/>
  <c r="R89" i="23"/>
  <c r="U93" i="23" s="1"/>
  <c r="W20" i="40"/>
  <c r="C19" i="39"/>
  <c r="T28" i="40"/>
  <c r="W29" i="40"/>
  <c r="O94" i="21"/>
  <c r="U89" i="21" s="1"/>
  <c r="L29" i="40" s="1"/>
  <c r="C29" i="39"/>
  <c r="O28" i="39"/>
  <c r="O87" i="21"/>
  <c r="U83" i="21" s="1"/>
  <c r="M18" i="40"/>
  <c r="C18" i="39"/>
  <c r="R18" i="40"/>
  <c r="W9" i="40"/>
  <c r="R89" i="19"/>
  <c r="U93" i="19" s="1"/>
  <c r="C9" i="39"/>
  <c r="P23" i="39"/>
  <c r="C25" i="39"/>
  <c r="V23" i="41"/>
  <c r="J36" i="39"/>
  <c r="M36" i="39" s="1"/>
  <c r="O94" i="17"/>
  <c r="U89" i="17" s="1"/>
  <c r="L36" i="40" s="1"/>
  <c r="C36" i="39"/>
  <c r="O87" i="17"/>
  <c r="U83" i="17" s="1"/>
  <c r="W36" i="40"/>
  <c r="O94" i="16"/>
  <c r="U89" i="16" s="1"/>
  <c r="L35" i="40" s="1"/>
  <c r="R89" i="16"/>
  <c r="U93" i="16" s="1"/>
  <c r="Q35" i="40" s="1"/>
  <c r="O87" i="16"/>
  <c r="U83" i="16" s="1"/>
  <c r="C35" i="39"/>
  <c r="W17" i="40"/>
  <c r="C34" i="39"/>
  <c r="R89" i="14"/>
  <c r="U93" i="14" s="1"/>
  <c r="V32" i="41"/>
  <c r="V32" i="40"/>
  <c r="R89" i="13"/>
  <c r="U93" i="13" s="1"/>
  <c r="Q24" i="40" s="1"/>
  <c r="O23" i="39"/>
  <c r="T23" i="41"/>
  <c r="O94" i="13"/>
  <c r="U89" i="13" s="1"/>
  <c r="L24" i="40" s="1"/>
  <c r="C24" i="39"/>
  <c r="O87" i="13"/>
  <c r="U83" i="13" s="1"/>
  <c r="J24" i="39"/>
  <c r="W24" i="40"/>
  <c r="T23" i="40"/>
  <c r="R89" i="12"/>
  <c r="U93" i="12" s="1"/>
  <c r="Q33" i="40" s="1"/>
  <c r="W33" i="40"/>
  <c r="T32" i="40"/>
  <c r="O32" i="39"/>
  <c r="T32" i="41"/>
  <c r="O94" i="12"/>
  <c r="U89" i="12" s="1"/>
  <c r="L33" i="40" s="1"/>
  <c r="O87" i="12"/>
  <c r="U83" i="12" s="1"/>
  <c r="W16" i="40"/>
  <c r="R89" i="11"/>
  <c r="U93" i="11" s="1"/>
  <c r="Q16" i="40" s="1"/>
  <c r="O87" i="11"/>
  <c r="U83" i="11" s="1"/>
  <c r="O94" i="11"/>
  <c r="U89" i="11" s="1"/>
  <c r="L16" i="40" s="1"/>
  <c r="W15" i="40"/>
  <c r="M15" i="40"/>
  <c r="C15" i="39"/>
  <c r="R89" i="10"/>
  <c r="U93" i="10" s="1"/>
  <c r="R89" i="8"/>
  <c r="U93" i="8" s="1"/>
  <c r="W7" i="40"/>
  <c r="T6" i="40"/>
  <c r="O13" i="39"/>
  <c r="T13" i="40"/>
  <c r="R89" i="7"/>
  <c r="U93" i="7" s="1"/>
  <c r="Q14" i="40" s="1"/>
  <c r="T6" i="39"/>
  <c r="W6" i="39" s="1"/>
  <c r="R90" i="3"/>
  <c r="X83" i="3" s="1"/>
  <c r="V6" i="40" s="1"/>
  <c r="O94" i="9"/>
  <c r="U89" i="9" s="1"/>
  <c r="L8" i="40" s="1"/>
  <c r="M8" i="40" s="1"/>
  <c r="O87" i="9"/>
  <c r="U83" i="9" s="1"/>
  <c r="T15" i="41"/>
  <c r="R40" i="10"/>
  <c r="O94" i="3"/>
  <c r="U89" i="3" s="1"/>
  <c r="L6" i="40" s="1"/>
  <c r="M6" i="40" s="1"/>
  <c r="X95" i="15" l="1"/>
  <c r="AK11" i="44"/>
  <c r="W28" i="44"/>
  <c r="D28" i="39"/>
  <c r="AM19" i="40"/>
  <c r="U95" i="18"/>
  <c r="X95" i="18"/>
  <c r="W13" i="44"/>
  <c r="U4" i="44"/>
  <c r="D32" i="44"/>
  <c r="W23" i="44"/>
  <c r="R28" i="39"/>
  <c r="F25" i="44"/>
  <c r="AK25" i="44" s="1"/>
  <c r="AM25" i="44" s="1"/>
  <c r="W23" i="41"/>
  <c r="U95" i="28"/>
  <c r="X95" i="28"/>
  <c r="AK11" i="39"/>
  <c r="AM11" i="39" s="1"/>
  <c r="R29" i="40"/>
  <c r="D28" i="44"/>
  <c r="U4" i="39"/>
  <c r="U95" i="15"/>
  <c r="U70" i="12"/>
  <c r="D13" i="44"/>
  <c r="AK8" i="39"/>
  <c r="AM8" i="39" s="1"/>
  <c r="F14" i="41"/>
  <c r="AM11" i="44"/>
  <c r="Q23" i="44"/>
  <c r="R23" i="44" s="1"/>
  <c r="AM16" i="39"/>
  <c r="AM17" i="39"/>
  <c r="W32" i="39"/>
  <c r="X70" i="12"/>
  <c r="D5" i="39"/>
  <c r="J13" i="39"/>
  <c r="D13" i="39"/>
  <c r="D32" i="39"/>
  <c r="D23" i="39"/>
  <c r="L13" i="39"/>
  <c r="F25" i="41"/>
  <c r="W32" i="41"/>
  <c r="U45" i="31"/>
  <c r="X45" i="31"/>
  <c r="R23" i="39"/>
  <c r="U70" i="24"/>
  <c r="X70" i="24"/>
  <c r="M26" i="39"/>
  <c r="AK26" i="39" s="1"/>
  <c r="Q28" i="41"/>
  <c r="R29" i="41"/>
  <c r="T13" i="41"/>
  <c r="X33" i="10"/>
  <c r="V15" i="41" s="1"/>
  <c r="E8" i="40"/>
  <c r="X95" i="9"/>
  <c r="U95" i="9"/>
  <c r="Q7" i="40"/>
  <c r="X95" i="8"/>
  <c r="U95" i="8"/>
  <c r="Q15" i="40"/>
  <c r="X95" i="10"/>
  <c r="U95" i="10"/>
  <c r="E16" i="40"/>
  <c r="X95" i="11"/>
  <c r="U95" i="11"/>
  <c r="E33" i="40"/>
  <c r="U95" i="12"/>
  <c r="X95" i="12"/>
  <c r="J23" i="39"/>
  <c r="M24" i="39"/>
  <c r="E24" i="40"/>
  <c r="E23" i="40" s="1"/>
  <c r="X95" i="13"/>
  <c r="U95" i="13"/>
  <c r="Q34" i="40"/>
  <c r="X95" i="14"/>
  <c r="U95" i="14"/>
  <c r="E35" i="40"/>
  <c r="X95" i="16"/>
  <c r="U95" i="16"/>
  <c r="E36" i="40"/>
  <c r="X95" i="17"/>
  <c r="U95" i="17"/>
  <c r="Q9" i="40"/>
  <c r="X95" i="19"/>
  <c r="U95" i="19"/>
  <c r="E29" i="40"/>
  <c r="X95" i="21"/>
  <c r="U95" i="21"/>
  <c r="Q20" i="40"/>
  <c r="U95" i="23"/>
  <c r="X95" i="23"/>
  <c r="Q26" i="40"/>
  <c r="X95" i="24"/>
  <c r="U95" i="24"/>
  <c r="E21" i="40"/>
  <c r="U95" i="25"/>
  <c r="X95" i="25"/>
  <c r="E30" i="40"/>
  <c r="X95" i="26"/>
  <c r="U95" i="26"/>
  <c r="E10" i="40"/>
  <c r="X95" i="27"/>
  <c r="U95" i="27"/>
  <c r="J28" i="39"/>
  <c r="M31" i="39"/>
  <c r="Q31" i="40"/>
  <c r="X95" i="29"/>
  <c r="U95" i="29"/>
  <c r="L27" i="40"/>
  <c r="U95" i="30"/>
  <c r="X95" i="30"/>
  <c r="E22" i="40"/>
  <c r="U95" i="31"/>
  <c r="X95" i="31"/>
  <c r="E12" i="40"/>
  <c r="X95" i="32"/>
  <c r="U95" i="32"/>
  <c r="J5" i="39"/>
  <c r="M6" i="39"/>
  <c r="AK6" i="39" s="1"/>
  <c r="AM6" i="39" s="1"/>
  <c r="U89" i="7"/>
  <c r="U43" i="10"/>
  <c r="Q15" i="41" s="1"/>
  <c r="R15" i="41" s="1"/>
  <c r="X95" i="3"/>
  <c r="C6" i="40"/>
  <c r="F6" i="40" s="1"/>
  <c r="U95" i="3"/>
  <c r="E10" i="39"/>
  <c r="F10" i="39" s="1"/>
  <c r="AK10" i="39" s="1"/>
  <c r="X70" i="27"/>
  <c r="U70" i="27"/>
  <c r="L7" i="39"/>
  <c r="M7" i="39" s="1"/>
  <c r="AK7" i="39" s="1"/>
  <c r="X70" i="8"/>
  <c r="U70" i="8"/>
  <c r="M12" i="39"/>
  <c r="E12" i="39"/>
  <c r="F12" i="39" s="1"/>
  <c r="X70" i="32"/>
  <c r="U70" i="32"/>
  <c r="E22" i="44"/>
  <c r="F22" i="44" s="1"/>
  <c r="AK22" i="44" s="1"/>
  <c r="U120" i="31"/>
  <c r="X120" i="31"/>
  <c r="E31" i="39"/>
  <c r="F31" i="39" s="1"/>
  <c r="X70" i="29"/>
  <c r="U70" i="29"/>
  <c r="E31" i="44"/>
  <c r="F31" i="44" s="1"/>
  <c r="AK31" i="44" s="1"/>
  <c r="X120" i="29"/>
  <c r="U120" i="29"/>
  <c r="X45" i="27"/>
  <c r="U45" i="27"/>
  <c r="E30" i="39"/>
  <c r="F30" i="39" s="1"/>
  <c r="X70" i="26"/>
  <c r="U70" i="26"/>
  <c r="M30" i="39"/>
  <c r="R30" i="44"/>
  <c r="Q28" i="44"/>
  <c r="R28" i="44" s="1"/>
  <c r="E30" i="44"/>
  <c r="F30" i="44" s="1"/>
  <c r="X120" i="26"/>
  <c r="U120" i="26"/>
  <c r="M21" i="39"/>
  <c r="E21" i="39"/>
  <c r="F21" i="39" s="1"/>
  <c r="X70" i="25"/>
  <c r="U70" i="25"/>
  <c r="E21" i="44"/>
  <c r="F21" i="44" s="1"/>
  <c r="AK21" i="44" s="1"/>
  <c r="X120" i="25"/>
  <c r="U120" i="25"/>
  <c r="M26" i="44"/>
  <c r="L23" i="44"/>
  <c r="M23" i="44" s="1"/>
  <c r="M20" i="39"/>
  <c r="AK20" i="39" s="1"/>
  <c r="E20" i="44"/>
  <c r="F20" i="44" s="1"/>
  <c r="AK20" i="44" s="1"/>
  <c r="X120" i="23"/>
  <c r="U120" i="23"/>
  <c r="E20" i="39"/>
  <c r="F20" i="39" s="1"/>
  <c r="X70" i="23"/>
  <c r="U70" i="23"/>
  <c r="M19" i="39"/>
  <c r="E19" i="39"/>
  <c r="F19" i="39" s="1"/>
  <c r="AK19" i="39" s="1"/>
  <c r="U70" i="22"/>
  <c r="X70" i="22"/>
  <c r="E29" i="39"/>
  <c r="X70" i="21"/>
  <c r="U70" i="21"/>
  <c r="L28" i="44"/>
  <c r="M28" i="44" s="1"/>
  <c r="M29" i="44"/>
  <c r="L28" i="39"/>
  <c r="M29" i="39"/>
  <c r="X45" i="21"/>
  <c r="U45" i="21"/>
  <c r="E29" i="44"/>
  <c r="X120" i="21"/>
  <c r="U120" i="21"/>
  <c r="M18" i="39"/>
  <c r="E18" i="39"/>
  <c r="F18" i="39" s="1"/>
  <c r="X70" i="20"/>
  <c r="U70" i="20"/>
  <c r="M9" i="39"/>
  <c r="E9" i="39"/>
  <c r="X70" i="19"/>
  <c r="U70" i="19"/>
  <c r="E9" i="44"/>
  <c r="X120" i="19"/>
  <c r="U120" i="19"/>
  <c r="E25" i="39"/>
  <c r="F25" i="39" s="1"/>
  <c r="X70" i="18"/>
  <c r="U70" i="18"/>
  <c r="M25" i="39"/>
  <c r="X45" i="17"/>
  <c r="U45" i="17"/>
  <c r="E36" i="39"/>
  <c r="F36" i="39" s="1"/>
  <c r="U70" i="17"/>
  <c r="X70" i="17"/>
  <c r="M36" i="44"/>
  <c r="AK36" i="44" s="1"/>
  <c r="AM36" i="44" s="1"/>
  <c r="L32" i="44"/>
  <c r="E35" i="39"/>
  <c r="F35" i="39" s="1"/>
  <c r="X70" i="16"/>
  <c r="U70" i="16"/>
  <c r="M35" i="39"/>
  <c r="AK35" i="39" s="1"/>
  <c r="R35" i="44"/>
  <c r="AK35" i="44" s="1"/>
  <c r="AM35" i="44" s="1"/>
  <c r="Q32" i="44"/>
  <c r="R32" i="44" s="1"/>
  <c r="E17" i="44"/>
  <c r="F17" i="44" s="1"/>
  <c r="AK17" i="44" s="1"/>
  <c r="X120" i="15"/>
  <c r="U120" i="15"/>
  <c r="M34" i="39"/>
  <c r="E34" i="44"/>
  <c r="F34" i="44" s="1"/>
  <c r="AK34" i="44" s="1"/>
  <c r="X120" i="14"/>
  <c r="U120" i="14"/>
  <c r="E34" i="39"/>
  <c r="X70" i="14"/>
  <c r="U70" i="14"/>
  <c r="E24" i="39"/>
  <c r="U70" i="13"/>
  <c r="X70" i="13"/>
  <c r="E24" i="44"/>
  <c r="U120" i="13"/>
  <c r="X120" i="13"/>
  <c r="R33" i="39"/>
  <c r="Q32" i="39"/>
  <c r="R32" i="39" s="1"/>
  <c r="E33" i="44"/>
  <c r="U120" i="12"/>
  <c r="X120" i="12"/>
  <c r="L32" i="39"/>
  <c r="M32" i="39" s="1"/>
  <c r="M33" i="39"/>
  <c r="E16" i="44"/>
  <c r="F16" i="44" s="1"/>
  <c r="AK16" i="44" s="1"/>
  <c r="X120" i="11"/>
  <c r="U120" i="11"/>
  <c r="M15" i="39"/>
  <c r="E15" i="39"/>
  <c r="X70" i="10"/>
  <c r="U70" i="10"/>
  <c r="Q13" i="44"/>
  <c r="R13" i="44" s="1"/>
  <c r="R15" i="44"/>
  <c r="AK15" i="44" s="1"/>
  <c r="AM15" i="44" s="1"/>
  <c r="R7" i="44"/>
  <c r="AK7" i="44" s="1"/>
  <c r="AM7" i="44" s="1"/>
  <c r="Q5" i="44"/>
  <c r="V14" i="39"/>
  <c r="X70" i="7"/>
  <c r="U70" i="7"/>
  <c r="M13" i="44"/>
  <c r="E14" i="44"/>
  <c r="U120" i="7"/>
  <c r="X120" i="7"/>
  <c r="V6" i="44"/>
  <c r="U120" i="3"/>
  <c r="X120" i="3"/>
  <c r="L5" i="44"/>
  <c r="M6" i="44"/>
  <c r="X45" i="32"/>
  <c r="U45" i="32"/>
  <c r="X45" i="29"/>
  <c r="U45" i="29"/>
  <c r="X45" i="19"/>
  <c r="U45" i="19"/>
  <c r="X45" i="14"/>
  <c r="U45" i="14"/>
  <c r="X45" i="25"/>
  <c r="U45" i="25"/>
  <c r="U45" i="15"/>
  <c r="X45" i="15"/>
  <c r="U45" i="30"/>
  <c r="X45" i="30"/>
  <c r="X45" i="12"/>
  <c r="U45" i="12"/>
  <c r="X45" i="16"/>
  <c r="U45" i="16"/>
  <c r="X45" i="22"/>
  <c r="AM19" i="41" s="1"/>
  <c r="U45" i="22"/>
  <c r="U45" i="8"/>
  <c r="X45" i="8"/>
  <c r="X45" i="18"/>
  <c r="U45" i="18"/>
  <c r="X45" i="11"/>
  <c r="U45" i="11"/>
  <c r="X45" i="9"/>
  <c r="U45" i="9"/>
  <c r="X45" i="26"/>
  <c r="U45" i="26"/>
  <c r="X45" i="20"/>
  <c r="U45" i="20"/>
  <c r="X70" i="30"/>
  <c r="L27" i="39"/>
  <c r="E27" i="39"/>
  <c r="F27" i="39" s="1"/>
  <c r="U70" i="30"/>
  <c r="E18" i="44"/>
  <c r="F18" i="44" s="1"/>
  <c r="AK18" i="44" s="1"/>
  <c r="X120" i="20"/>
  <c r="U120" i="20"/>
  <c r="Q13" i="39"/>
  <c r="R14" i="39"/>
  <c r="X45" i="7"/>
  <c r="U45" i="7"/>
  <c r="AK27" i="44"/>
  <c r="AM27" i="44" s="1"/>
  <c r="O5" i="39"/>
  <c r="AK26" i="44"/>
  <c r="AM26" i="44" s="1"/>
  <c r="AK8" i="44"/>
  <c r="AM8" i="44" s="1"/>
  <c r="M31" i="40"/>
  <c r="D23" i="44"/>
  <c r="R10" i="40"/>
  <c r="R22" i="40"/>
  <c r="M25" i="40"/>
  <c r="AK25" i="40" s="1"/>
  <c r="AM25" i="40" s="1"/>
  <c r="V23" i="40"/>
  <c r="W23" i="40" s="1"/>
  <c r="M9" i="40"/>
  <c r="H32" i="44"/>
  <c r="AK12" i="44"/>
  <c r="AM12" i="44" s="1"/>
  <c r="K5" i="44"/>
  <c r="R21" i="40"/>
  <c r="V28" i="40"/>
  <c r="W28" i="40" s="1"/>
  <c r="AK10" i="44"/>
  <c r="AM10" i="44" s="1"/>
  <c r="AK18" i="40"/>
  <c r="AM18" i="40" s="1"/>
  <c r="AK18" i="41"/>
  <c r="P4" i="39"/>
  <c r="R36" i="40"/>
  <c r="P4" i="44"/>
  <c r="C4" i="44"/>
  <c r="W5" i="44"/>
  <c r="T4" i="44"/>
  <c r="O5" i="44"/>
  <c r="C12" i="40"/>
  <c r="C22" i="40"/>
  <c r="E13" i="41"/>
  <c r="AK27" i="41"/>
  <c r="AM27" i="41" s="1"/>
  <c r="AK31" i="41"/>
  <c r="AM31" i="41" s="1"/>
  <c r="M11" i="40"/>
  <c r="AK11" i="40" s="1"/>
  <c r="AK11" i="41"/>
  <c r="AM11" i="41" s="1"/>
  <c r="C10" i="40"/>
  <c r="C30" i="40"/>
  <c r="C21" i="40"/>
  <c r="AK26" i="41"/>
  <c r="AM26" i="41" s="1"/>
  <c r="AK20" i="41"/>
  <c r="AM20" i="41" s="1"/>
  <c r="M20" i="40"/>
  <c r="L28" i="41"/>
  <c r="M28" i="41" s="1"/>
  <c r="C29" i="40"/>
  <c r="C28" i="39"/>
  <c r="C5" i="39"/>
  <c r="AK25" i="41"/>
  <c r="AK36" i="39"/>
  <c r="C36" i="40"/>
  <c r="C32" i="39"/>
  <c r="C35" i="40"/>
  <c r="M17" i="40"/>
  <c r="AK17" i="40" s="1"/>
  <c r="AM17" i="40" s="1"/>
  <c r="AK17" i="41"/>
  <c r="W32" i="40"/>
  <c r="R34" i="40"/>
  <c r="W34" i="40"/>
  <c r="M34" i="40"/>
  <c r="E23" i="41"/>
  <c r="C24" i="40"/>
  <c r="C23" i="39"/>
  <c r="L23" i="41"/>
  <c r="M23" i="41" s="1"/>
  <c r="C33" i="40"/>
  <c r="L32" i="41"/>
  <c r="M32" i="41" s="1"/>
  <c r="C16" i="40"/>
  <c r="L13" i="41"/>
  <c r="M13" i="41" s="1"/>
  <c r="C13" i="39"/>
  <c r="V13" i="40"/>
  <c r="W13" i="40" s="1"/>
  <c r="C8" i="40"/>
  <c r="Q5" i="41"/>
  <c r="AK7" i="41"/>
  <c r="V5" i="41"/>
  <c r="V5" i="40"/>
  <c r="T5" i="41"/>
  <c r="F14" i="40"/>
  <c r="W14" i="40"/>
  <c r="T5" i="40"/>
  <c r="T5" i="39"/>
  <c r="W5" i="39" s="1"/>
  <c r="AM16" i="44" l="1"/>
  <c r="AK30" i="44"/>
  <c r="AM18" i="41"/>
  <c r="AM19" i="39"/>
  <c r="AM11" i="40"/>
  <c r="W4" i="44"/>
  <c r="AM31" i="44"/>
  <c r="U45" i="10"/>
  <c r="AM7" i="41"/>
  <c r="AM26" i="39"/>
  <c r="AM17" i="44"/>
  <c r="AM20" i="44"/>
  <c r="AK31" i="39"/>
  <c r="AM31" i="39" s="1"/>
  <c r="R5" i="44"/>
  <c r="AM30" i="44"/>
  <c r="AM21" i="44"/>
  <c r="AM36" i="39"/>
  <c r="AM35" i="39"/>
  <c r="M13" i="39"/>
  <c r="D4" i="44"/>
  <c r="M32" i="44"/>
  <c r="L4" i="44"/>
  <c r="J4" i="39"/>
  <c r="M5" i="44"/>
  <c r="D4" i="39"/>
  <c r="Q4" i="44"/>
  <c r="AM7" i="39"/>
  <c r="AM20" i="39"/>
  <c r="AK33" i="39"/>
  <c r="AM33" i="39" s="1"/>
  <c r="AK18" i="39"/>
  <c r="AM18" i="39" s="1"/>
  <c r="AK21" i="39"/>
  <c r="AM21" i="39" s="1"/>
  <c r="AK12" i="39"/>
  <c r="AM12" i="39" s="1"/>
  <c r="AK25" i="39"/>
  <c r="AM25" i="39" s="1"/>
  <c r="AK30" i="39"/>
  <c r="AM30" i="39" s="1"/>
  <c r="AM25" i="41"/>
  <c r="AM17" i="41"/>
  <c r="X45" i="10"/>
  <c r="L5" i="39"/>
  <c r="M28" i="39"/>
  <c r="W15" i="41"/>
  <c r="AK15" i="41" s="1"/>
  <c r="V13" i="41"/>
  <c r="V4" i="41" s="1"/>
  <c r="T4" i="41"/>
  <c r="W5" i="41"/>
  <c r="O4" i="39"/>
  <c r="R5" i="39"/>
  <c r="R13" i="39"/>
  <c r="Q4" i="39"/>
  <c r="AM18" i="44"/>
  <c r="M27" i="39"/>
  <c r="AK27" i="39" s="1"/>
  <c r="AM27" i="39" s="1"/>
  <c r="L23" i="39"/>
  <c r="M23" i="39" s="1"/>
  <c r="V5" i="44"/>
  <c r="V4" i="44" s="1"/>
  <c r="W6" i="44"/>
  <c r="AK6" i="44" s="1"/>
  <c r="AM6" i="44" s="1"/>
  <c r="E13" i="44"/>
  <c r="F13" i="44" s="1"/>
  <c r="AK13" i="44" s="1"/>
  <c r="F14" i="44"/>
  <c r="AK14" i="44" s="1"/>
  <c r="AM14" i="44" s="1"/>
  <c r="V13" i="39"/>
  <c r="W14" i="39"/>
  <c r="AK14" i="39" s="1"/>
  <c r="AM14" i="39" s="1"/>
  <c r="E13" i="39"/>
  <c r="F13" i="39" s="1"/>
  <c r="F15" i="39"/>
  <c r="AK15" i="39" s="1"/>
  <c r="AM15" i="39" s="1"/>
  <c r="E32" i="44"/>
  <c r="F32" i="44" s="1"/>
  <c r="F33" i="44"/>
  <c r="AK33" i="44" s="1"/>
  <c r="AM33" i="44" s="1"/>
  <c r="E23" i="44"/>
  <c r="F23" i="44" s="1"/>
  <c r="AK23" i="44" s="1"/>
  <c r="F24" i="44"/>
  <c r="AK24" i="44" s="1"/>
  <c r="AM24" i="44" s="1"/>
  <c r="E23" i="39"/>
  <c r="F23" i="39" s="1"/>
  <c r="F24" i="39"/>
  <c r="AK24" i="39" s="1"/>
  <c r="AM24" i="39" s="1"/>
  <c r="F34" i="39"/>
  <c r="AK34" i="39" s="1"/>
  <c r="AM34" i="39" s="1"/>
  <c r="E32" i="39"/>
  <c r="F32" i="39" s="1"/>
  <c r="AK32" i="39" s="1"/>
  <c r="AM34" i="44"/>
  <c r="F9" i="44"/>
  <c r="AK9" i="44" s="1"/>
  <c r="AM9" i="44" s="1"/>
  <c r="E5" i="44"/>
  <c r="E5" i="39"/>
  <c r="F9" i="39"/>
  <c r="AK9" i="39" s="1"/>
  <c r="AM9" i="39" s="1"/>
  <c r="E28" i="44"/>
  <c r="F28" i="44" s="1"/>
  <c r="AK28" i="44" s="1"/>
  <c r="F29" i="44"/>
  <c r="AK29" i="44" s="1"/>
  <c r="AM29" i="44" s="1"/>
  <c r="E28" i="39"/>
  <c r="F28" i="39" s="1"/>
  <c r="F29" i="39"/>
  <c r="AK29" i="39" s="1"/>
  <c r="AM29" i="39" s="1"/>
  <c r="AM22" i="44"/>
  <c r="AM10" i="39"/>
  <c r="L14" i="40"/>
  <c r="M14" i="40" s="1"/>
  <c r="X95" i="7"/>
  <c r="U95" i="7"/>
  <c r="M5" i="39"/>
  <c r="Q5" i="40"/>
  <c r="Q28" i="40"/>
  <c r="W6" i="40"/>
  <c r="R20" i="40"/>
  <c r="AK20" i="40" s="1"/>
  <c r="AM20" i="40" s="1"/>
  <c r="R16" i="40"/>
  <c r="R35" i="40"/>
  <c r="L13" i="40"/>
  <c r="M13" i="40" s="1"/>
  <c r="K4" i="44"/>
  <c r="E32" i="40"/>
  <c r="H4" i="44"/>
  <c r="R27" i="40"/>
  <c r="R9" i="40"/>
  <c r="AK9" i="40" s="1"/>
  <c r="AM9" i="40" s="1"/>
  <c r="L23" i="40"/>
  <c r="M27" i="40"/>
  <c r="L28" i="40"/>
  <c r="Q13" i="40"/>
  <c r="L32" i="40"/>
  <c r="F36" i="40"/>
  <c r="M35" i="40"/>
  <c r="F21" i="40"/>
  <c r="AK34" i="40"/>
  <c r="AM34" i="40" s="1"/>
  <c r="Q32" i="40"/>
  <c r="E13" i="40"/>
  <c r="R15" i="40"/>
  <c r="AK15" i="40" s="1"/>
  <c r="AM15" i="40" s="1"/>
  <c r="F8" i="40"/>
  <c r="O4" i="44"/>
  <c r="AK34" i="41"/>
  <c r="AM34" i="41" s="1"/>
  <c r="AK10" i="41"/>
  <c r="AM10" i="41" s="1"/>
  <c r="F12" i="40"/>
  <c r="M12" i="40"/>
  <c r="AK12" i="41"/>
  <c r="AM12" i="41" s="1"/>
  <c r="R12" i="40"/>
  <c r="M22" i="40"/>
  <c r="F22" i="40"/>
  <c r="R31" i="40"/>
  <c r="AK31" i="40" s="1"/>
  <c r="AM31" i="40" s="1"/>
  <c r="F10" i="40"/>
  <c r="L5" i="40"/>
  <c r="M10" i="40"/>
  <c r="E28" i="40"/>
  <c r="O28" i="41"/>
  <c r="R28" i="41" s="1"/>
  <c r="M30" i="40"/>
  <c r="R30" i="40"/>
  <c r="O28" i="40"/>
  <c r="E28" i="41"/>
  <c r="F30" i="40"/>
  <c r="AK21" i="41"/>
  <c r="AM21" i="41" s="1"/>
  <c r="C13" i="40"/>
  <c r="M21" i="40"/>
  <c r="Q23" i="41"/>
  <c r="Q23" i="40"/>
  <c r="R26" i="40"/>
  <c r="AK26" i="40" s="1"/>
  <c r="AM26" i="40" s="1"/>
  <c r="H28" i="40"/>
  <c r="M29" i="40"/>
  <c r="C28" i="41"/>
  <c r="F29" i="40"/>
  <c r="C28" i="40"/>
  <c r="V4" i="40"/>
  <c r="AK9" i="41"/>
  <c r="AM9" i="41" s="1"/>
  <c r="M36" i="40"/>
  <c r="E32" i="41"/>
  <c r="F35" i="40"/>
  <c r="Q32" i="41"/>
  <c r="C23" i="40"/>
  <c r="F23" i="40" s="1"/>
  <c r="F24" i="40"/>
  <c r="H23" i="40"/>
  <c r="M24" i="40"/>
  <c r="C23" i="41"/>
  <c r="F23" i="41" s="1"/>
  <c r="O23" i="41"/>
  <c r="R24" i="40"/>
  <c r="O23" i="40"/>
  <c r="O32" i="40"/>
  <c r="R33" i="40"/>
  <c r="O32" i="41"/>
  <c r="C32" i="40"/>
  <c r="F33" i="40"/>
  <c r="H32" i="40"/>
  <c r="M33" i="40"/>
  <c r="C32" i="41"/>
  <c r="F16" i="40"/>
  <c r="M16" i="40"/>
  <c r="C13" i="41"/>
  <c r="F13" i="41" s="1"/>
  <c r="C4" i="39"/>
  <c r="L5" i="41"/>
  <c r="L4" i="41" s="1"/>
  <c r="AK8" i="41"/>
  <c r="AM8" i="41" s="1"/>
  <c r="O5" i="41"/>
  <c r="R5" i="41" s="1"/>
  <c r="R7" i="40"/>
  <c r="AK7" i="40" s="1"/>
  <c r="AM7" i="40" s="1"/>
  <c r="O5" i="40"/>
  <c r="H5" i="40"/>
  <c r="H5" i="41"/>
  <c r="E5" i="41"/>
  <c r="E5" i="40"/>
  <c r="AK14" i="41"/>
  <c r="AM14" i="41" s="1"/>
  <c r="Q13" i="41"/>
  <c r="R13" i="41" s="1"/>
  <c r="R14" i="40"/>
  <c r="AK14" i="40" s="1"/>
  <c r="O13" i="40"/>
  <c r="T4" i="40"/>
  <c r="W5" i="40"/>
  <c r="W4" i="40" s="1"/>
  <c r="T4" i="39"/>
  <c r="AK28" i="39" l="1"/>
  <c r="M4" i="39"/>
  <c r="AM14" i="40"/>
  <c r="AK27" i="40"/>
  <c r="AM27" i="40" s="1"/>
  <c r="R28" i="40"/>
  <c r="R23" i="41"/>
  <c r="AK23" i="41" s="1"/>
  <c r="AK36" i="40"/>
  <c r="AM36" i="40" s="1"/>
  <c r="R32" i="41"/>
  <c r="AK32" i="44"/>
  <c r="R4" i="44"/>
  <c r="L4" i="39"/>
  <c r="R4" i="39"/>
  <c r="AK23" i="39"/>
  <c r="W13" i="41"/>
  <c r="W4" i="41" s="1"/>
  <c r="AM15" i="41"/>
  <c r="M5" i="41"/>
  <c r="M4" i="41" s="1"/>
  <c r="F32" i="41"/>
  <c r="F28" i="41"/>
  <c r="AK28" i="41" s="1"/>
  <c r="E4" i="39"/>
  <c r="F5" i="39"/>
  <c r="F4" i="39" s="1"/>
  <c r="E4" i="44"/>
  <c r="F4" i="44" s="1"/>
  <c r="F5" i="44"/>
  <c r="AK5" i="44" s="1"/>
  <c r="V4" i="39"/>
  <c r="W13" i="39"/>
  <c r="W4" i="39" s="1"/>
  <c r="R23" i="40"/>
  <c r="R5" i="40"/>
  <c r="F32" i="40"/>
  <c r="AK35" i="40"/>
  <c r="AM35" i="40" s="1"/>
  <c r="AK21" i="40"/>
  <c r="AM21" i="40" s="1"/>
  <c r="M4" i="44"/>
  <c r="M28" i="40"/>
  <c r="AK30" i="41"/>
  <c r="AM30" i="41" s="1"/>
  <c r="M23" i="40"/>
  <c r="AK23" i="40" s="1"/>
  <c r="AK12" i="40"/>
  <c r="AM12" i="40" s="1"/>
  <c r="AK10" i="40"/>
  <c r="AM10" i="40" s="1"/>
  <c r="F13" i="40"/>
  <c r="M32" i="40"/>
  <c r="L4" i="40"/>
  <c r="E4" i="40"/>
  <c r="AK8" i="40"/>
  <c r="AM8" i="40" s="1"/>
  <c r="Q4" i="40"/>
  <c r="R32" i="40"/>
  <c r="AK16" i="40"/>
  <c r="AM16" i="40" s="1"/>
  <c r="AK22" i="41"/>
  <c r="AM22" i="41" s="1"/>
  <c r="AK16" i="41"/>
  <c r="AM16" i="41" s="1"/>
  <c r="AK29" i="41"/>
  <c r="AM29" i="41" s="1"/>
  <c r="O4" i="40"/>
  <c r="AK22" i="40"/>
  <c r="AM22" i="40" s="1"/>
  <c r="AK30" i="40"/>
  <c r="AM30" i="40" s="1"/>
  <c r="F28" i="40"/>
  <c r="AK29" i="40"/>
  <c r="AM29" i="40" s="1"/>
  <c r="Q4" i="41"/>
  <c r="E4" i="41"/>
  <c r="AK36" i="41"/>
  <c r="AM36" i="41" s="1"/>
  <c r="AK35" i="41"/>
  <c r="AM35" i="41" s="1"/>
  <c r="AK24" i="41"/>
  <c r="AM24" i="41" s="1"/>
  <c r="AK24" i="40"/>
  <c r="AM24" i="40" s="1"/>
  <c r="AK33" i="40"/>
  <c r="AM33" i="40" s="1"/>
  <c r="O4" i="41"/>
  <c r="AK33" i="41"/>
  <c r="AM33" i="41" s="1"/>
  <c r="C5" i="40"/>
  <c r="F5" i="40" s="1"/>
  <c r="AK6" i="40"/>
  <c r="AM6" i="40" s="1"/>
  <c r="H4" i="41"/>
  <c r="AK6" i="41"/>
  <c r="AM6" i="41" s="1"/>
  <c r="C5" i="41"/>
  <c r="F5" i="41" s="1"/>
  <c r="H4" i="40"/>
  <c r="M5" i="40"/>
  <c r="R13" i="40"/>
  <c r="AK28" i="40" l="1"/>
  <c r="AK4" i="44"/>
  <c r="AK4" i="39"/>
  <c r="AK5" i="39"/>
  <c r="AK13" i="39"/>
  <c r="F4" i="40"/>
  <c r="AK32" i="40"/>
  <c r="M4" i="40"/>
  <c r="AK32" i="41"/>
  <c r="R4" i="41"/>
  <c r="C4" i="41"/>
  <c r="C4" i="40"/>
  <c r="AK13" i="41"/>
  <c r="R4" i="40"/>
  <c r="AK13" i="40"/>
  <c r="AK4" i="40" l="1"/>
  <c r="AK5" i="40"/>
  <c r="AK5" i="41"/>
  <c r="F4" i="41"/>
  <c r="AK4" i="41" s="1"/>
</calcChain>
</file>

<file path=xl/sharedStrings.xml><?xml version="1.0" encoding="utf-8"?>
<sst xmlns="http://schemas.openxmlformats.org/spreadsheetml/2006/main" count="10214" uniqueCount="156">
  <si>
    <t>Utilitário</t>
  </si>
  <si>
    <t>Automóveis</t>
  </si>
  <si>
    <t>Caminhonete</t>
  </si>
  <si>
    <t>Camioneta</t>
  </si>
  <si>
    <t>Caminhão</t>
  </si>
  <si>
    <t xml:space="preserve">Caminhão Trator </t>
  </si>
  <si>
    <t>Ônibus</t>
  </si>
  <si>
    <t>Micro ônibus</t>
  </si>
  <si>
    <t>Motocicleta</t>
  </si>
  <si>
    <t>Motoneta</t>
  </si>
  <si>
    <t>Total</t>
  </si>
  <si>
    <t>Flex</t>
  </si>
  <si>
    <t>Elétrico</t>
  </si>
  <si>
    <t>Gasolina</t>
  </si>
  <si>
    <t>Soma</t>
  </si>
  <si>
    <t>Álcool</t>
  </si>
  <si>
    <t>GNV</t>
  </si>
  <si>
    <t>Diesel</t>
  </si>
  <si>
    <t>Verificação</t>
  </si>
  <si>
    <t>Brasil</t>
  </si>
  <si>
    <t>Região Norte</t>
  </si>
  <si>
    <t>Acre</t>
  </si>
  <si>
    <t>Amapá</t>
  </si>
  <si>
    <t>Amazonas</t>
  </si>
  <si>
    <t>Pará</t>
  </si>
  <si>
    <t>Rondônia</t>
  </si>
  <si>
    <t>Roraima</t>
  </si>
  <si>
    <t>Tocantins</t>
  </si>
  <si>
    <t>Região Nordeste</t>
  </si>
  <si>
    <t>Alagoas</t>
  </si>
  <si>
    <t>Bahia</t>
  </si>
  <si>
    <t>Ceará</t>
  </si>
  <si>
    <t>Maranhão</t>
  </si>
  <si>
    <t>Paraíba</t>
  </si>
  <si>
    <t>Pernambuco</t>
  </si>
  <si>
    <t>Piauí</t>
  </si>
  <si>
    <t>Rio Grande do Norte</t>
  </si>
  <si>
    <t>Sergipe</t>
  </si>
  <si>
    <t>Região Sudeste</t>
  </si>
  <si>
    <t>Espírito Santo</t>
  </si>
  <si>
    <t>Minas Gerais</t>
  </si>
  <si>
    <t>Rio de Janeiro</t>
  </si>
  <si>
    <t>São Paulo</t>
  </si>
  <si>
    <t>Região Sul</t>
  </si>
  <si>
    <t>Paraná</t>
  </si>
  <si>
    <t>Rio Grande do Sul</t>
  </si>
  <si>
    <t>Santa Catarina</t>
  </si>
  <si>
    <t>Região Centro-Oeste</t>
  </si>
  <si>
    <t>Distrito Federal</t>
  </si>
  <si>
    <t>Goiás</t>
  </si>
  <si>
    <t>Mato Grosso</t>
  </si>
  <si>
    <t>Mato Grosso do Sul</t>
  </si>
  <si>
    <t>Tabela 1 - Frota por tipo de combustível</t>
  </si>
  <si>
    <t>ACRE</t>
  </si>
  <si>
    <t>ALAGOAS</t>
  </si>
  <si>
    <t>AMAPA</t>
  </si>
  <si>
    <t>AMAZONAS</t>
  </si>
  <si>
    <t>BAHIA</t>
  </si>
  <si>
    <t>CEARA</t>
  </si>
  <si>
    <t>DISTRITO FEDERAL</t>
  </si>
  <si>
    <t>ESPIRITO SANTO</t>
  </si>
  <si>
    <t>GOIAS</t>
  </si>
  <si>
    <t>MARANHAO</t>
  </si>
  <si>
    <t>MATO GROSSO</t>
  </si>
  <si>
    <t>MATO GROSSO DO SUL</t>
  </si>
  <si>
    <t>MINAS GERAIS</t>
  </si>
  <si>
    <t>PARA</t>
  </si>
  <si>
    <t>PARAIBA</t>
  </si>
  <si>
    <t>PARANA</t>
  </si>
  <si>
    <t>PERNAMBUCO</t>
  </si>
  <si>
    <t>PIAUI</t>
  </si>
  <si>
    <t>RIO DE JANEIRO</t>
  </si>
  <si>
    <t>RIO GRANDE DO NORTE</t>
  </si>
  <si>
    <t>RIO GRANDE DO SUL</t>
  </si>
  <si>
    <t>RONDONIA</t>
  </si>
  <si>
    <t>RORAIMA</t>
  </si>
  <si>
    <t>SANTA CATARINA</t>
  </si>
  <si>
    <t>SAO PAULO</t>
  </si>
  <si>
    <t>SERGIPE</t>
  </si>
  <si>
    <t>TOCANTINS</t>
  </si>
  <si>
    <t>Total Geral</t>
  </si>
  <si>
    <t>ALCOOL</t>
  </si>
  <si>
    <t>ALCOOL/GAS NATURAL COMBUSTIVEL</t>
  </si>
  <si>
    <t>ALCOOL/GAS NATURAL VEICULAR</t>
  </si>
  <si>
    <t>ALCOOL/GASOLINA</t>
  </si>
  <si>
    <t>DIESEL</t>
  </si>
  <si>
    <t>DIESEL/ELETRICO</t>
  </si>
  <si>
    <t>DIESEL/GAS NATURAL COMBUSTIVEL</t>
  </si>
  <si>
    <t>DIESEL/GAS NATURAL VEICULAR</t>
  </si>
  <si>
    <t>ELETRICO/FONTE EXTERNA</t>
  </si>
  <si>
    <t>ELETRICO/FONTE INTERNA</t>
  </si>
  <si>
    <t>ETANOL/ELETRICO</t>
  </si>
  <si>
    <t>GAS NATURAL VEICULAR</t>
  </si>
  <si>
    <t>GASOL/GAS NATURAL COMBUSTIVEL</t>
  </si>
  <si>
    <t>GASOLINA</t>
  </si>
  <si>
    <t>GASOLINA/ALCOOL/ELETRICO</t>
  </si>
  <si>
    <t>GASOLINA/ALCOOL/GAS NATURAL</t>
  </si>
  <si>
    <t>GASOLINA/ELETRICO</t>
  </si>
  <si>
    <t>GASOLINA/GAS NATURAL VEICULAR</t>
  </si>
  <si>
    <t>TOTAL GERAL</t>
  </si>
  <si>
    <t>Tabela 2 - Sintetização da Tabela 1</t>
  </si>
  <si>
    <t>Grand Total</t>
  </si>
  <si>
    <t>ELÉTRICO</t>
  </si>
  <si>
    <t>Tabela 3 - Frota por tipo de veículo</t>
  </si>
  <si>
    <t>AUTOMOVEL</t>
  </si>
  <si>
    <t>CAMINHAO</t>
  </si>
  <si>
    <t>CAMINHAO TRATOR</t>
  </si>
  <si>
    <t>CAMINHONETE</t>
  </si>
  <si>
    <t>CAMIONETA</t>
  </si>
  <si>
    <t>MICROONIBUS</t>
  </si>
  <si>
    <t>MOTOCICLETA</t>
  </si>
  <si>
    <t>MOTONETA</t>
  </si>
  <si>
    <t>ONIBUS</t>
  </si>
  <si>
    <t>UTILITARIO</t>
  </si>
  <si>
    <t>Fator de Correção</t>
  </si>
  <si>
    <t>Tabela 4 - Correção da Tabela 3 pelo Fator de Correção</t>
  </si>
  <si>
    <t>Tabela 1 - Frota por tipo de 
combustível</t>
  </si>
  <si>
    <t>Tabela 5 - Proporção dos Combustíveis</t>
  </si>
  <si>
    <t>Tabela 7 - Veículos Elétricos</t>
  </si>
  <si>
    <t>Tabela 8 - Utilitários</t>
  </si>
  <si>
    <t>Tabela 10 - Camioneta e Caminhonetes</t>
  </si>
  <si>
    <t>Tabela 11 - Resumo</t>
  </si>
  <si>
    <t>Total de Veículos</t>
  </si>
  <si>
    <t>Automóveis + Utilitários</t>
  </si>
  <si>
    <t xml:space="preserve"> Camioneta + Caminhonetes</t>
  </si>
  <si>
    <t>Utilitário - Flex</t>
  </si>
  <si>
    <t>Camioneta - Diesel</t>
  </si>
  <si>
    <t>% Automóvel</t>
  </si>
  <si>
    <t>% Caminhonete</t>
  </si>
  <si>
    <t>Utilitário - Elétrico</t>
  </si>
  <si>
    <t>Camioneta - Elétrica</t>
  </si>
  <si>
    <t>Automóvel</t>
  </si>
  <si>
    <t>% Utilitário</t>
  </si>
  <si>
    <t>% Camioneta</t>
  </si>
  <si>
    <t>Utilitário - Gasolina</t>
  </si>
  <si>
    <t>Camioneta - Gasolina</t>
  </si>
  <si>
    <t>Utilitários - Flex</t>
  </si>
  <si>
    <t>Diesel Disponível</t>
  </si>
  <si>
    <t>Automóveis - Flex</t>
  </si>
  <si>
    <t>Caminhão - Diesel</t>
  </si>
  <si>
    <t>Tabela 6 - Quantidade real de veículos</t>
  </si>
  <si>
    <t>Caminhonete - Diesel</t>
  </si>
  <si>
    <t>Automóveis - Álcool</t>
  </si>
  <si>
    <t>Caminhão Trator - Diesel</t>
  </si>
  <si>
    <t>Utilitários - Gasolina</t>
  </si>
  <si>
    <t>Automóveis - GNV</t>
  </si>
  <si>
    <t>Automóvel - Elétrico</t>
  </si>
  <si>
    <t>Ônibus - Diesel</t>
  </si>
  <si>
    <t>Tabela 9 - Automóveis</t>
  </si>
  <si>
    <t>Caminhonete - Gasolina</t>
  </si>
  <si>
    <t>Automóveis - Gasolina</t>
  </si>
  <si>
    <t>Micro ônibus - Diesel</t>
  </si>
  <si>
    <t>Motocicleta - Gasolina</t>
  </si>
  <si>
    <t>Caminhonete - Elétrica</t>
  </si>
  <si>
    <t>Motoneta - Gasolina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</si>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</sst>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2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1"/>
      <color rgb="FF000000"/>
      <name val="Segoe UI"/>
      <family val="2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04">
    <xf numFmtId="0" fontId="0" fillId="0" borderId="0" xfId="0"/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9" fontId="0" fillId="0" borderId="0" xfId="2" applyFont="1"/>
    <xf numFmtId="0" fontId="0" fillId="3" borderId="0" xfId="0" applyFill="1"/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horizontal="left"/>
    </xf>
    <xf numFmtId="0" fontId="2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10" fillId="0" borderId="0" xfId="2" applyFont="1"/>
    <xf numFmtId="0" fontId="11" fillId="0" borderId="0" xfId="0" applyFont="1"/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2" fillId="2" borderId="0" xfId="0" applyFont="1" applyFill="1"/>
    <xf numFmtId="0" fontId="2" fillId="0" borderId="0" xfId="0" applyFont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9" fontId="0" fillId="0" borderId="0" xfId="2" applyFont="1" applyAlignment="1">
      <alignment horizontal="center"/>
    </xf>
    <xf numFmtId="9" fontId="7" fillId="0" borderId="0" xfId="2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 vertical="center"/>
    </xf>
    <xf numFmtId="0" fontId="3" fillId="0" borderId="1" xfId="0" applyFont="1" applyBorder="1"/>
    <xf numFmtId="0" fontId="0" fillId="4" borderId="0" xfId="0" applyFill="1"/>
    <xf numFmtId="0" fontId="17" fillId="3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4" borderId="0" xfId="0" applyFont="1" applyFill="1"/>
    <xf numFmtId="0" fontId="15" fillId="4" borderId="0" xfId="0" applyFont="1" applyFill="1" applyAlignment="1">
      <alignment horizontal="left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0" fillId="0" borderId="0" xfId="0" applyFont="1"/>
    <xf numFmtId="0" fontId="19" fillId="0" borderId="0" xfId="0" applyFont="1" applyAlignment="1">
      <alignment horizontal="left"/>
    </xf>
    <xf numFmtId="3" fontId="7" fillId="0" borderId="0" xfId="0" applyNumberFormat="1" applyFont="1" applyAlignment="1">
      <alignment horizontal="center" vertical="center"/>
    </xf>
    <xf numFmtId="0" fontId="21" fillId="0" borderId="0" xfId="0" applyFont="1"/>
    <xf numFmtId="0" fontId="22" fillId="5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2" fillId="3" borderId="0" xfId="0" applyFont="1" applyFill="1"/>
    <xf numFmtId="3" fontId="23" fillId="0" borderId="3" xfId="0" applyNumberFormat="1" applyFont="1" applyBorder="1" applyAlignment="1">
      <alignment horizontal="center" vertical="center"/>
    </xf>
    <xf numFmtId="0" fontId="23" fillId="0" borderId="0" xfId="0" applyFont="1"/>
    <xf numFmtId="164" fontId="8" fillId="0" borderId="1" xfId="1" applyNumberFormat="1" applyFont="1" applyFill="1" applyBorder="1" applyAlignment="1">
      <alignment horizontal="center" vertical="center"/>
    </xf>
    <xf numFmtId="0" fontId="24" fillId="0" borderId="0" xfId="0" applyFont="1"/>
    <xf numFmtId="164" fontId="8" fillId="2" borderId="1" xfId="1" applyNumberFormat="1" applyFont="1" applyFill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/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4" fillId="0" borderId="3" xfId="0" applyFont="1" applyBorder="1"/>
    <xf numFmtId="3" fontId="8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9" fontId="8" fillId="0" borderId="0" xfId="2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1" fontId="25" fillId="0" borderId="0" xfId="0" applyNumberFormat="1" applyFont="1" applyAlignment="1">
      <alignment horizontal="center" vertical="center"/>
    </xf>
    <xf numFmtId="3" fontId="25" fillId="0" borderId="1" xfId="0" applyNumberFormat="1" applyFont="1" applyBorder="1" applyAlignment="1">
      <alignment horizontal="center"/>
    </xf>
    <xf numFmtId="1" fontId="25" fillId="0" borderId="1" xfId="0" applyNumberFormat="1" applyFont="1" applyBorder="1" applyAlignment="1">
      <alignment horizontal="center"/>
    </xf>
    <xf numFmtId="9" fontId="24" fillId="3" borderId="1" xfId="2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9" fontId="25" fillId="0" borderId="0" xfId="2" applyFont="1" applyBorder="1" applyAlignment="1">
      <alignment horizontal="center" vertical="center"/>
    </xf>
    <xf numFmtId="1" fontId="25" fillId="2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9" fontId="8" fillId="3" borderId="0" xfId="2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23" fillId="0" borderId="0" xfId="0" applyNumberFormat="1" applyFont="1"/>
    <xf numFmtId="0" fontId="25" fillId="0" borderId="0" xfId="0" applyFont="1" applyAlignment="1">
      <alignment horizontal="center"/>
    </xf>
    <xf numFmtId="9" fontId="23" fillId="0" borderId="1" xfId="2" applyFont="1" applyBorder="1" applyAlignment="1">
      <alignment horizontal="center" vertical="center"/>
    </xf>
    <xf numFmtId="0" fontId="26" fillId="2" borderId="0" xfId="0" applyFont="1" applyFill="1" applyAlignment="1">
      <alignment horizontal="center"/>
    </xf>
    <xf numFmtId="164" fontId="8" fillId="3" borderId="1" xfId="1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/>
    </xf>
    <xf numFmtId="0" fontId="2" fillId="2" borderId="0" xfId="0" applyFont="1" applyFill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</cellXfs>
  <cellStyles count="6">
    <cellStyle name="Normal" xfId="0" builtinId="0"/>
    <cellStyle name="Normal 2" xfId="3" xr:uid="{00000000-0005-0000-0000-000001000000}"/>
    <cellStyle name="Porcentagem" xfId="2" builtinId="5"/>
    <cellStyle name="Porcentagem 2" xfId="4" xr:uid="{00000000-0005-0000-0000-000003000000}"/>
    <cellStyle name="Vírgula" xfId="1" builtinId="3"/>
    <cellStyle name="Vírgula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201082</xdr:colOff>
      <xdr:row>49</xdr:row>
      <xdr:rowOff>201083</xdr:rowOff>
    </xdr:from>
    <xdr:to>
      <xdr:col>8</xdr:col>
      <xdr:colOff>486833</xdr:colOff>
      <xdr:row>52</xdr:row>
      <xdr:rowOff>42333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561165" y="9863666"/>
          <a:ext cx="5365751" cy="444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FF0000"/>
              </a:solidFill>
            </a:rPr>
            <a:t>Comparado os dados da Tabela 1 e 3, há uma pequena diferença que precisa ser corrigida pelo Fator</a:t>
          </a:r>
          <a:r>
            <a:rPr lang="pt-BR" sz="1100" baseline="0">
              <a:solidFill>
                <a:srgbClr val="FF0000"/>
              </a:solidFill>
            </a:rPr>
            <a:t> de correção ao lado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 rot="10800000">
          <a:off x="8116359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 rot="10800000">
          <a:off x="8135409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0800000">
          <a:off x="817774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8" name="Seta: Dobrada para Cim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/>
      </xdr:nvSpPr>
      <xdr:spPr>
        <a:xfrm rot="10800000">
          <a:off x="817774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 rot="10800000">
          <a:off x="8116359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84666</xdr:colOff>
      <xdr:row>102</xdr:row>
      <xdr:rowOff>148167</xdr:rowOff>
    </xdr:from>
    <xdr:to>
      <xdr:col>6</xdr:col>
      <xdr:colOff>465665</xdr:colOff>
      <xdr:row>121</xdr:row>
      <xdr:rowOff>192616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698499" y="20605750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67734</xdr:colOff>
      <xdr:row>76</xdr:row>
      <xdr:rowOff>205316</xdr:rowOff>
    </xdr:from>
    <xdr:to>
      <xdr:col>6</xdr:col>
      <xdr:colOff>448733</xdr:colOff>
      <xdr:row>96</xdr:row>
      <xdr:rowOff>38099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681567" y="15434733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71968</xdr:colOff>
      <xdr:row>51</xdr:row>
      <xdr:rowOff>156634</xdr:rowOff>
    </xdr:from>
    <xdr:to>
      <xdr:col>6</xdr:col>
      <xdr:colOff>452967</xdr:colOff>
      <xdr:row>71</xdr:row>
      <xdr:rowOff>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 txBox="1"/>
      </xdr:nvSpPr>
      <xdr:spPr>
        <a:xfrm>
          <a:off x="685801" y="10390717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86785</xdr:colOff>
      <xdr:row>27</xdr:row>
      <xdr:rowOff>129117</xdr:rowOff>
    </xdr:from>
    <xdr:to>
      <xdr:col>6</xdr:col>
      <xdr:colOff>467784</xdr:colOff>
      <xdr:row>46</xdr:row>
      <xdr:rowOff>173567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700618" y="5547784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101602</xdr:colOff>
      <xdr:row>2</xdr:row>
      <xdr:rowOff>69850</xdr:rowOff>
    </xdr:from>
    <xdr:to>
      <xdr:col>6</xdr:col>
      <xdr:colOff>482601</xdr:colOff>
      <xdr:row>21</xdr:row>
      <xdr:rowOff>114300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715435" y="472017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 rot="10800000">
          <a:off x="8116359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/>
      </xdr:nvSpPr>
      <xdr:spPr>
        <a:xfrm rot="10800000">
          <a:off x="816398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95250</xdr:colOff>
      <xdr:row>51</xdr:row>
      <xdr:rowOff>201083</xdr:rowOff>
    </xdr:from>
    <xdr:to>
      <xdr:col>6</xdr:col>
      <xdr:colOff>476249</xdr:colOff>
      <xdr:row>71</xdr:row>
      <xdr:rowOff>44449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709083" y="10435166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184150</xdr:colOff>
      <xdr:row>76</xdr:row>
      <xdr:rowOff>184149</xdr:rowOff>
    </xdr:from>
    <xdr:to>
      <xdr:col>6</xdr:col>
      <xdr:colOff>565149</xdr:colOff>
      <xdr:row>96</xdr:row>
      <xdr:rowOff>27516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797983" y="15413566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209550</xdr:colOff>
      <xdr:row>102</xdr:row>
      <xdr:rowOff>198966</xdr:rowOff>
    </xdr:from>
    <xdr:to>
      <xdr:col>6</xdr:col>
      <xdr:colOff>590549</xdr:colOff>
      <xdr:row>122</xdr:row>
      <xdr:rowOff>42332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SpPr txBox="1"/>
      </xdr:nvSpPr>
      <xdr:spPr>
        <a:xfrm>
          <a:off x="823383" y="20645966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65617</xdr:colOff>
      <xdr:row>27</xdr:row>
      <xdr:rowOff>55032</xdr:rowOff>
    </xdr:from>
    <xdr:to>
      <xdr:col>6</xdr:col>
      <xdr:colOff>446616</xdr:colOff>
      <xdr:row>46</xdr:row>
      <xdr:rowOff>99482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679450" y="5473699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69850</xdr:colOff>
      <xdr:row>2</xdr:row>
      <xdr:rowOff>91015</xdr:rowOff>
    </xdr:from>
    <xdr:to>
      <xdr:col>6</xdr:col>
      <xdr:colOff>450849</xdr:colOff>
      <xdr:row>21</xdr:row>
      <xdr:rowOff>135465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683683" y="493182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52917</xdr:colOff>
      <xdr:row>2</xdr:row>
      <xdr:rowOff>63500</xdr:rowOff>
    </xdr:from>
    <xdr:to>
      <xdr:col>6</xdr:col>
      <xdr:colOff>433916</xdr:colOff>
      <xdr:row>21</xdr:row>
      <xdr:rowOff>107950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666750" y="465667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88900</xdr:colOff>
      <xdr:row>26</xdr:row>
      <xdr:rowOff>152400</xdr:rowOff>
    </xdr:from>
    <xdr:to>
      <xdr:col>6</xdr:col>
      <xdr:colOff>469899</xdr:colOff>
      <xdr:row>45</xdr:row>
      <xdr:rowOff>196849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 txBox="1"/>
      </xdr:nvSpPr>
      <xdr:spPr>
        <a:xfrm>
          <a:off x="702733" y="5369983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177799</xdr:colOff>
      <xdr:row>51</xdr:row>
      <xdr:rowOff>188384</xdr:rowOff>
    </xdr:from>
    <xdr:to>
      <xdr:col>6</xdr:col>
      <xdr:colOff>558798</xdr:colOff>
      <xdr:row>71</xdr:row>
      <xdr:rowOff>31750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 txBox="1"/>
      </xdr:nvSpPr>
      <xdr:spPr>
        <a:xfrm>
          <a:off x="791632" y="10422467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234949</xdr:colOff>
      <xdr:row>77</xdr:row>
      <xdr:rowOff>33867</xdr:rowOff>
    </xdr:from>
    <xdr:to>
      <xdr:col>6</xdr:col>
      <xdr:colOff>615948</xdr:colOff>
      <xdr:row>96</xdr:row>
      <xdr:rowOff>78317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 txBox="1"/>
      </xdr:nvSpPr>
      <xdr:spPr>
        <a:xfrm>
          <a:off x="848782" y="15464367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270933</xdr:colOff>
      <xdr:row>102</xdr:row>
      <xdr:rowOff>38100</xdr:rowOff>
    </xdr:from>
    <xdr:to>
      <xdr:col>6</xdr:col>
      <xdr:colOff>651932</xdr:colOff>
      <xdr:row>121</xdr:row>
      <xdr:rowOff>82550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 txBox="1"/>
      </xdr:nvSpPr>
      <xdr:spPr>
        <a:xfrm>
          <a:off x="884766" y="20485100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8" name="Seta: Dobrada para Cima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9" name="Seta: Dobrada para Cima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38102</xdr:colOff>
      <xdr:row>3</xdr:row>
      <xdr:rowOff>19051</xdr:rowOff>
    </xdr:from>
    <xdr:to>
      <xdr:col>6</xdr:col>
      <xdr:colOff>419101</xdr:colOff>
      <xdr:row>22</xdr:row>
      <xdr:rowOff>42334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 txBox="1"/>
      </xdr:nvSpPr>
      <xdr:spPr>
        <a:xfrm>
          <a:off x="647702" y="619126"/>
          <a:ext cx="4524374" cy="382375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+Diesel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</a:t>
          </a:r>
          <a:r>
            <a:rPr lang="pt-BR" sz="1100" strike="sngStrike" baseline="0">
              <a:solidFill>
                <a:schemeClr val="tx1"/>
              </a:solidFill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4" name="Seta: Dobrada para Cima 2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/>
      </xdr:nvSpPr>
      <xdr:spPr>
        <a:xfrm rot="10800000">
          <a:off x="8116359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105834</xdr:colOff>
      <xdr:row>76</xdr:row>
      <xdr:rowOff>169332</xdr:rowOff>
    </xdr:from>
    <xdr:to>
      <xdr:col>6</xdr:col>
      <xdr:colOff>486833</xdr:colOff>
      <xdr:row>96</xdr:row>
      <xdr:rowOff>12699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SpPr txBox="1"/>
      </xdr:nvSpPr>
      <xdr:spPr>
        <a:xfrm>
          <a:off x="719667" y="15398749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173567</xdr:colOff>
      <xdr:row>102</xdr:row>
      <xdr:rowOff>120648</xdr:rowOff>
    </xdr:from>
    <xdr:to>
      <xdr:col>6</xdr:col>
      <xdr:colOff>554566</xdr:colOff>
      <xdr:row>121</xdr:row>
      <xdr:rowOff>165098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SpPr txBox="1"/>
      </xdr:nvSpPr>
      <xdr:spPr>
        <a:xfrm>
          <a:off x="787400" y="20567648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93132</xdr:colOff>
      <xdr:row>51</xdr:row>
      <xdr:rowOff>156633</xdr:rowOff>
    </xdr:from>
    <xdr:to>
      <xdr:col>6</xdr:col>
      <xdr:colOff>474131</xdr:colOff>
      <xdr:row>70</xdr:row>
      <xdr:rowOff>201082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SpPr txBox="1"/>
      </xdr:nvSpPr>
      <xdr:spPr>
        <a:xfrm>
          <a:off x="706965" y="10390716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107950</xdr:colOff>
      <xdr:row>26</xdr:row>
      <xdr:rowOff>76200</xdr:rowOff>
    </xdr:from>
    <xdr:to>
      <xdr:col>6</xdr:col>
      <xdr:colOff>488949</xdr:colOff>
      <xdr:row>45</xdr:row>
      <xdr:rowOff>120649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SpPr txBox="1"/>
      </xdr:nvSpPr>
      <xdr:spPr>
        <a:xfrm>
          <a:off x="721783" y="5293783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63500</xdr:colOff>
      <xdr:row>2</xdr:row>
      <xdr:rowOff>52917</xdr:rowOff>
    </xdr:from>
    <xdr:to>
      <xdr:col>6</xdr:col>
      <xdr:colOff>444499</xdr:colOff>
      <xdr:row>21</xdr:row>
      <xdr:rowOff>97367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 txBox="1"/>
      </xdr:nvSpPr>
      <xdr:spPr>
        <a:xfrm>
          <a:off x="677333" y="455084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88899</xdr:colOff>
      <xdr:row>26</xdr:row>
      <xdr:rowOff>120650</xdr:rowOff>
    </xdr:from>
    <xdr:to>
      <xdr:col>6</xdr:col>
      <xdr:colOff>469898</xdr:colOff>
      <xdr:row>45</xdr:row>
      <xdr:rowOff>165099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SpPr txBox="1"/>
      </xdr:nvSpPr>
      <xdr:spPr>
        <a:xfrm>
          <a:off x="702732" y="5338233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177799</xdr:colOff>
      <xdr:row>52</xdr:row>
      <xdr:rowOff>50799</xdr:rowOff>
    </xdr:from>
    <xdr:to>
      <xdr:col>6</xdr:col>
      <xdr:colOff>558798</xdr:colOff>
      <xdr:row>71</xdr:row>
      <xdr:rowOff>95249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SpPr txBox="1"/>
      </xdr:nvSpPr>
      <xdr:spPr>
        <a:xfrm>
          <a:off x="791632" y="10485966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160864</xdr:colOff>
      <xdr:row>77</xdr:row>
      <xdr:rowOff>12698</xdr:rowOff>
    </xdr:from>
    <xdr:to>
      <xdr:col>6</xdr:col>
      <xdr:colOff>541863</xdr:colOff>
      <xdr:row>96</xdr:row>
      <xdr:rowOff>57148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SpPr txBox="1"/>
      </xdr:nvSpPr>
      <xdr:spPr>
        <a:xfrm>
          <a:off x="774697" y="15443198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207431</xdr:colOff>
      <xdr:row>102</xdr:row>
      <xdr:rowOff>91015</xdr:rowOff>
    </xdr:from>
    <xdr:to>
      <xdr:col>6</xdr:col>
      <xdr:colOff>588430</xdr:colOff>
      <xdr:row>121</xdr:row>
      <xdr:rowOff>135465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SpPr txBox="1"/>
      </xdr:nvSpPr>
      <xdr:spPr>
        <a:xfrm>
          <a:off x="821264" y="20538015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21167</xdr:colOff>
      <xdr:row>2</xdr:row>
      <xdr:rowOff>74083</xdr:rowOff>
    </xdr:from>
    <xdr:to>
      <xdr:col>6</xdr:col>
      <xdr:colOff>402166</xdr:colOff>
      <xdr:row>21</xdr:row>
      <xdr:rowOff>118533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 txBox="1"/>
      </xdr:nvSpPr>
      <xdr:spPr>
        <a:xfrm>
          <a:off x="635000" y="476250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88900</xdr:colOff>
      <xdr:row>26</xdr:row>
      <xdr:rowOff>173566</xdr:rowOff>
    </xdr:from>
    <xdr:to>
      <xdr:col>6</xdr:col>
      <xdr:colOff>469899</xdr:colOff>
      <xdr:row>46</xdr:row>
      <xdr:rowOff>16932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SpPr txBox="1"/>
      </xdr:nvSpPr>
      <xdr:spPr>
        <a:xfrm>
          <a:off x="702733" y="5391149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135467</xdr:colOff>
      <xdr:row>51</xdr:row>
      <xdr:rowOff>146049</xdr:rowOff>
    </xdr:from>
    <xdr:to>
      <xdr:col>6</xdr:col>
      <xdr:colOff>516466</xdr:colOff>
      <xdr:row>70</xdr:row>
      <xdr:rowOff>190498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SpPr txBox="1"/>
      </xdr:nvSpPr>
      <xdr:spPr>
        <a:xfrm>
          <a:off x="749300" y="10380132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76200</xdr:colOff>
      <xdr:row>76</xdr:row>
      <xdr:rowOff>107948</xdr:rowOff>
    </xdr:from>
    <xdr:to>
      <xdr:col>6</xdr:col>
      <xdr:colOff>457199</xdr:colOff>
      <xdr:row>95</xdr:row>
      <xdr:rowOff>152398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SpPr txBox="1"/>
      </xdr:nvSpPr>
      <xdr:spPr>
        <a:xfrm>
          <a:off x="690033" y="15337365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80433</xdr:colOff>
      <xdr:row>101</xdr:row>
      <xdr:rowOff>154514</xdr:rowOff>
    </xdr:from>
    <xdr:to>
      <xdr:col>6</xdr:col>
      <xdr:colOff>461432</xdr:colOff>
      <xdr:row>120</xdr:row>
      <xdr:rowOff>198964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SpPr txBox="1"/>
      </xdr:nvSpPr>
      <xdr:spPr>
        <a:xfrm>
          <a:off x="694266" y="20400431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52917</xdr:colOff>
      <xdr:row>2</xdr:row>
      <xdr:rowOff>74083</xdr:rowOff>
    </xdr:from>
    <xdr:to>
      <xdr:col>6</xdr:col>
      <xdr:colOff>433916</xdr:colOff>
      <xdr:row>21</xdr:row>
      <xdr:rowOff>118533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666750" y="476250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152400</xdr:colOff>
      <xdr:row>26</xdr:row>
      <xdr:rowOff>110067</xdr:rowOff>
    </xdr:from>
    <xdr:to>
      <xdr:col>6</xdr:col>
      <xdr:colOff>533399</xdr:colOff>
      <xdr:row>45</xdr:row>
      <xdr:rowOff>154516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SpPr txBox="1"/>
      </xdr:nvSpPr>
      <xdr:spPr>
        <a:xfrm>
          <a:off x="766233" y="5327650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198968</xdr:colOff>
      <xdr:row>51</xdr:row>
      <xdr:rowOff>61383</xdr:rowOff>
    </xdr:from>
    <xdr:to>
      <xdr:col>6</xdr:col>
      <xdr:colOff>579967</xdr:colOff>
      <xdr:row>70</xdr:row>
      <xdr:rowOff>105832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SpPr txBox="1"/>
      </xdr:nvSpPr>
      <xdr:spPr>
        <a:xfrm>
          <a:off x="812801" y="10295466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33868</xdr:colOff>
      <xdr:row>76</xdr:row>
      <xdr:rowOff>97365</xdr:rowOff>
    </xdr:from>
    <xdr:to>
      <xdr:col>6</xdr:col>
      <xdr:colOff>414867</xdr:colOff>
      <xdr:row>95</xdr:row>
      <xdr:rowOff>141815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SpPr txBox="1"/>
      </xdr:nvSpPr>
      <xdr:spPr>
        <a:xfrm>
          <a:off x="647701" y="15326782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122768</xdr:colOff>
      <xdr:row>101</xdr:row>
      <xdr:rowOff>143931</xdr:rowOff>
    </xdr:from>
    <xdr:to>
      <xdr:col>6</xdr:col>
      <xdr:colOff>503767</xdr:colOff>
      <xdr:row>120</xdr:row>
      <xdr:rowOff>188381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400-000010000000}"/>
            </a:ext>
          </a:extLst>
        </xdr:cNvPr>
        <xdr:cNvSpPr txBox="1"/>
      </xdr:nvSpPr>
      <xdr:spPr>
        <a:xfrm>
          <a:off x="736601" y="20389848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52918</xdr:colOff>
      <xdr:row>77</xdr:row>
      <xdr:rowOff>74084</xdr:rowOff>
    </xdr:from>
    <xdr:to>
      <xdr:col>6</xdr:col>
      <xdr:colOff>433917</xdr:colOff>
      <xdr:row>96</xdr:row>
      <xdr:rowOff>118534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SpPr txBox="1"/>
      </xdr:nvSpPr>
      <xdr:spPr>
        <a:xfrm>
          <a:off x="666751" y="15504584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99484</xdr:colOff>
      <xdr:row>51</xdr:row>
      <xdr:rowOff>120651</xdr:rowOff>
    </xdr:from>
    <xdr:to>
      <xdr:col>6</xdr:col>
      <xdr:colOff>480483</xdr:colOff>
      <xdr:row>70</xdr:row>
      <xdr:rowOff>165100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SpPr txBox="1"/>
      </xdr:nvSpPr>
      <xdr:spPr>
        <a:xfrm>
          <a:off x="713317" y="10354734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29634</xdr:colOff>
      <xdr:row>26</xdr:row>
      <xdr:rowOff>50801</xdr:rowOff>
    </xdr:from>
    <xdr:to>
      <xdr:col>6</xdr:col>
      <xdr:colOff>410633</xdr:colOff>
      <xdr:row>45</xdr:row>
      <xdr:rowOff>95250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500-00000E000000}"/>
            </a:ext>
          </a:extLst>
        </xdr:cNvPr>
        <xdr:cNvSpPr txBox="1"/>
      </xdr:nvSpPr>
      <xdr:spPr>
        <a:xfrm>
          <a:off x="643467" y="5268384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33867</xdr:colOff>
      <xdr:row>2</xdr:row>
      <xdr:rowOff>107950</xdr:rowOff>
    </xdr:from>
    <xdr:to>
      <xdr:col>6</xdr:col>
      <xdr:colOff>414866</xdr:colOff>
      <xdr:row>21</xdr:row>
      <xdr:rowOff>152400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500-00000F000000}"/>
            </a:ext>
          </a:extLst>
        </xdr:cNvPr>
        <xdr:cNvSpPr txBox="1"/>
      </xdr:nvSpPr>
      <xdr:spPr>
        <a:xfrm>
          <a:off x="647700" y="510117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110069</xdr:colOff>
      <xdr:row>101</xdr:row>
      <xdr:rowOff>141817</xdr:rowOff>
    </xdr:from>
    <xdr:to>
      <xdr:col>6</xdr:col>
      <xdr:colOff>491068</xdr:colOff>
      <xdr:row>120</xdr:row>
      <xdr:rowOff>186267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500-000010000000}"/>
            </a:ext>
          </a:extLst>
        </xdr:cNvPr>
        <xdr:cNvSpPr txBox="1"/>
      </xdr:nvSpPr>
      <xdr:spPr>
        <a:xfrm>
          <a:off x="723902" y="20387734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10583</xdr:colOff>
      <xdr:row>2</xdr:row>
      <xdr:rowOff>84666</xdr:rowOff>
    </xdr:from>
    <xdr:to>
      <xdr:col>6</xdr:col>
      <xdr:colOff>391582</xdr:colOff>
      <xdr:row>21</xdr:row>
      <xdr:rowOff>129116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SpPr txBox="1"/>
      </xdr:nvSpPr>
      <xdr:spPr>
        <a:xfrm>
          <a:off x="624416" y="486833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78317</xdr:colOff>
      <xdr:row>27</xdr:row>
      <xdr:rowOff>67733</xdr:rowOff>
    </xdr:from>
    <xdr:to>
      <xdr:col>6</xdr:col>
      <xdr:colOff>459316</xdr:colOff>
      <xdr:row>46</xdr:row>
      <xdr:rowOff>112183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SpPr txBox="1"/>
      </xdr:nvSpPr>
      <xdr:spPr>
        <a:xfrm>
          <a:off x="692150" y="5486400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135467</xdr:colOff>
      <xdr:row>52</xdr:row>
      <xdr:rowOff>29633</xdr:rowOff>
    </xdr:from>
    <xdr:to>
      <xdr:col>6</xdr:col>
      <xdr:colOff>516466</xdr:colOff>
      <xdr:row>71</xdr:row>
      <xdr:rowOff>74083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600-00000E000000}"/>
            </a:ext>
          </a:extLst>
        </xdr:cNvPr>
        <xdr:cNvSpPr txBox="1"/>
      </xdr:nvSpPr>
      <xdr:spPr>
        <a:xfrm>
          <a:off x="749300" y="10464800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139700</xdr:colOff>
      <xdr:row>76</xdr:row>
      <xdr:rowOff>118533</xdr:rowOff>
    </xdr:from>
    <xdr:to>
      <xdr:col>6</xdr:col>
      <xdr:colOff>520699</xdr:colOff>
      <xdr:row>95</xdr:row>
      <xdr:rowOff>162983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600-00000F000000}"/>
            </a:ext>
          </a:extLst>
        </xdr:cNvPr>
        <xdr:cNvSpPr txBox="1"/>
      </xdr:nvSpPr>
      <xdr:spPr>
        <a:xfrm>
          <a:off x="753533" y="15347950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133351</xdr:colOff>
      <xdr:row>102</xdr:row>
      <xdr:rowOff>91017</xdr:rowOff>
    </xdr:from>
    <xdr:to>
      <xdr:col>6</xdr:col>
      <xdr:colOff>514350</xdr:colOff>
      <xdr:row>121</xdr:row>
      <xdr:rowOff>135467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600-000010000000}"/>
            </a:ext>
          </a:extLst>
        </xdr:cNvPr>
        <xdr:cNvSpPr txBox="1"/>
      </xdr:nvSpPr>
      <xdr:spPr>
        <a:xfrm>
          <a:off x="747184" y="20538017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42334</xdr:colOff>
      <xdr:row>102</xdr:row>
      <xdr:rowOff>63499</xdr:rowOff>
    </xdr:from>
    <xdr:to>
      <xdr:col>6</xdr:col>
      <xdr:colOff>423333</xdr:colOff>
      <xdr:row>121</xdr:row>
      <xdr:rowOff>107949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SpPr txBox="1"/>
      </xdr:nvSpPr>
      <xdr:spPr>
        <a:xfrm>
          <a:off x="656167" y="20510499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25400</xdr:colOff>
      <xdr:row>76</xdr:row>
      <xdr:rowOff>57149</xdr:rowOff>
    </xdr:from>
    <xdr:to>
      <xdr:col>6</xdr:col>
      <xdr:colOff>406399</xdr:colOff>
      <xdr:row>95</xdr:row>
      <xdr:rowOff>101599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SpPr txBox="1"/>
      </xdr:nvSpPr>
      <xdr:spPr>
        <a:xfrm>
          <a:off x="639233" y="15286566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93134</xdr:colOff>
      <xdr:row>51</xdr:row>
      <xdr:rowOff>177801</xdr:rowOff>
    </xdr:from>
    <xdr:to>
      <xdr:col>6</xdr:col>
      <xdr:colOff>474133</xdr:colOff>
      <xdr:row>71</xdr:row>
      <xdr:rowOff>21167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SpPr txBox="1"/>
      </xdr:nvSpPr>
      <xdr:spPr>
        <a:xfrm>
          <a:off x="706967" y="10411884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107951</xdr:colOff>
      <xdr:row>26</xdr:row>
      <xdr:rowOff>118534</xdr:rowOff>
    </xdr:from>
    <xdr:to>
      <xdr:col>6</xdr:col>
      <xdr:colOff>488950</xdr:colOff>
      <xdr:row>45</xdr:row>
      <xdr:rowOff>162983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SpPr txBox="1"/>
      </xdr:nvSpPr>
      <xdr:spPr>
        <a:xfrm>
          <a:off x="721784" y="5336117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38101</xdr:colOff>
      <xdr:row>2</xdr:row>
      <xdr:rowOff>6349</xdr:rowOff>
    </xdr:from>
    <xdr:to>
      <xdr:col>6</xdr:col>
      <xdr:colOff>419100</xdr:colOff>
      <xdr:row>21</xdr:row>
      <xdr:rowOff>50799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700-000010000000}"/>
            </a:ext>
          </a:extLst>
        </xdr:cNvPr>
        <xdr:cNvSpPr txBox="1"/>
      </xdr:nvSpPr>
      <xdr:spPr>
        <a:xfrm>
          <a:off x="651934" y="408516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328082</xdr:colOff>
      <xdr:row>49</xdr:row>
      <xdr:rowOff>201082</xdr:rowOff>
    </xdr:from>
    <xdr:to>
      <xdr:col>8</xdr:col>
      <xdr:colOff>613833</xdr:colOff>
      <xdr:row>52</xdr:row>
      <xdr:rowOff>42332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688165" y="9863665"/>
          <a:ext cx="5365751" cy="444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FF0000"/>
              </a:solidFill>
            </a:rPr>
            <a:t>Comparado os dados da Tabela 1 e 3, há uma pequena diferença que precisa ser corrigida pelo Fator</a:t>
          </a:r>
          <a:r>
            <a:rPr lang="pt-BR" sz="1100" baseline="0">
              <a:solidFill>
                <a:srgbClr val="FF0000"/>
              </a:solidFill>
            </a:rPr>
            <a:t> de correção ao lado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84667</xdr:colOff>
      <xdr:row>77</xdr:row>
      <xdr:rowOff>42334</xdr:rowOff>
    </xdr:from>
    <xdr:to>
      <xdr:col>6</xdr:col>
      <xdr:colOff>465666</xdr:colOff>
      <xdr:row>96</xdr:row>
      <xdr:rowOff>86784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800-00000C000000}"/>
            </a:ext>
          </a:extLst>
        </xdr:cNvPr>
        <xdr:cNvSpPr txBox="1"/>
      </xdr:nvSpPr>
      <xdr:spPr>
        <a:xfrm>
          <a:off x="698500" y="15472834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99484</xdr:colOff>
      <xdr:row>51</xdr:row>
      <xdr:rowOff>14818</xdr:rowOff>
    </xdr:from>
    <xdr:to>
      <xdr:col>6</xdr:col>
      <xdr:colOff>480483</xdr:colOff>
      <xdr:row>70</xdr:row>
      <xdr:rowOff>59267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800-00000D000000}"/>
            </a:ext>
          </a:extLst>
        </xdr:cNvPr>
        <xdr:cNvSpPr txBox="1"/>
      </xdr:nvSpPr>
      <xdr:spPr>
        <a:xfrm>
          <a:off x="713317" y="10248901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82551</xdr:colOff>
      <xdr:row>26</xdr:row>
      <xdr:rowOff>135467</xdr:rowOff>
    </xdr:from>
    <xdr:to>
      <xdr:col>6</xdr:col>
      <xdr:colOff>463550</xdr:colOff>
      <xdr:row>45</xdr:row>
      <xdr:rowOff>179916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800-00000E000000}"/>
            </a:ext>
          </a:extLst>
        </xdr:cNvPr>
        <xdr:cNvSpPr txBox="1"/>
      </xdr:nvSpPr>
      <xdr:spPr>
        <a:xfrm>
          <a:off x="696384" y="5353050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107951</xdr:colOff>
      <xdr:row>1</xdr:row>
      <xdr:rowOff>182034</xdr:rowOff>
    </xdr:from>
    <xdr:to>
      <xdr:col>6</xdr:col>
      <xdr:colOff>488950</xdr:colOff>
      <xdr:row>21</xdr:row>
      <xdr:rowOff>25400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800-00000F000000}"/>
            </a:ext>
          </a:extLst>
        </xdr:cNvPr>
        <xdr:cNvSpPr txBox="1"/>
      </xdr:nvSpPr>
      <xdr:spPr>
        <a:xfrm>
          <a:off x="721784" y="383117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141817</xdr:colOff>
      <xdr:row>102</xdr:row>
      <xdr:rowOff>67733</xdr:rowOff>
    </xdr:from>
    <xdr:to>
      <xdr:col>6</xdr:col>
      <xdr:colOff>522816</xdr:colOff>
      <xdr:row>121</xdr:row>
      <xdr:rowOff>112183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800-000010000000}"/>
            </a:ext>
          </a:extLst>
        </xdr:cNvPr>
        <xdr:cNvSpPr txBox="1"/>
      </xdr:nvSpPr>
      <xdr:spPr>
        <a:xfrm>
          <a:off x="755650" y="20514733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95251</xdr:colOff>
      <xdr:row>76</xdr:row>
      <xdr:rowOff>148166</xdr:rowOff>
    </xdr:from>
    <xdr:to>
      <xdr:col>6</xdr:col>
      <xdr:colOff>476250</xdr:colOff>
      <xdr:row>95</xdr:row>
      <xdr:rowOff>192616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900-00000E000000}"/>
            </a:ext>
          </a:extLst>
        </xdr:cNvPr>
        <xdr:cNvSpPr txBox="1"/>
      </xdr:nvSpPr>
      <xdr:spPr>
        <a:xfrm>
          <a:off x="709084" y="15377583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67735</xdr:colOff>
      <xdr:row>51</xdr:row>
      <xdr:rowOff>141817</xdr:rowOff>
    </xdr:from>
    <xdr:to>
      <xdr:col>6</xdr:col>
      <xdr:colOff>448734</xdr:colOff>
      <xdr:row>70</xdr:row>
      <xdr:rowOff>186266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900-00000F000000}"/>
            </a:ext>
          </a:extLst>
        </xdr:cNvPr>
        <xdr:cNvSpPr txBox="1"/>
      </xdr:nvSpPr>
      <xdr:spPr>
        <a:xfrm>
          <a:off x="681568" y="10375900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8468</xdr:colOff>
      <xdr:row>26</xdr:row>
      <xdr:rowOff>103717</xdr:rowOff>
    </xdr:from>
    <xdr:to>
      <xdr:col>6</xdr:col>
      <xdr:colOff>389467</xdr:colOff>
      <xdr:row>45</xdr:row>
      <xdr:rowOff>148166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900-000010000000}"/>
            </a:ext>
          </a:extLst>
        </xdr:cNvPr>
        <xdr:cNvSpPr txBox="1"/>
      </xdr:nvSpPr>
      <xdr:spPr>
        <a:xfrm>
          <a:off x="622301" y="5321300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86784</xdr:colOff>
      <xdr:row>2</xdr:row>
      <xdr:rowOff>107950</xdr:rowOff>
    </xdr:from>
    <xdr:to>
      <xdr:col>6</xdr:col>
      <xdr:colOff>467783</xdr:colOff>
      <xdr:row>21</xdr:row>
      <xdr:rowOff>152400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1900-000011000000}"/>
            </a:ext>
          </a:extLst>
        </xdr:cNvPr>
        <xdr:cNvSpPr txBox="1"/>
      </xdr:nvSpPr>
      <xdr:spPr>
        <a:xfrm>
          <a:off x="700617" y="510117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165100</xdr:colOff>
      <xdr:row>101</xdr:row>
      <xdr:rowOff>133350</xdr:rowOff>
    </xdr:from>
    <xdr:to>
      <xdr:col>6</xdr:col>
      <xdr:colOff>546099</xdr:colOff>
      <xdr:row>120</xdr:row>
      <xdr:rowOff>177800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1900-000012000000}"/>
            </a:ext>
          </a:extLst>
        </xdr:cNvPr>
        <xdr:cNvSpPr txBox="1"/>
      </xdr:nvSpPr>
      <xdr:spPr>
        <a:xfrm>
          <a:off x="778933" y="20379267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9" name="Seta: Dobrada para Cima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A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42334</xdr:colOff>
      <xdr:row>76</xdr:row>
      <xdr:rowOff>137584</xdr:rowOff>
    </xdr:from>
    <xdr:to>
      <xdr:col>6</xdr:col>
      <xdr:colOff>423333</xdr:colOff>
      <xdr:row>95</xdr:row>
      <xdr:rowOff>182034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A00-00000C000000}"/>
            </a:ext>
          </a:extLst>
        </xdr:cNvPr>
        <xdr:cNvSpPr txBox="1"/>
      </xdr:nvSpPr>
      <xdr:spPr>
        <a:xfrm>
          <a:off x="656167" y="15367001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78317</xdr:colOff>
      <xdr:row>51</xdr:row>
      <xdr:rowOff>46569</xdr:rowOff>
    </xdr:from>
    <xdr:to>
      <xdr:col>6</xdr:col>
      <xdr:colOff>459316</xdr:colOff>
      <xdr:row>70</xdr:row>
      <xdr:rowOff>91018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A00-00000D000000}"/>
            </a:ext>
          </a:extLst>
        </xdr:cNvPr>
        <xdr:cNvSpPr txBox="1"/>
      </xdr:nvSpPr>
      <xdr:spPr>
        <a:xfrm>
          <a:off x="692150" y="10280652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19051</xdr:colOff>
      <xdr:row>26</xdr:row>
      <xdr:rowOff>71969</xdr:rowOff>
    </xdr:from>
    <xdr:to>
      <xdr:col>6</xdr:col>
      <xdr:colOff>400050</xdr:colOff>
      <xdr:row>45</xdr:row>
      <xdr:rowOff>116418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A00-00000E000000}"/>
            </a:ext>
          </a:extLst>
        </xdr:cNvPr>
        <xdr:cNvSpPr txBox="1"/>
      </xdr:nvSpPr>
      <xdr:spPr>
        <a:xfrm>
          <a:off x="632884" y="5289552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605367</xdr:colOff>
      <xdr:row>2</xdr:row>
      <xdr:rowOff>107951</xdr:rowOff>
    </xdr:from>
    <xdr:to>
      <xdr:col>6</xdr:col>
      <xdr:colOff>372533</xdr:colOff>
      <xdr:row>21</xdr:row>
      <xdr:rowOff>152401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A00-00000F000000}"/>
            </a:ext>
          </a:extLst>
        </xdr:cNvPr>
        <xdr:cNvSpPr txBox="1"/>
      </xdr:nvSpPr>
      <xdr:spPr>
        <a:xfrm>
          <a:off x="605367" y="510118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175683</xdr:colOff>
      <xdr:row>101</xdr:row>
      <xdr:rowOff>101600</xdr:rowOff>
    </xdr:from>
    <xdr:to>
      <xdr:col>6</xdr:col>
      <xdr:colOff>556682</xdr:colOff>
      <xdr:row>120</xdr:row>
      <xdr:rowOff>146050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A00-000010000000}"/>
            </a:ext>
          </a:extLst>
        </xdr:cNvPr>
        <xdr:cNvSpPr txBox="1"/>
      </xdr:nvSpPr>
      <xdr:spPr>
        <a:xfrm>
          <a:off x="789516" y="20347517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B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52917</xdr:colOff>
      <xdr:row>76</xdr:row>
      <xdr:rowOff>126999</xdr:rowOff>
    </xdr:from>
    <xdr:to>
      <xdr:col>6</xdr:col>
      <xdr:colOff>433916</xdr:colOff>
      <xdr:row>95</xdr:row>
      <xdr:rowOff>171449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B00-00000C000000}"/>
            </a:ext>
          </a:extLst>
        </xdr:cNvPr>
        <xdr:cNvSpPr txBox="1"/>
      </xdr:nvSpPr>
      <xdr:spPr>
        <a:xfrm>
          <a:off x="666750" y="15356416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4234</xdr:colOff>
      <xdr:row>51</xdr:row>
      <xdr:rowOff>46567</xdr:rowOff>
    </xdr:from>
    <xdr:to>
      <xdr:col>6</xdr:col>
      <xdr:colOff>385233</xdr:colOff>
      <xdr:row>70</xdr:row>
      <xdr:rowOff>91016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B00-00000D000000}"/>
            </a:ext>
          </a:extLst>
        </xdr:cNvPr>
        <xdr:cNvSpPr txBox="1"/>
      </xdr:nvSpPr>
      <xdr:spPr>
        <a:xfrm>
          <a:off x="618067" y="10280650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19050</xdr:colOff>
      <xdr:row>26</xdr:row>
      <xdr:rowOff>167217</xdr:rowOff>
    </xdr:from>
    <xdr:to>
      <xdr:col>6</xdr:col>
      <xdr:colOff>400049</xdr:colOff>
      <xdr:row>46</xdr:row>
      <xdr:rowOff>10583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B00-00000E000000}"/>
            </a:ext>
          </a:extLst>
        </xdr:cNvPr>
        <xdr:cNvSpPr txBox="1"/>
      </xdr:nvSpPr>
      <xdr:spPr>
        <a:xfrm>
          <a:off x="632883" y="5384800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605367</xdr:colOff>
      <xdr:row>2</xdr:row>
      <xdr:rowOff>2116</xdr:rowOff>
    </xdr:from>
    <xdr:to>
      <xdr:col>6</xdr:col>
      <xdr:colOff>372533</xdr:colOff>
      <xdr:row>21</xdr:row>
      <xdr:rowOff>46566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B00-00000F000000}"/>
            </a:ext>
          </a:extLst>
        </xdr:cNvPr>
        <xdr:cNvSpPr txBox="1"/>
      </xdr:nvSpPr>
      <xdr:spPr>
        <a:xfrm>
          <a:off x="605367" y="404283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69851</xdr:colOff>
      <xdr:row>101</xdr:row>
      <xdr:rowOff>154516</xdr:rowOff>
    </xdr:from>
    <xdr:to>
      <xdr:col>6</xdr:col>
      <xdr:colOff>450850</xdr:colOff>
      <xdr:row>120</xdr:row>
      <xdr:rowOff>198966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B00-000010000000}"/>
            </a:ext>
          </a:extLst>
        </xdr:cNvPr>
        <xdr:cNvSpPr txBox="1"/>
      </xdr:nvSpPr>
      <xdr:spPr>
        <a:xfrm>
          <a:off x="683684" y="20400433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10583</xdr:colOff>
      <xdr:row>76</xdr:row>
      <xdr:rowOff>158750</xdr:rowOff>
    </xdr:from>
    <xdr:to>
      <xdr:col>6</xdr:col>
      <xdr:colOff>391582</xdr:colOff>
      <xdr:row>96</xdr:row>
      <xdr:rowOff>2117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C00-00000C000000}"/>
            </a:ext>
          </a:extLst>
        </xdr:cNvPr>
        <xdr:cNvSpPr txBox="1"/>
      </xdr:nvSpPr>
      <xdr:spPr>
        <a:xfrm>
          <a:off x="624416" y="15388167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14816</xdr:colOff>
      <xdr:row>102</xdr:row>
      <xdr:rowOff>14817</xdr:rowOff>
    </xdr:from>
    <xdr:to>
      <xdr:col>6</xdr:col>
      <xdr:colOff>395815</xdr:colOff>
      <xdr:row>121</xdr:row>
      <xdr:rowOff>59267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C00-00000D000000}"/>
            </a:ext>
          </a:extLst>
        </xdr:cNvPr>
        <xdr:cNvSpPr txBox="1"/>
      </xdr:nvSpPr>
      <xdr:spPr>
        <a:xfrm>
          <a:off x="628649" y="20461817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35983</xdr:colOff>
      <xdr:row>51</xdr:row>
      <xdr:rowOff>67734</xdr:rowOff>
    </xdr:from>
    <xdr:to>
      <xdr:col>6</xdr:col>
      <xdr:colOff>416982</xdr:colOff>
      <xdr:row>70</xdr:row>
      <xdr:rowOff>112183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C00-00000E000000}"/>
            </a:ext>
          </a:extLst>
        </xdr:cNvPr>
        <xdr:cNvSpPr txBox="1"/>
      </xdr:nvSpPr>
      <xdr:spPr>
        <a:xfrm>
          <a:off x="649816" y="10301817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19049</xdr:colOff>
      <xdr:row>26</xdr:row>
      <xdr:rowOff>146051</xdr:rowOff>
    </xdr:from>
    <xdr:to>
      <xdr:col>6</xdr:col>
      <xdr:colOff>400048</xdr:colOff>
      <xdr:row>45</xdr:row>
      <xdr:rowOff>190500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C00-00000F000000}"/>
            </a:ext>
          </a:extLst>
        </xdr:cNvPr>
        <xdr:cNvSpPr txBox="1"/>
      </xdr:nvSpPr>
      <xdr:spPr>
        <a:xfrm>
          <a:off x="632882" y="5363634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55032</xdr:colOff>
      <xdr:row>2</xdr:row>
      <xdr:rowOff>55033</xdr:rowOff>
    </xdr:from>
    <xdr:to>
      <xdr:col>6</xdr:col>
      <xdr:colOff>436031</xdr:colOff>
      <xdr:row>21</xdr:row>
      <xdr:rowOff>99483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C00-000010000000}"/>
            </a:ext>
          </a:extLst>
        </xdr:cNvPr>
        <xdr:cNvSpPr txBox="1"/>
      </xdr:nvSpPr>
      <xdr:spPr>
        <a:xfrm>
          <a:off x="668865" y="457200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D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63501</xdr:colOff>
      <xdr:row>76</xdr:row>
      <xdr:rowOff>105833</xdr:rowOff>
    </xdr:from>
    <xdr:to>
      <xdr:col>6</xdr:col>
      <xdr:colOff>444500</xdr:colOff>
      <xdr:row>95</xdr:row>
      <xdr:rowOff>150283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D00-00000C000000}"/>
            </a:ext>
          </a:extLst>
        </xdr:cNvPr>
        <xdr:cNvSpPr txBox="1"/>
      </xdr:nvSpPr>
      <xdr:spPr>
        <a:xfrm>
          <a:off x="677334" y="15335250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110068</xdr:colOff>
      <xdr:row>102</xdr:row>
      <xdr:rowOff>4233</xdr:rowOff>
    </xdr:from>
    <xdr:to>
      <xdr:col>6</xdr:col>
      <xdr:colOff>491067</xdr:colOff>
      <xdr:row>121</xdr:row>
      <xdr:rowOff>48683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D00-00000D000000}"/>
            </a:ext>
          </a:extLst>
        </xdr:cNvPr>
        <xdr:cNvSpPr txBox="1"/>
      </xdr:nvSpPr>
      <xdr:spPr>
        <a:xfrm>
          <a:off x="723901" y="20451233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29634</xdr:colOff>
      <xdr:row>51</xdr:row>
      <xdr:rowOff>135467</xdr:rowOff>
    </xdr:from>
    <xdr:to>
      <xdr:col>6</xdr:col>
      <xdr:colOff>410633</xdr:colOff>
      <xdr:row>70</xdr:row>
      <xdr:rowOff>179916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D00-00000E000000}"/>
            </a:ext>
          </a:extLst>
        </xdr:cNvPr>
        <xdr:cNvSpPr txBox="1"/>
      </xdr:nvSpPr>
      <xdr:spPr>
        <a:xfrm>
          <a:off x="643467" y="10369550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65617</xdr:colOff>
      <xdr:row>26</xdr:row>
      <xdr:rowOff>150284</xdr:rowOff>
    </xdr:from>
    <xdr:to>
      <xdr:col>6</xdr:col>
      <xdr:colOff>446616</xdr:colOff>
      <xdr:row>45</xdr:row>
      <xdr:rowOff>194733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D00-00000F000000}"/>
            </a:ext>
          </a:extLst>
        </xdr:cNvPr>
        <xdr:cNvSpPr txBox="1"/>
      </xdr:nvSpPr>
      <xdr:spPr>
        <a:xfrm>
          <a:off x="679450" y="5367867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80434</xdr:colOff>
      <xdr:row>2</xdr:row>
      <xdr:rowOff>154517</xdr:rowOff>
    </xdr:from>
    <xdr:to>
      <xdr:col>6</xdr:col>
      <xdr:colOff>461433</xdr:colOff>
      <xdr:row>21</xdr:row>
      <xdr:rowOff>198967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D00-000010000000}"/>
            </a:ext>
          </a:extLst>
        </xdr:cNvPr>
        <xdr:cNvSpPr txBox="1"/>
      </xdr:nvSpPr>
      <xdr:spPr>
        <a:xfrm>
          <a:off x="694267" y="556684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E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E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42333</xdr:colOff>
      <xdr:row>76</xdr:row>
      <xdr:rowOff>84667</xdr:rowOff>
    </xdr:from>
    <xdr:to>
      <xdr:col>6</xdr:col>
      <xdr:colOff>423332</xdr:colOff>
      <xdr:row>95</xdr:row>
      <xdr:rowOff>129117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E00-00000C000000}"/>
            </a:ext>
          </a:extLst>
        </xdr:cNvPr>
        <xdr:cNvSpPr txBox="1"/>
      </xdr:nvSpPr>
      <xdr:spPr>
        <a:xfrm>
          <a:off x="656166" y="15292917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46566</xdr:colOff>
      <xdr:row>51</xdr:row>
      <xdr:rowOff>141816</xdr:rowOff>
    </xdr:from>
    <xdr:to>
      <xdr:col>6</xdr:col>
      <xdr:colOff>427565</xdr:colOff>
      <xdr:row>70</xdr:row>
      <xdr:rowOff>186266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E00-00000D000000}"/>
            </a:ext>
          </a:extLst>
        </xdr:cNvPr>
        <xdr:cNvSpPr txBox="1"/>
      </xdr:nvSpPr>
      <xdr:spPr>
        <a:xfrm>
          <a:off x="660399" y="10354733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29632</xdr:colOff>
      <xdr:row>26</xdr:row>
      <xdr:rowOff>103718</xdr:rowOff>
    </xdr:from>
    <xdr:to>
      <xdr:col>6</xdr:col>
      <xdr:colOff>410631</xdr:colOff>
      <xdr:row>45</xdr:row>
      <xdr:rowOff>148167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E00-00000E000000}"/>
            </a:ext>
          </a:extLst>
        </xdr:cNvPr>
        <xdr:cNvSpPr txBox="1"/>
      </xdr:nvSpPr>
      <xdr:spPr>
        <a:xfrm>
          <a:off x="643465" y="5321301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605366</xdr:colOff>
      <xdr:row>2</xdr:row>
      <xdr:rowOff>182034</xdr:rowOff>
    </xdr:from>
    <xdr:to>
      <xdr:col>6</xdr:col>
      <xdr:colOff>372532</xdr:colOff>
      <xdr:row>22</xdr:row>
      <xdr:rowOff>25401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E00-00000F000000}"/>
            </a:ext>
          </a:extLst>
        </xdr:cNvPr>
        <xdr:cNvSpPr txBox="1"/>
      </xdr:nvSpPr>
      <xdr:spPr>
        <a:xfrm>
          <a:off x="605366" y="584201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152400</xdr:colOff>
      <xdr:row>102</xdr:row>
      <xdr:rowOff>57151</xdr:rowOff>
    </xdr:from>
    <xdr:to>
      <xdr:col>6</xdr:col>
      <xdr:colOff>533399</xdr:colOff>
      <xdr:row>121</xdr:row>
      <xdr:rowOff>101600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E00-000010000000}"/>
            </a:ext>
          </a:extLst>
        </xdr:cNvPr>
        <xdr:cNvSpPr txBox="1"/>
      </xdr:nvSpPr>
      <xdr:spPr>
        <a:xfrm>
          <a:off x="766233" y="20482984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F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127001</xdr:colOff>
      <xdr:row>77</xdr:row>
      <xdr:rowOff>10583</xdr:rowOff>
    </xdr:from>
    <xdr:to>
      <xdr:col>6</xdr:col>
      <xdr:colOff>508000</xdr:colOff>
      <xdr:row>96</xdr:row>
      <xdr:rowOff>55033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F00-00000C000000}"/>
            </a:ext>
          </a:extLst>
        </xdr:cNvPr>
        <xdr:cNvSpPr txBox="1"/>
      </xdr:nvSpPr>
      <xdr:spPr>
        <a:xfrm>
          <a:off x="740834" y="15441083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99485</xdr:colOff>
      <xdr:row>51</xdr:row>
      <xdr:rowOff>131233</xdr:rowOff>
    </xdr:from>
    <xdr:to>
      <xdr:col>6</xdr:col>
      <xdr:colOff>480484</xdr:colOff>
      <xdr:row>70</xdr:row>
      <xdr:rowOff>175682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F00-00000D000000}"/>
            </a:ext>
          </a:extLst>
        </xdr:cNvPr>
        <xdr:cNvSpPr txBox="1"/>
      </xdr:nvSpPr>
      <xdr:spPr>
        <a:xfrm>
          <a:off x="713318" y="10365316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93136</xdr:colOff>
      <xdr:row>26</xdr:row>
      <xdr:rowOff>61382</xdr:rowOff>
    </xdr:from>
    <xdr:to>
      <xdr:col>6</xdr:col>
      <xdr:colOff>474135</xdr:colOff>
      <xdr:row>45</xdr:row>
      <xdr:rowOff>105831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F00-00000E000000}"/>
            </a:ext>
          </a:extLst>
        </xdr:cNvPr>
        <xdr:cNvSpPr txBox="1"/>
      </xdr:nvSpPr>
      <xdr:spPr>
        <a:xfrm>
          <a:off x="706969" y="5278965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97370</xdr:colOff>
      <xdr:row>2</xdr:row>
      <xdr:rowOff>55031</xdr:rowOff>
    </xdr:from>
    <xdr:to>
      <xdr:col>6</xdr:col>
      <xdr:colOff>478369</xdr:colOff>
      <xdr:row>21</xdr:row>
      <xdr:rowOff>99481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F00-00000F000000}"/>
            </a:ext>
          </a:extLst>
        </xdr:cNvPr>
        <xdr:cNvSpPr txBox="1"/>
      </xdr:nvSpPr>
      <xdr:spPr>
        <a:xfrm>
          <a:off x="711203" y="457198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186270</xdr:colOff>
      <xdr:row>101</xdr:row>
      <xdr:rowOff>133348</xdr:rowOff>
    </xdr:from>
    <xdr:to>
      <xdr:col>6</xdr:col>
      <xdr:colOff>567269</xdr:colOff>
      <xdr:row>120</xdr:row>
      <xdr:rowOff>177798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F00-000010000000}"/>
            </a:ext>
          </a:extLst>
        </xdr:cNvPr>
        <xdr:cNvSpPr txBox="1"/>
      </xdr:nvSpPr>
      <xdr:spPr>
        <a:xfrm>
          <a:off x="800103" y="20379265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20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20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74084</xdr:colOff>
      <xdr:row>76</xdr:row>
      <xdr:rowOff>31750</xdr:rowOff>
    </xdr:from>
    <xdr:to>
      <xdr:col>6</xdr:col>
      <xdr:colOff>455083</xdr:colOff>
      <xdr:row>95</xdr:row>
      <xdr:rowOff>76199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2000-00000C000000}"/>
            </a:ext>
          </a:extLst>
        </xdr:cNvPr>
        <xdr:cNvSpPr txBox="1"/>
      </xdr:nvSpPr>
      <xdr:spPr>
        <a:xfrm>
          <a:off x="687917" y="15250583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67734</xdr:colOff>
      <xdr:row>51</xdr:row>
      <xdr:rowOff>162983</xdr:rowOff>
    </xdr:from>
    <xdr:to>
      <xdr:col>6</xdr:col>
      <xdr:colOff>448733</xdr:colOff>
      <xdr:row>71</xdr:row>
      <xdr:rowOff>6349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2000-00000D000000}"/>
            </a:ext>
          </a:extLst>
        </xdr:cNvPr>
        <xdr:cNvSpPr txBox="1"/>
      </xdr:nvSpPr>
      <xdr:spPr>
        <a:xfrm>
          <a:off x="681567" y="10386483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40217</xdr:colOff>
      <xdr:row>26</xdr:row>
      <xdr:rowOff>61382</xdr:rowOff>
    </xdr:from>
    <xdr:to>
      <xdr:col>6</xdr:col>
      <xdr:colOff>421216</xdr:colOff>
      <xdr:row>45</xdr:row>
      <xdr:rowOff>105832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2000-00000E000000}"/>
            </a:ext>
          </a:extLst>
        </xdr:cNvPr>
        <xdr:cNvSpPr txBox="1"/>
      </xdr:nvSpPr>
      <xdr:spPr>
        <a:xfrm>
          <a:off x="654050" y="5268382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33867</xdr:colOff>
      <xdr:row>2</xdr:row>
      <xdr:rowOff>171448</xdr:rowOff>
    </xdr:from>
    <xdr:to>
      <xdr:col>6</xdr:col>
      <xdr:colOff>414866</xdr:colOff>
      <xdr:row>22</xdr:row>
      <xdr:rowOff>14815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2000-00000F000000}"/>
            </a:ext>
          </a:extLst>
        </xdr:cNvPr>
        <xdr:cNvSpPr txBox="1"/>
      </xdr:nvSpPr>
      <xdr:spPr>
        <a:xfrm>
          <a:off x="647700" y="573615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110067</xdr:colOff>
      <xdr:row>102</xdr:row>
      <xdr:rowOff>173566</xdr:rowOff>
    </xdr:from>
    <xdr:to>
      <xdr:col>6</xdr:col>
      <xdr:colOff>491066</xdr:colOff>
      <xdr:row>122</xdr:row>
      <xdr:rowOff>16933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2000-000010000000}"/>
            </a:ext>
          </a:extLst>
        </xdr:cNvPr>
        <xdr:cNvSpPr txBox="1"/>
      </xdr:nvSpPr>
      <xdr:spPr>
        <a:xfrm>
          <a:off x="723900" y="20609983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21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21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21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116417</xdr:colOff>
      <xdr:row>76</xdr:row>
      <xdr:rowOff>148167</xdr:rowOff>
    </xdr:from>
    <xdr:to>
      <xdr:col>6</xdr:col>
      <xdr:colOff>486832</xdr:colOff>
      <xdr:row>95</xdr:row>
      <xdr:rowOff>192617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2100-00000C000000}"/>
            </a:ext>
          </a:extLst>
        </xdr:cNvPr>
        <xdr:cNvSpPr txBox="1"/>
      </xdr:nvSpPr>
      <xdr:spPr>
        <a:xfrm>
          <a:off x="730250" y="15377584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88900</xdr:colOff>
      <xdr:row>51</xdr:row>
      <xdr:rowOff>88902</xdr:rowOff>
    </xdr:from>
    <xdr:to>
      <xdr:col>6</xdr:col>
      <xdr:colOff>459315</xdr:colOff>
      <xdr:row>70</xdr:row>
      <xdr:rowOff>133351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2100-00000D000000}"/>
            </a:ext>
          </a:extLst>
        </xdr:cNvPr>
        <xdr:cNvSpPr txBox="1"/>
      </xdr:nvSpPr>
      <xdr:spPr>
        <a:xfrm>
          <a:off x="702733" y="10322985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93133</xdr:colOff>
      <xdr:row>26</xdr:row>
      <xdr:rowOff>82552</xdr:rowOff>
    </xdr:from>
    <xdr:to>
      <xdr:col>6</xdr:col>
      <xdr:colOff>463548</xdr:colOff>
      <xdr:row>45</xdr:row>
      <xdr:rowOff>127001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2100-00000E000000}"/>
            </a:ext>
          </a:extLst>
        </xdr:cNvPr>
        <xdr:cNvSpPr txBox="1"/>
      </xdr:nvSpPr>
      <xdr:spPr>
        <a:xfrm>
          <a:off x="706966" y="5300135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55033</xdr:colOff>
      <xdr:row>2</xdr:row>
      <xdr:rowOff>171452</xdr:rowOff>
    </xdr:from>
    <xdr:to>
      <xdr:col>6</xdr:col>
      <xdr:colOff>425448</xdr:colOff>
      <xdr:row>22</xdr:row>
      <xdr:rowOff>14819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2100-00000F000000}"/>
            </a:ext>
          </a:extLst>
        </xdr:cNvPr>
        <xdr:cNvSpPr txBox="1"/>
      </xdr:nvSpPr>
      <xdr:spPr>
        <a:xfrm>
          <a:off x="668866" y="573619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133349</xdr:colOff>
      <xdr:row>102</xdr:row>
      <xdr:rowOff>48685</xdr:rowOff>
    </xdr:from>
    <xdr:to>
      <xdr:col>6</xdr:col>
      <xdr:colOff>503764</xdr:colOff>
      <xdr:row>121</xdr:row>
      <xdr:rowOff>93135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2100-000010000000}"/>
            </a:ext>
          </a:extLst>
        </xdr:cNvPr>
        <xdr:cNvSpPr txBox="1"/>
      </xdr:nvSpPr>
      <xdr:spPr>
        <a:xfrm>
          <a:off x="747182" y="20495685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243415</xdr:colOff>
      <xdr:row>49</xdr:row>
      <xdr:rowOff>201083</xdr:rowOff>
    </xdr:from>
    <xdr:to>
      <xdr:col>8</xdr:col>
      <xdr:colOff>529166</xdr:colOff>
      <xdr:row>52</xdr:row>
      <xdr:rowOff>42333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2603498" y="9863666"/>
          <a:ext cx="5365751" cy="444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FF0000"/>
              </a:solidFill>
            </a:rPr>
            <a:t>Comparado os dados da Tabela 1 e 3, há uma pequena diferença que precisa ser corrigida pelo Fator</a:t>
          </a:r>
          <a:r>
            <a:rPr lang="pt-BR" sz="1100" baseline="0">
              <a:solidFill>
                <a:srgbClr val="FF0000"/>
              </a:solidFill>
            </a:rPr>
            <a:t> de correção ao lado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22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2" name="Seta: Dobrada para Cima 2">
          <a:extLst>
            <a:ext uri="{FF2B5EF4-FFF2-40B4-BE49-F238E27FC236}">
              <a16:creationId xmlns:a16="http://schemas.microsoft.com/office/drawing/2014/main" id="{00000000-0008-0000-2200-00000C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127001</xdr:colOff>
      <xdr:row>77</xdr:row>
      <xdr:rowOff>169334</xdr:rowOff>
    </xdr:from>
    <xdr:to>
      <xdr:col>6</xdr:col>
      <xdr:colOff>508000</xdr:colOff>
      <xdr:row>97</xdr:row>
      <xdr:rowOff>12700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2200-00000D000000}"/>
            </a:ext>
          </a:extLst>
        </xdr:cNvPr>
        <xdr:cNvSpPr txBox="1"/>
      </xdr:nvSpPr>
      <xdr:spPr>
        <a:xfrm>
          <a:off x="740834" y="15599834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173569</xdr:colOff>
      <xdr:row>51</xdr:row>
      <xdr:rowOff>46568</xdr:rowOff>
    </xdr:from>
    <xdr:to>
      <xdr:col>6</xdr:col>
      <xdr:colOff>554568</xdr:colOff>
      <xdr:row>70</xdr:row>
      <xdr:rowOff>91017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2200-00000E000000}"/>
            </a:ext>
          </a:extLst>
        </xdr:cNvPr>
        <xdr:cNvSpPr txBox="1"/>
      </xdr:nvSpPr>
      <xdr:spPr>
        <a:xfrm>
          <a:off x="787402" y="10280651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124885</xdr:colOff>
      <xdr:row>26</xdr:row>
      <xdr:rowOff>188385</xdr:rowOff>
    </xdr:from>
    <xdr:to>
      <xdr:col>6</xdr:col>
      <xdr:colOff>505884</xdr:colOff>
      <xdr:row>46</xdr:row>
      <xdr:rowOff>31751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2200-00000F000000}"/>
            </a:ext>
          </a:extLst>
        </xdr:cNvPr>
        <xdr:cNvSpPr txBox="1"/>
      </xdr:nvSpPr>
      <xdr:spPr>
        <a:xfrm>
          <a:off x="738718" y="5405968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118535</xdr:colOff>
      <xdr:row>2</xdr:row>
      <xdr:rowOff>76200</xdr:rowOff>
    </xdr:from>
    <xdr:to>
      <xdr:col>6</xdr:col>
      <xdr:colOff>499534</xdr:colOff>
      <xdr:row>21</xdr:row>
      <xdr:rowOff>120650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2200-000010000000}"/>
            </a:ext>
          </a:extLst>
        </xdr:cNvPr>
        <xdr:cNvSpPr txBox="1"/>
      </xdr:nvSpPr>
      <xdr:spPr>
        <a:xfrm>
          <a:off x="732368" y="478367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162984</xdr:colOff>
      <xdr:row>102</xdr:row>
      <xdr:rowOff>46567</xdr:rowOff>
    </xdr:from>
    <xdr:to>
      <xdr:col>6</xdr:col>
      <xdr:colOff>543983</xdr:colOff>
      <xdr:row>121</xdr:row>
      <xdr:rowOff>91017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2200-000011000000}"/>
            </a:ext>
          </a:extLst>
        </xdr:cNvPr>
        <xdr:cNvSpPr txBox="1"/>
      </xdr:nvSpPr>
      <xdr:spPr>
        <a:xfrm>
          <a:off x="776817" y="20493567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23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23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23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148167</xdr:colOff>
      <xdr:row>76</xdr:row>
      <xdr:rowOff>74084</xdr:rowOff>
    </xdr:from>
    <xdr:to>
      <xdr:col>6</xdr:col>
      <xdr:colOff>529166</xdr:colOff>
      <xdr:row>95</xdr:row>
      <xdr:rowOff>118534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2300-00000C000000}"/>
            </a:ext>
          </a:extLst>
        </xdr:cNvPr>
        <xdr:cNvSpPr txBox="1"/>
      </xdr:nvSpPr>
      <xdr:spPr>
        <a:xfrm>
          <a:off x="762000" y="15303501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184150</xdr:colOff>
      <xdr:row>102</xdr:row>
      <xdr:rowOff>35985</xdr:rowOff>
    </xdr:from>
    <xdr:to>
      <xdr:col>6</xdr:col>
      <xdr:colOff>565149</xdr:colOff>
      <xdr:row>121</xdr:row>
      <xdr:rowOff>80435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2300-00000D000000}"/>
            </a:ext>
          </a:extLst>
        </xdr:cNvPr>
        <xdr:cNvSpPr txBox="1"/>
      </xdr:nvSpPr>
      <xdr:spPr>
        <a:xfrm>
          <a:off x="797983" y="20482985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156633</xdr:colOff>
      <xdr:row>51</xdr:row>
      <xdr:rowOff>50802</xdr:rowOff>
    </xdr:from>
    <xdr:to>
      <xdr:col>6</xdr:col>
      <xdr:colOff>537632</xdr:colOff>
      <xdr:row>70</xdr:row>
      <xdr:rowOff>95251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2300-00000E000000}"/>
            </a:ext>
          </a:extLst>
        </xdr:cNvPr>
        <xdr:cNvSpPr txBox="1"/>
      </xdr:nvSpPr>
      <xdr:spPr>
        <a:xfrm>
          <a:off x="770466" y="10284885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150283</xdr:colOff>
      <xdr:row>27</xdr:row>
      <xdr:rowOff>44451</xdr:rowOff>
    </xdr:from>
    <xdr:to>
      <xdr:col>6</xdr:col>
      <xdr:colOff>531282</xdr:colOff>
      <xdr:row>46</xdr:row>
      <xdr:rowOff>88901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2300-00000F000000}"/>
            </a:ext>
          </a:extLst>
        </xdr:cNvPr>
        <xdr:cNvSpPr txBox="1"/>
      </xdr:nvSpPr>
      <xdr:spPr>
        <a:xfrm>
          <a:off x="764116" y="5463118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112183</xdr:colOff>
      <xdr:row>2</xdr:row>
      <xdr:rowOff>101601</xdr:rowOff>
    </xdr:from>
    <xdr:to>
      <xdr:col>6</xdr:col>
      <xdr:colOff>493182</xdr:colOff>
      <xdr:row>21</xdr:row>
      <xdr:rowOff>146051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2300-000010000000}"/>
            </a:ext>
          </a:extLst>
        </xdr:cNvPr>
        <xdr:cNvSpPr txBox="1"/>
      </xdr:nvSpPr>
      <xdr:spPr>
        <a:xfrm>
          <a:off x="726016" y="503768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24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24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95251</xdr:colOff>
      <xdr:row>2</xdr:row>
      <xdr:rowOff>63500</xdr:rowOff>
    </xdr:from>
    <xdr:to>
      <xdr:col>6</xdr:col>
      <xdr:colOff>476250</xdr:colOff>
      <xdr:row>21</xdr:row>
      <xdr:rowOff>107950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2400-00000C000000}"/>
            </a:ext>
          </a:extLst>
        </xdr:cNvPr>
        <xdr:cNvSpPr txBox="1"/>
      </xdr:nvSpPr>
      <xdr:spPr>
        <a:xfrm>
          <a:off x="709084" y="465667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173568</xdr:colOff>
      <xdr:row>26</xdr:row>
      <xdr:rowOff>173567</xdr:rowOff>
    </xdr:from>
    <xdr:to>
      <xdr:col>6</xdr:col>
      <xdr:colOff>554567</xdr:colOff>
      <xdr:row>46</xdr:row>
      <xdr:rowOff>16933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2400-00000D000000}"/>
            </a:ext>
          </a:extLst>
        </xdr:cNvPr>
        <xdr:cNvSpPr txBox="1"/>
      </xdr:nvSpPr>
      <xdr:spPr>
        <a:xfrm>
          <a:off x="787401" y="5391150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230717</xdr:colOff>
      <xdr:row>51</xdr:row>
      <xdr:rowOff>167216</xdr:rowOff>
    </xdr:from>
    <xdr:to>
      <xdr:col>6</xdr:col>
      <xdr:colOff>611716</xdr:colOff>
      <xdr:row>71</xdr:row>
      <xdr:rowOff>10582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2400-00000E000000}"/>
            </a:ext>
          </a:extLst>
        </xdr:cNvPr>
        <xdr:cNvSpPr txBox="1"/>
      </xdr:nvSpPr>
      <xdr:spPr>
        <a:xfrm>
          <a:off x="844550" y="10401299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245534</xdr:colOff>
      <xdr:row>76</xdr:row>
      <xdr:rowOff>129116</xdr:rowOff>
    </xdr:from>
    <xdr:to>
      <xdr:col>6</xdr:col>
      <xdr:colOff>626533</xdr:colOff>
      <xdr:row>95</xdr:row>
      <xdr:rowOff>173566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2400-00000F000000}"/>
            </a:ext>
          </a:extLst>
        </xdr:cNvPr>
        <xdr:cNvSpPr txBox="1"/>
      </xdr:nvSpPr>
      <xdr:spPr>
        <a:xfrm>
          <a:off x="859367" y="15358533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249767</xdr:colOff>
      <xdr:row>102</xdr:row>
      <xdr:rowOff>6349</xdr:rowOff>
    </xdr:from>
    <xdr:to>
      <xdr:col>6</xdr:col>
      <xdr:colOff>630766</xdr:colOff>
      <xdr:row>121</xdr:row>
      <xdr:rowOff>50799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2400-000010000000}"/>
            </a:ext>
          </a:extLst>
        </xdr:cNvPr>
        <xdr:cNvSpPr txBox="1"/>
      </xdr:nvSpPr>
      <xdr:spPr>
        <a:xfrm>
          <a:off x="863600" y="20453349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232831</xdr:colOff>
      <xdr:row>49</xdr:row>
      <xdr:rowOff>190499</xdr:rowOff>
    </xdr:from>
    <xdr:to>
      <xdr:col>8</xdr:col>
      <xdr:colOff>518582</xdr:colOff>
      <xdr:row>52</xdr:row>
      <xdr:rowOff>31749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2592914" y="9853082"/>
          <a:ext cx="5365751" cy="444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FF0000"/>
              </a:solidFill>
            </a:rPr>
            <a:t>Comparado os dados da Tabela 1 e 3, há uma pequena diferença que precisa ser corrigida pelo Fator</a:t>
          </a:r>
          <a:r>
            <a:rPr lang="pt-BR" sz="1100" baseline="0">
              <a:solidFill>
                <a:srgbClr val="FF0000"/>
              </a:solidFill>
            </a:rPr>
            <a:t> de correção ao lado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285748</xdr:colOff>
      <xdr:row>49</xdr:row>
      <xdr:rowOff>179916</xdr:rowOff>
    </xdr:from>
    <xdr:to>
      <xdr:col>8</xdr:col>
      <xdr:colOff>571499</xdr:colOff>
      <xdr:row>52</xdr:row>
      <xdr:rowOff>21166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645831" y="9842499"/>
          <a:ext cx="5365751" cy="444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FF0000"/>
              </a:solidFill>
            </a:rPr>
            <a:t>Comparado os dados da Tabela 1 e 3, há uma pequena diferença que precisa ser corrigida pelo Fator</a:t>
          </a:r>
          <a:r>
            <a:rPr lang="pt-BR" sz="1100" baseline="0">
              <a:solidFill>
                <a:srgbClr val="FF0000"/>
              </a:solidFill>
            </a:rPr>
            <a:t> de correção ao lado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360628</xdr:colOff>
      <xdr:row>34</xdr:row>
      <xdr:rowOff>20108</xdr:rowOff>
    </xdr:from>
    <xdr:to>
      <xdr:col>9</xdr:col>
      <xdr:colOff>596636</xdr:colOff>
      <xdr:row>36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 rot="10800000">
          <a:off x="8147316" y="2044171"/>
          <a:ext cx="236008" cy="433387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2" name="Seta: Dobrada para Cima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0800000">
          <a:off x="8135409" y="182985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105833</xdr:colOff>
      <xdr:row>51</xdr:row>
      <xdr:rowOff>148166</xdr:rowOff>
    </xdr:from>
    <xdr:to>
      <xdr:col>6</xdr:col>
      <xdr:colOff>486832</xdr:colOff>
      <xdr:row>70</xdr:row>
      <xdr:rowOff>192615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719666" y="10382249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u="none" strike="sngStrike" baseline="0">
              <a:solidFill>
                <a:schemeClr val="tx1"/>
              </a:solidFill>
            </a:rPr>
            <a:t>Gasolina</a:t>
          </a:r>
          <a:r>
            <a:rPr lang="pt-BR" sz="1100" u="none" baseline="0">
              <a:solidFill>
                <a:schemeClr val="tx1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0800000">
          <a:off x="8135409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0800000">
          <a:off x="8135409" y="120216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/>
      </xdr:nvSpPr>
      <xdr:spPr>
        <a:xfrm rot="10800000">
          <a:off x="8116359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137584</xdr:colOff>
      <xdr:row>26</xdr:row>
      <xdr:rowOff>127001</xdr:rowOff>
    </xdr:from>
    <xdr:to>
      <xdr:col>6</xdr:col>
      <xdr:colOff>518583</xdr:colOff>
      <xdr:row>45</xdr:row>
      <xdr:rowOff>171450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751417" y="5344584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u="none" strike="sngStrike" baseline="0">
              <a:solidFill>
                <a:schemeClr val="tx1"/>
              </a:solidFill>
            </a:rPr>
            <a:t>Gasolina</a:t>
          </a:r>
          <a:r>
            <a:rPr lang="pt-BR" sz="1100" u="none" baseline="0">
              <a:solidFill>
                <a:schemeClr val="tx1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110066</xdr:colOff>
      <xdr:row>77</xdr:row>
      <xdr:rowOff>14815</xdr:rowOff>
    </xdr:from>
    <xdr:to>
      <xdr:col>6</xdr:col>
      <xdr:colOff>491065</xdr:colOff>
      <xdr:row>96</xdr:row>
      <xdr:rowOff>59265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723899" y="15445315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u="none" strike="sngStrike" baseline="0">
              <a:solidFill>
                <a:schemeClr val="tx1"/>
              </a:solidFill>
            </a:rPr>
            <a:t>Gasolina</a:t>
          </a:r>
          <a:r>
            <a:rPr lang="pt-BR" sz="1100" u="none" baseline="0">
              <a:solidFill>
                <a:schemeClr val="tx1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167217</xdr:colOff>
      <xdr:row>102</xdr:row>
      <xdr:rowOff>19048</xdr:rowOff>
    </xdr:from>
    <xdr:to>
      <xdr:col>6</xdr:col>
      <xdr:colOff>548216</xdr:colOff>
      <xdr:row>121</xdr:row>
      <xdr:rowOff>63498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 txBox="1"/>
      </xdr:nvSpPr>
      <xdr:spPr>
        <a:xfrm>
          <a:off x="781050" y="20466048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u="none" strike="sngStrike" baseline="0">
              <a:solidFill>
                <a:schemeClr val="tx1"/>
              </a:solidFill>
            </a:rPr>
            <a:t>Gasolina</a:t>
          </a:r>
          <a:r>
            <a:rPr lang="pt-BR" sz="1100" u="none" baseline="0">
              <a:solidFill>
                <a:schemeClr val="tx1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319617</xdr:colOff>
      <xdr:row>102</xdr:row>
      <xdr:rowOff>171448</xdr:rowOff>
    </xdr:from>
    <xdr:to>
      <xdr:col>6</xdr:col>
      <xdr:colOff>700616</xdr:colOff>
      <xdr:row>122</xdr:row>
      <xdr:rowOff>14814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933450" y="20618448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u="none" strike="sngStrike" baseline="0">
              <a:solidFill>
                <a:schemeClr val="tx1"/>
              </a:solidFill>
            </a:rPr>
            <a:t>Gasolina</a:t>
          </a:r>
          <a:r>
            <a:rPr lang="pt-BR" sz="1100" u="none" baseline="0">
              <a:solidFill>
                <a:schemeClr val="tx1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78317</xdr:colOff>
      <xdr:row>2</xdr:row>
      <xdr:rowOff>184150</xdr:rowOff>
    </xdr:from>
    <xdr:to>
      <xdr:col>6</xdr:col>
      <xdr:colOff>459316</xdr:colOff>
      <xdr:row>22</xdr:row>
      <xdr:rowOff>27517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692150" y="586317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u="none" strike="sngStrike" baseline="0">
              <a:solidFill>
                <a:schemeClr val="tx1"/>
              </a:solidFill>
            </a:rPr>
            <a:t>Gasolina</a:t>
          </a:r>
          <a:r>
            <a:rPr lang="pt-BR" sz="1100" u="none" baseline="0">
              <a:solidFill>
                <a:schemeClr val="tx1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 rot="10800000">
          <a:off x="8116359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 rot="10800000">
          <a:off x="8135409" y="182985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 rot="10800000">
          <a:off x="8135409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8" name="Seta: Dobrada para Cima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/>
      </xdr:nvSpPr>
      <xdr:spPr>
        <a:xfrm rot="10800000">
          <a:off x="8135409" y="118522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2" name="Seta: Dobrada para Cima 2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/>
      </xdr:nvSpPr>
      <xdr:spPr>
        <a:xfrm rot="10800000">
          <a:off x="8135409" y="6602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84667</xdr:colOff>
      <xdr:row>2</xdr:row>
      <xdr:rowOff>179916</xdr:rowOff>
    </xdr:from>
    <xdr:to>
      <xdr:col>6</xdr:col>
      <xdr:colOff>465666</xdr:colOff>
      <xdr:row>22</xdr:row>
      <xdr:rowOff>23283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698500" y="582083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u="none" strike="sngStrike" baseline="0">
              <a:solidFill>
                <a:schemeClr val="tx1"/>
              </a:solidFill>
            </a:rPr>
            <a:t>Gasolina</a:t>
          </a:r>
          <a:r>
            <a:rPr lang="pt-BR" sz="1100" u="none" baseline="0">
              <a:solidFill>
                <a:schemeClr val="tx1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120651</xdr:colOff>
      <xdr:row>28</xdr:row>
      <xdr:rowOff>25400</xdr:rowOff>
    </xdr:from>
    <xdr:to>
      <xdr:col>6</xdr:col>
      <xdr:colOff>501650</xdr:colOff>
      <xdr:row>47</xdr:row>
      <xdr:rowOff>69850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 txBox="1"/>
      </xdr:nvSpPr>
      <xdr:spPr>
        <a:xfrm>
          <a:off x="734484" y="5645150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u="none" strike="sngStrike" baseline="0">
              <a:solidFill>
                <a:schemeClr val="tx1"/>
              </a:solidFill>
            </a:rPr>
            <a:t>Gasolina</a:t>
          </a:r>
          <a:r>
            <a:rPr lang="pt-BR" sz="1100" u="none" baseline="0">
              <a:solidFill>
                <a:schemeClr val="tx1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156634</xdr:colOff>
      <xdr:row>51</xdr:row>
      <xdr:rowOff>135467</xdr:rowOff>
    </xdr:from>
    <xdr:to>
      <xdr:col>6</xdr:col>
      <xdr:colOff>537633</xdr:colOff>
      <xdr:row>70</xdr:row>
      <xdr:rowOff>179916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770467" y="10369550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u="none" strike="sngStrike" baseline="0">
              <a:solidFill>
                <a:schemeClr val="tx1"/>
              </a:solidFill>
            </a:rPr>
            <a:t>Gasolina</a:t>
          </a:r>
          <a:r>
            <a:rPr lang="pt-BR" sz="1100" u="none" baseline="0">
              <a:solidFill>
                <a:schemeClr val="tx1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192617</xdr:colOff>
      <xdr:row>76</xdr:row>
      <xdr:rowOff>182034</xdr:rowOff>
    </xdr:from>
    <xdr:to>
      <xdr:col>6</xdr:col>
      <xdr:colOff>573616</xdr:colOff>
      <xdr:row>96</xdr:row>
      <xdr:rowOff>25400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806450" y="15432617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u="none" strike="sngStrike" baseline="0">
              <a:solidFill>
                <a:schemeClr val="tx1"/>
              </a:solidFill>
            </a:rPr>
            <a:t>Gasolina</a:t>
          </a:r>
          <a:r>
            <a:rPr lang="pt-BR" sz="1100" u="none" baseline="0">
              <a:solidFill>
                <a:schemeClr val="tx1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270934</xdr:colOff>
      <xdr:row>102</xdr:row>
      <xdr:rowOff>112183</xdr:rowOff>
    </xdr:from>
    <xdr:to>
      <xdr:col>6</xdr:col>
      <xdr:colOff>651933</xdr:colOff>
      <xdr:row>121</xdr:row>
      <xdr:rowOff>156633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884767" y="20580350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u="none" baseline="0">
              <a:solidFill>
                <a:schemeClr val="tx1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0800000">
          <a:off x="8116359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 rot="10800000">
          <a:off x="8135409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0800000">
          <a:off x="8135409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8" name="Seta: Dobrada para Cim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10800000">
          <a:off x="8135409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/>
      </xdr:nvSpPr>
      <xdr:spPr>
        <a:xfrm rot="10800000">
          <a:off x="8116359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52917</xdr:colOff>
      <xdr:row>102</xdr:row>
      <xdr:rowOff>10584</xdr:rowOff>
    </xdr:from>
    <xdr:to>
      <xdr:col>6</xdr:col>
      <xdr:colOff>433916</xdr:colOff>
      <xdr:row>121</xdr:row>
      <xdr:rowOff>55034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666750" y="20457584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35985</xdr:colOff>
      <xdr:row>76</xdr:row>
      <xdr:rowOff>152401</xdr:rowOff>
    </xdr:from>
    <xdr:to>
      <xdr:col>6</xdr:col>
      <xdr:colOff>416984</xdr:colOff>
      <xdr:row>95</xdr:row>
      <xdr:rowOff>196851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649818" y="15381818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50802</xdr:colOff>
      <xdr:row>51</xdr:row>
      <xdr:rowOff>124885</xdr:rowOff>
    </xdr:from>
    <xdr:to>
      <xdr:col>6</xdr:col>
      <xdr:colOff>431801</xdr:colOff>
      <xdr:row>70</xdr:row>
      <xdr:rowOff>169334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 txBox="1"/>
      </xdr:nvSpPr>
      <xdr:spPr>
        <a:xfrm>
          <a:off x="664635" y="10358968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55035</xdr:colOff>
      <xdr:row>26</xdr:row>
      <xdr:rowOff>129118</xdr:rowOff>
    </xdr:from>
    <xdr:to>
      <xdr:col>6</xdr:col>
      <xdr:colOff>436034</xdr:colOff>
      <xdr:row>45</xdr:row>
      <xdr:rowOff>173567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668868" y="5346701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16934</xdr:colOff>
      <xdr:row>2</xdr:row>
      <xdr:rowOff>122766</xdr:rowOff>
    </xdr:from>
    <xdr:to>
      <xdr:col>6</xdr:col>
      <xdr:colOff>397933</xdr:colOff>
      <xdr:row>21</xdr:row>
      <xdr:rowOff>167216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630767" y="524933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 rot="10800000">
          <a:off x="8116359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 rot="10800000">
          <a:off x="8135409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 rot="10800000">
          <a:off x="8135409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 rot="10800000">
          <a:off x="8135409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/>
      </xdr:nvSpPr>
      <xdr:spPr>
        <a:xfrm rot="10800000">
          <a:off x="8116359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84667</xdr:colOff>
      <xdr:row>2</xdr:row>
      <xdr:rowOff>52916</xdr:rowOff>
    </xdr:from>
    <xdr:to>
      <xdr:col>6</xdr:col>
      <xdr:colOff>465666</xdr:colOff>
      <xdr:row>21</xdr:row>
      <xdr:rowOff>97366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698500" y="455083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173567</xdr:colOff>
      <xdr:row>26</xdr:row>
      <xdr:rowOff>194733</xdr:rowOff>
    </xdr:from>
    <xdr:to>
      <xdr:col>6</xdr:col>
      <xdr:colOff>554566</xdr:colOff>
      <xdr:row>46</xdr:row>
      <xdr:rowOff>38099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787400" y="5412316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146050</xdr:colOff>
      <xdr:row>51</xdr:row>
      <xdr:rowOff>146049</xdr:rowOff>
    </xdr:from>
    <xdr:to>
      <xdr:col>6</xdr:col>
      <xdr:colOff>527049</xdr:colOff>
      <xdr:row>70</xdr:row>
      <xdr:rowOff>190498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SpPr txBox="1"/>
      </xdr:nvSpPr>
      <xdr:spPr>
        <a:xfrm>
          <a:off x="759883" y="10380132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171450</xdr:colOff>
      <xdr:row>76</xdr:row>
      <xdr:rowOff>171448</xdr:rowOff>
    </xdr:from>
    <xdr:to>
      <xdr:col>6</xdr:col>
      <xdr:colOff>552449</xdr:colOff>
      <xdr:row>96</xdr:row>
      <xdr:rowOff>14815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785283" y="15400865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196850</xdr:colOff>
      <xdr:row>102</xdr:row>
      <xdr:rowOff>122764</xdr:rowOff>
    </xdr:from>
    <xdr:to>
      <xdr:col>6</xdr:col>
      <xdr:colOff>577849</xdr:colOff>
      <xdr:row>121</xdr:row>
      <xdr:rowOff>167214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810683" y="20569764"/>
          <a:ext cx="4540249" cy="3865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AM36"/>
  <sheetViews>
    <sheetView showGridLines="0" workbookViewId="0">
      <pane xSplit="1" topLeftCell="B1" activePane="topRight" state="frozen"/>
      <selection pane="topRight" activeCell="A4" sqref="A4"/>
    </sheetView>
  </sheetViews>
  <sheetFormatPr defaultRowHeight="15"/>
  <cols>
    <col min="1" max="1" width="28.85546875" style="4" customWidth="1"/>
    <col min="2" max="2" width="2.5703125" customWidth="1"/>
    <col min="7" max="7" width="5.5703125" customWidth="1"/>
    <col min="8" max="8" width="10.140625" bestFit="1" customWidth="1"/>
    <col min="12" max="13" width="10.140625" bestFit="1" customWidth="1"/>
    <col min="14" max="14" width="5.140625" customWidth="1"/>
    <col min="19" max="19" width="5.140625" customWidth="1"/>
    <col min="24" max="24" width="5.140625" customWidth="1"/>
    <col min="25" max="25" width="10.28515625" bestFit="1" customWidth="1"/>
    <col min="26" max="26" width="5.140625" customWidth="1"/>
    <col min="27" max="27" width="17.28515625" bestFit="1" customWidth="1"/>
    <col min="28" max="28" width="5.140625" customWidth="1"/>
    <col min="29" max="29" width="7.5703125" bestFit="1" customWidth="1"/>
    <col min="30" max="30" width="5.140625" customWidth="1"/>
    <col min="31" max="31" width="13.140625" bestFit="1" customWidth="1"/>
    <col min="32" max="32" width="5.140625" customWidth="1"/>
    <col min="33" max="33" width="12" bestFit="1" customWidth="1"/>
    <col min="34" max="34" width="5.140625" customWidth="1"/>
    <col min="35" max="35" width="10" bestFit="1" customWidth="1"/>
    <col min="37" max="37" width="11.140625" bestFit="1" customWidth="1"/>
  </cols>
  <sheetData>
    <row r="1" spans="1:39">
      <c r="A1" s="49"/>
    </row>
    <row r="2" spans="1:39" ht="15.75" customHeight="1">
      <c r="A2" s="88" t="str">
        <f>"Frota por tipo de veículo e combustível - Junho/"&amp;ONSV_AUX_2023!A1&amp;""</f>
        <v>Frota por tipo de veículo e combustível - Junho/2023</v>
      </c>
      <c r="C2" s="92" t="s">
        <v>0</v>
      </c>
      <c r="D2" s="92"/>
      <c r="E2" s="92"/>
      <c r="F2" s="92"/>
      <c r="H2" s="92" t="s">
        <v>1</v>
      </c>
      <c r="I2" s="92"/>
      <c r="J2" s="92"/>
      <c r="K2" s="92"/>
      <c r="L2" s="92"/>
      <c r="M2" s="92"/>
      <c r="O2" s="93" t="s">
        <v>2</v>
      </c>
      <c r="P2" s="94"/>
      <c r="Q2" s="94"/>
      <c r="R2" s="95"/>
      <c r="T2" s="93" t="s">
        <v>3</v>
      </c>
      <c r="U2" s="94"/>
      <c r="V2" s="94"/>
      <c r="W2" s="95"/>
      <c r="Y2" s="30" t="s">
        <v>4</v>
      </c>
      <c r="AA2" s="30" t="s">
        <v>5</v>
      </c>
      <c r="AC2" s="30" t="s">
        <v>6</v>
      </c>
      <c r="AE2" s="30" t="s">
        <v>7</v>
      </c>
      <c r="AG2" s="30" t="s">
        <v>8</v>
      </c>
      <c r="AI2" s="30" t="s">
        <v>9</v>
      </c>
      <c r="AK2" s="90" t="s">
        <v>10</v>
      </c>
    </row>
    <row r="3" spans="1:39" ht="15.75">
      <c r="A3" s="89"/>
      <c r="C3" s="30" t="s">
        <v>11</v>
      </c>
      <c r="D3" s="30" t="s">
        <v>12</v>
      </c>
      <c r="E3" s="30" t="s">
        <v>13</v>
      </c>
      <c r="F3" s="30" t="s">
        <v>14</v>
      </c>
      <c r="H3" s="30" t="s">
        <v>11</v>
      </c>
      <c r="I3" s="30" t="s">
        <v>15</v>
      </c>
      <c r="J3" s="30" t="s">
        <v>16</v>
      </c>
      <c r="K3" s="30" t="s">
        <v>12</v>
      </c>
      <c r="L3" s="30" t="s">
        <v>13</v>
      </c>
      <c r="M3" s="30" t="s">
        <v>14</v>
      </c>
      <c r="O3" s="30" t="s">
        <v>17</v>
      </c>
      <c r="P3" s="30" t="s">
        <v>12</v>
      </c>
      <c r="Q3" s="30" t="s">
        <v>13</v>
      </c>
      <c r="R3" s="30" t="s">
        <v>14</v>
      </c>
      <c r="T3" s="30" t="s">
        <v>17</v>
      </c>
      <c r="U3" s="30" t="s">
        <v>12</v>
      </c>
      <c r="V3" s="30" t="s">
        <v>13</v>
      </c>
      <c r="W3" s="30" t="s">
        <v>14</v>
      </c>
      <c r="Y3" s="30" t="s">
        <v>17</v>
      </c>
      <c r="AA3" s="30" t="s">
        <v>17</v>
      </c>
      <c r="AC3" s="30" t="s">
        <v>17</v>
      </c>
      <c r="AE3" s="30" t="s">
        <v>17</v>
      </c>
      <c r="AG3" s="30" t="s">
        <v>13</v>
      </c>
      <c r="AI3" s="30" t="s">
        <v>13</v>
      </c>
      <c r="AK3" s="91"/>
      <c r="AM3" t="s">
        <v>18</v>
      </c>
    </row>
    <row r="4" spans="1:39">
      <c r="A4" s="44" t="s">
        <v>19</v>
      </c>
      <c r="C4" s="48" t="e">
        <f>SUM(C5,C13,C32,C28,C23)</f>
        <v>#DIV/0!</v>
      </c>
      <c r="D4" s="48" t="e">
        <f>SUM(D5,D13,D32,D28,D23)</f>
        <v>#DIV/0!</v>
      </c>
      <c r="E4" s="48" t="e">
        <f t="shared" ref="E4:F4" si="0">SUM(E5,E13,E32,E28,E23)</f>
        <v>#DIV/0!</v>
      </c>
      <c r="F4" s="48" t="e">
        <f t="shared" si="0"/>
        <v>#DIV/0!</v>
      </c>
      <c r="H4" s="48" t="e">
        <f t="shared" ref="H4:L4" si="1">SUM(H5,H13,H32,H28,H23)</f>
        <v>#DIV/0!</v>
      </c>
      <c r="I4" s="48">
        <f t="shared" si="1"/>
        <v>0</v>
      </c>
      <c r="J4" s="48">
        <f t="shared" si="1"/>
        <v>0</v>
      </c>
      <c r="K4" s="48" t="e">
        <f t="shared" ref="K4" si="2">SUM(K5,K13,K32,K28,K23)</f>
        <v>#DIV/0!</v>
      </c>
      <c r="L4" s="48" t="e">
        <f t="shared" si="1"/>
        <v>#DIV/0!</v>
      </c>
      <c r="M4" s="48" t="e">
        <f>SUM(M5,M13,M32,M28,M23)</f>
        <v>#DIV/0!</v>
      </c>
      <c r="O4" s="48" t="e">
        <f t="shared" ref="O4:Q4" si="3">SUM(O5,O13,O32,O28,O23)</f>
        <v>#DIV/0!</v>
      </c>
      <c r="P4" s="48" t="e">
        <f t="shared" ref="P4" si="4">SUM(P5,P13,P32,P28,P23)</f>
        <v>#DIV/0!</v>
      </c>
      <c r="Q4" s="48" t="e">
        <f t="shared" si="3"/>
        <v>#DIV/0!</v>
      </c>
      <c r="R4" s="48" t="e">
        <f t="shared" ref="R4" si="5">SUM(R5,R13,R32,R28,R23)</f>
        <v>#DIV/0!</v>
      </c>
      <c r="T4" s="48" t="e">
        <f t="shared" ref="T4:V4" si="6">SUM(T5,T13,T32,T28,T23)</f>
        <v>#DIV/0!</v>
      </c>
      <c r="U4" s="48" t="e">
        <f t="shared" ref="U4" si="7">SUM(U5,U13,U32,U28,U23)</f>
        <v>#DIV/0!</v>
      </c>
      <c r="V4" s="48" t="e">
        <f t="shared" si="6"/>
        <v>#DIV/0!</v>
      </c>
      <c r="W4" s="48" t="e">
        <f t="shared" ref="W4" si="8">SUM(W5,W13,W32,W28,W23)</f>
        <v>#DIV/0!</v>
      </c>
      <c r="Y4" s="48" t="e">
        <f t="shared" ref="Y4" si="9">SUM(Y5,Y13,Y32,Y28,Y23)</f>
        <v>#DIV/0!</v>
      </c>
      <c r="AA4" s="48" t="e">
        <f>SUM(AA5,AA13,AA32,AA28,AA23)</f>
        <v>#DIV/0!</v>
      </c>
      <c r="AC4" s="48" t="e">
        <f t="shared" ref="AC4" si="10">SUM(AC5,AC13,AC32,AC28,AC23)</f>
        <v>#DIV/0!</v>
      </c>
      <c r="AE4" s="48" t="e">
        <f t="shared" ref="AE4" si="11">SUM(AE5,AE13,AE32,AE28,AE23)</f>
        <v>#DIV/0!</v>
      </c>
      <c r="AG4" s="48" t="e">
        <f t="shared" ref="AG4" si="12">SUM(AG5,AG13,AG32,AG28,AG23)</f>
        <v>#DIV/0!</v>
      </c>
      <c r="AI4" s="48" t="e">
        <f t="shared" ref="AI4" si="13">SUM(AI5,AI13,AI32,AI28,AI23)</f>
        <v>#DIV/0!</v>
      </c>
      <c r="AK4" s="48" t="e">
        <f>SUM(F4,M4,R4,W4,Y4,AA4,AC4,AE4,AG4,AI4)</f>
        <v>#DIV/0!</v>
      </c>
    </row>
    <row r="5" spans="1:39">
      <c r="A5" s="44" t="s">
        <v>20</v>
      </c>
      <c r="C5" s="48" t="e">
        <f>SUM(C6:C12)</f>
        <v>#DIV/0!</v>
      </c>
      <c r="D5" s="48" t="e">
        <f>SUM(D6:D12)</f>
        <v>#DIV/0!</v>
      </c>
      <c r="E5" s="48" t="e">
        <f t="shared" ref="E5" si="14">SUM(E6:E12)</f>
        <v>#DIV/0!</v>
      </c>
      <c r="F5" s="48" t="e">
        <f>SUM(C5:E5)</f>
        <v>#DIV/0!</v>
      </c>
      <c r="H5" s="48" t="e">
        <f t="shared" ref="H5:L5" si="15">SUM(H6:H12)</f>
        <v>#DIV/0!</v>
      </c>
      <c r="I5" s="48">
        <f t="shared" si="15"/>
        <v>0</v>
      </c>
      <c r="J5" s="48">
        <f t="shared" si="15"/>
        <v>0</v>
      </c>
      <c r="K5" s="48" t="e">
        <f t="shared" ref="K5" si="16">SUM(K6:K12)</f>
        <v>#DIV/0!</v>
      </c>
      <c r="L5" s="48" t="e">
        <f t="shared" si="15"/>
        <v>#DIV/0!</v>
      </c>
      <c r="M5" s="48" t="e">
        <f>SUM(H5:L5)</f>
        <v>#DIV/0!</v>
      </c>
      <c r="O5" s="48" t="e">
        <f t="shared" ref="O5:Q5" si="17">SUM(O6:O12)</f>
        <v>#DIV/0!</v>
      </c>
      <c r="P5" s="48" t="e">
        <f t="shared" ref="P5" si="18">SUM(P6:P12)</f>
        <v>#DIV/0!</v>
      </c>
      <c r="Q5" s="48" t="e">
        <f t="shared" si="17"/>
        <v>#DIV/0!</v>
      </c>
      <c r="R5" s="48" t="e">
        <f>SUM(O5:Q5)</f>
        <v>#DIV/0!</v>
      </c>
      <c r="T5" s="48" t="e">
        <f t="shared" ref="T5:V5" si="19">SUM(T6:T12)</f>
        <v>#DIV/0!</v>
      </c>
      <c r="U5" s="48" t="e">
        <f t="shared" ref="U5" si="20">SUM(U6:U12)</f>
        <v>#DIV/0!</v>
      </c>
      <c r="V5" s="48" t="e">
        <f t="shared" si="19"/>
        <v>#DIV/0!</v>
      </c>
      <c r="W5" s="48" t="e">
        <f>SUM(T5:V5)</f>
        <v>#DIV/0!</v>
      </c>
      <c r="Y5" s="48" t="e">
        <f t="shared" ref="Y5" si="21">SUM(Y6:Y12)</f>
        <v>#DIV/0!</v>
      </c>
      <c r="AA5" s="48" t="e">
        <f>SUM(AA6:AA12)</f>
        <v>#DIV/0!</v>
      </c>
      <c r="AC5" s="48" t="e">
        <f t="shared" ref="AC5" si="22">SUM(AC6:AC12)</f>
        <v>#DIV/0!</v>
      </c>
      <c r="AE5" s="48" t="e">
        <f t="shared" ref="AE5" si="23">SUM(AE6:AE12)</f>
        <v>#DIV/0!</v>
      </c>
      <c r="AG5" s="48" t="e">
        <f t="shared" ref="AG5" si="24">SUM(AG6:AG12)</f>
        <v>#DIV/0!</v>
      </c>
      <c r="AI5" s="48" t="e">
        <f t="shared" ref="AI5" si="25">SUM(AI6:AI12)</f>
        <v>#DIV/0!</v>
      </c>
      <c r="AK5" s="48" t="e">
        <f t="shared" ref="AK5:AK36" si="26">SUM(F5,M5,R5,W5,Y5,AA5,AC5,AE5,AG5,AI5)</f>
        <v>#DIV/0!</v>
      </c>
    </row>
    <row r="6" spans="1:39">
      <c r="A6" s="45" t="s">
        <v>21</v>
      </c>
      <c r="C6" s="47" t="e">
        <f>AC!$U$7</f>
        <v>#DIV/0!</v>
      </c>
      <c r="D6" s="47" t="e">
        <f>AC!$U$8</f>
        <v>#DIV/0!</v>
      </c>
      <c r="E6" s="47" t="e">
        <f>AC!$U$9</f>
        <v>#DIV/0!</v>
      </c>
      <c r="F6" s="48" t="e">
        <f t="shared" ref="F6:F36" si="27">SUM(C6:E6)</f>
        <v>#DIV/0!</v>
      </c>
      <c r="H6" s="47" t="e">
        <f>AC!$U$11</f>
        <v>#DIV/0!</v>
      </c>
      <c r="I6" s="47">
        <f>AC!$U$12</f>
        <v>0</v>
      </c>
      <c r="J6" s="47">
        <f>AC!$U$13</f>
        <v>0</v>
      </c>
      <c r="K6" s="47" t="e">
        <f>AC!$U$14</f>
        <v>#DIV/0!</v>
      </c>
      <c r="L6" s="47" t="e">
        <f>AC!$U$15</f>
        <v>#DIV/0!</v>
      </c>
      <c r="M6" s="48" t="e">
        <f t="shared" ref="M6:M36" si="28">SUM(H6:L6)</f>
        <v>#DIV/0!</v>
      </c>
      <c r="O6" s="47" t="e">
        <f>AC!$U$17</f>
        <v>#DIV/0!</v>
      </c>
      <c r="P6" s="47" t="e">
        <f>AC!$U$18</f>
        <v>#DIV/0!</v>
      </c>
      <c r="Q6" s="47" t="e">
        <f>AC!$U$19</f>
        <v>#DIV/0!</v>
      </c>
      <c r="R6" s="48" t="e">
        <f t="shared" ref="R6:R36" si="29">SUM(O6:Q6)</f>
        <v>#DIV/0!</v>
      </c>
      <c r="T6" s="47" t="e">
        <f>AC!$X$7</f>
        <v>#DIV/0!</v>
      </c>
      <c r="U6" s="47" t="e">
        <f>AC!$X$8</f>
        <v>#DIV/0!</v>
      </c>
      <c r="V6" s="47" t="e">
        <f>AC!$X$9</f>
        <v>#DIV/0!</v>
      </c>
      <c r="W6" s="48" t="e">
        <f t="shared" ref="W6:W36" si="30">SUM(T6:V6)</f>
        <v>#DIV/0!</v>
      </c>
      <c r="Y6" s="47" t="e">
        <f>AC!$X$11</f>
        <v>#DIV/0!</v>
      </c>
      <c r="AA6" s="47" t="e">
        <f>AC!$X$12</f>
        <v>#DIV/0!</v>
      </c>
      <c r="AC6" s="47" t="e">
        <f>AC!$X$14</f>
        <v>#DIV/0!</v>
      </c>
      <c r="AE6" s="47" t="e">
        <f>AC!$X$15</f>
        <v>#DIV/0!</v>
      </c>
      <c r="AG6" s="47" t="e">
        <f>AC!$X$17</f>
        <v>#DIV/0!</v>
      </c>
      <c r="AI6" s="47" t="e">
        <f>AC!$X$18</f>
        <v>#DIV/0!</v>
      </c>
      <c r="AK6" s="47" t="e">
        <f>SUM(F6,M6,R6,W6,Y6,AA6,AC6,AE6,AG6,AI6)</f>
        <v>#DIV/0!</v>
      </c>
      <c r="AM6" t="e">
        <f>IF((AK6=AC!$X$21),"ok","erro")</f>
        <v>#DIV/0!</v>
      </c>
    </row>
    <row r="7" spans="1:39">
      <c r="A7" s="45" t="s">
        <v>22</v>
      </c>
      <c r="C7" s="47" t="e">
        <f>AP!$U$7</f>
        <v>#DIV/0!</v>
      </c>
      <c r="D7" s="47" t="e">
        <f>AP!$U$8</f>
        <v>#DIV/0!</v>
      </c>
      <c r="E7" s="47" t="e">
        <f>AP!$U$9</f>
        <v>#DIV/0!</v>
      </c>
      <c r="F7" s="48" t="e">
        <f t="shared" si="27"/>
        <v>#DIV/0!</v>
      </c>
      <c r="H7" s="47" t="e">
        <f>AP!$U$11</f>
        <v>#DIV/0!</v>
      </c>
      <c r="I7" s="47">
        <f>AP!$U$12</f>
        <v>0</v>
      </c>
      <c r="J7" s="47">
        <f>AP!$U$13</f>
        <v>0</v>
      </c>
      <c r="K7" s="47" t="e">
        <f>AP!$U$14</f>
        <v>#DIV/0!</v>
      </c>
      <c r="L7" s="47" t="e">
        <f>AP!$U$15</f>
        <v>#DIV/0!</v>
      </c>
      <c r="M7" s="48" t="e">
        <f t="shared" si="28"/>
        <v>#DIV/0!</v>
      </c>
      <c r="O7" s="47" t="e">
        <f>AP!$U$17</f>
        <v>#DIV/0!</v>
      </c>
      <c r="P7" s="47" t="e">
        <f>AP!$U$18</f>
        <v>#DIV/0!</v>
      </c>
      <c r="Q7" s="47" t="e">
        <f>AP!$U$19</f>
        <v>#DIV/0!</v>
      </c>
      <c r="R7" s="48" t="e">
        <f t="shared" si="29"/>
        <v>#DIV/0!</v>
      </c>
      <c r="T7" s="47" t="e">
        <f>AP!$X$7</f>
        <v>#DIV/0!</v>
      </c>
      <c r="U7" s="47" t="e">
        <f>AP!$X$8</f>
        <v>#DIV/0!</v>
      </c>
      <c r="V7" s="47" t="e">
        <f>AP!$X$9</f>
        <v>#DIV/0!</v>
      </c>
      <c r="W7" s="48" t="e">
        <f t="shared" si="30"/>
        <v>#DIV/0!</v>
      </c>
      <c r="Y7" s="47" t="e">
        <f>AP!$X$11</f>
        <v>#DIV/0!</v>
      </c>
      <c r="AA7" s="47" t="e">
        <f>AP!$X$12</f>
        <v>#DIV/0!</v>
      </c>
      <c r="AC7" s="47" t="e">
        <f>AP!$X$14</f>
        <v>#DIV/0!</v>
      </c>
      <c r="AE7" s="47" t="e">
        <f>AP!$X$15</f>
        <v>#DIV/0!</v>
      </c>
      <c r="AG7" s="47" t="e">
        <f>AP!$X$17</f>
        <v>#DIV/0!</v>
      </c>
      <c r="AI7" s="47" t="e">
        <f>AP!$X$18</f>
        <v>#DIV/0!</v>
      </c>
      <c r="AK7" s="47" t="e">
        <f t="shared" si="26"/>
        <v>#DIV/0!</v>
      </c>
      <c r="AM7" t="e">
        <f>IF((AK7=AP!$X$21),"ok","erro")</f>
        <v>#DIV/0!</v>
      </c>
    </row>
    <row r="8" spans="1:39">
      <c r="A8" s="45" t="s">
        <v>23</v>
      </c>
      <c r="C8" s="47" t="e">
        <f>AM!$U$7</f>
        <v>#DIV/0!</v>
      </c>
      <c r="D8" s="47" t="e">
        <f>AM!$U$8</f>
        <v>#DIV/0!</v>
      </c>
      <c r="E8" s="47" t="e">
        <f>AM!$U$9</f>
        <v>#DIV/0!</v>
      </c>
      <c r="F8" s="48" t="e">
        <f t="shared" si="27"/>
        <v>#DIV/0!</v>
      </c>
      <c r="H8" s="47" t="e">
        <f>AM!$U$11</f>
        <v>#DIV/0!</v>
      </c>
      <c r="I8" s="47">
        <f>AM!$U$12</f>
        <v>0</v>
      </c>
      <c r="J8" s="47">
        <f>AM!$U$13</f>
        <v>0</v>
      </c>
      <c r="K8" s="47" t="e">
        <f>AM!$U$14</f>
        <v>#DIV/0!</v>
      </c>
      <c r="L8" s="47" t="e">
        <f>AM!$U$15</f>
        <v>#DIV/0!</v>
      </c>
      <c r="M8" s="48" t="e">
        <f t="shared" si="28"/>
        <v>#DIV/0!</v>
      </c>
      <c r="O8" s="47" t="e">
        <f>AM!$U$17</f>
        <v>#DIV/0!</v>
      </c>
      <c r="P8" s="47" t="e">
        <f>AM!$U$18</f>
        <v>#DIV/0!</v>
      </c>
      <c r="Q8" s="47" t="e">
        <f>AM!$U$19</f>
        <v>#DIV/0!</v>
      </c>
      <c r="R8" s="48" t="e">
        <f t="shared" si="29"/>
        <v>#DIV/0!</v>
      </c>
      <c r="T8" s="47" t="e">
        <f>AM!$X$7</f>
        <v>#DIV/0!</v>
      </c>
      <c r="U8" s="47" t="e">
        <f>AM!$X$8</f>
        <v>#DIV/0!</v>
      </c>
      <c r="V8" s="47" t="e">
        <f>AM!$X$9</f>
        <v>#DIV/0!</v>
      </c>
      <c r="W8" s="48" t="e">
        <f t="shared" si="30"/>
        <v>#DIV/0!</v>
      </c>
      <c r="Y8" s="47" t="e">
        <f>AM!$X$11</f>
        <v>#DIV/0!</v>
      </c>
      <c r="AA8" s="47" t="e">
        <f>AM!$X$12</f>
        <v>#DIV/0!</v>
      </c>
      <c r="AC8" s="47" t="e">
        <f>AM!$X$14</f>
        <v>#DIV/0!</v>
      </c>
      <c r="AE8" s="47" t="e">
        <f>AM!$X$15</f>
        <v>#DIV/0!</v>
      </c>
      <c r="AG8" s="47" t="e">
        <f>AM!$X$17</f>
        <v>#DIV/0!</v>
      </c>
      <c r="AI8" s="47" t="e">
        <f>AM!$X$18</f>
        <v>#DIV/0!</v>
      </c>
      <c r="AK8" s="47" t="e">
        <f t="shared" si="26"/>
        <v>#DIV/0!</v>
      </c>
      <c r="AM8" t="e">
        <f>IF((AK8=AM!$X$21),"ok","erro")</f>
        <v>#DIV/0!</v>
      </c>
    </row>
    <row r="9" spans="1:39">
      <c r="A9" s="45" t="s">
        <v>24</v>
      </c>
      <c r="C9" s="47" t="e">
        <f>PA!$U$7</f>
        <v>#DIV/0!</v>
      </c>
      <c r="D9" s="47" t="e">
        <f>PA!$U$8</f>
        <v>#DIV/0!</v>
      </c>
      <c r="E9" s="47" t="e">
        <f>PA!$U$9</f>
        <v>#DIV/0!</v>
      </c>
      <c r="F9" s="48" t="e">
        <f t="shared" si="27"/>
        <v>#DIV/0!</v>
      </c>
      <c r="H9" s="47" t="e">
        <f>PA!$U$11</f>
        <v>#DIV/0!</v>
      </c>
      <c r="I9" s="47">
        <f>PA!$U$12</f>
        <v>0</v>
      </c>
      <c r="J9" s="47">
        <f>PA!$U$13</f>
        <v>0</v>
      </c>
      <c r="K9" s="47" t="e">
        <f>PA!$U$14</f>
        <v>#DIV/0!</v>
      </c>
      <c r="L9" s="47" t="e">
        <f>PA!$U$15</f>
        <v>#DIV/0!</v>
      </c>
      <c r="M9" s="48" t="e">
        <f t="shared" si="28"/>
        <v>#DIV/0!</v>
      </c>
      <c r="O9" s="47" t="e">
        <f>PA!$U$17</f>
        <v>#DIV/0!</v>
      </c>
      <c r="P9" s="47" t="e">
        <f>PA!$U$18</f>
        <v>#DIV/0!</v>
      </c>
      <c r="Q9" s="47" t="e">
        <f>PA!$U$19</f>
        <v>#DIV/0!</v>
      </c>
      <c r="R9" s="48" t="e">
        <f t="shared" si="29"/>
        <v>#DIV/0!</v>
      </c>
      <c r="T9" s="47" t="e">
        <f>PA!$X$7</f>
        <v>#DIV/0!</v>
      </c>
      <c r="U9" s="47" t="e">
        <f>PA!$X$8</f>
        <v>#DIV/0!</v>
      </c>
      <c r="V9" s="47" t="e">
        <f>PA!$X$9</f>
        <v>#DIV/0!</v>
      </c>
      <c r="W9" s="48" t="e">
        <f t="shared" si="30"/>
        <v>#DIV/0!</v>
      </c>
      <c r="Y9" s="47" t="e">
        <f>PA!$X$11</f>
        <v>#DIV/0!</v>
      </c>
      <c r="AA9" s="47" t="e">
        <f>PA!$X$12</f>
        <v>#DIV/0!</v>
      </c>
      <c r="AC9" s="47" t="e">
        <f>PA!$X$14</f>
        <v>#DIV/0!</v>
      </c>
      <c r="AE9" s="47" t="e">
        <f>PA!$X$15</f>
        <v>#DIV/0!</v>
      </c>
      <c r="AG9" s="47" t="e">
        <f>PA!$X$17</f>
        <v>#DIV/0!</v>
      </c>
      <c r="AI9" s="47" t="e">
        <f>PA!$X$18</f>
        <v>#DIV/0!</v>
      </c>
      <c r="AK9" s="47" t="e">
        <f t="shared" si="26"/>
        <v>#DIV/0!</v>
      </c>
      <c r="AM9" t="e">
        <f>IF((AK9=PA!$X$21),"ok","erro")</f>
        <v>#DIV/0!</v>
      </c>
    </row>
    <row r="10" spans="1:39">
      <c r="A10" s="45" t="s">
        <v>25</v>
      </c>
      <c r="C10" s="47" t="e">
        <f>RO!$U$7</f>
        <v>#DIV/0!</v>
      </c>
      <c r="D10" s="47" t="e">
        <f>RO!$U$8</f>
        <v>#DIV/0!</v>
      </c>
      <c r="E10" s="47" t="e">
        <f>RO!$U$9</f>
        <v>#DIV/0!</v>
      </c>
      <c r="F10" s="48" t="e">
        <f t="shared" si="27"/>
        <v>#DIV/0!</v>
      </c>
      <c r="H10" s="47" t="e">
        <f>RO!$U$11</f>
        <v>#DIV/0!</v>
      </c>
      <c r="I10" s="47">
        <f>RO!$U$12</f>
        <v>0</v>
      </c>
      <c r="J10" s="47">
        <f>RO!$U$13</f>
        <v>0</v>
      </c>
      <c r="K10" s="47" t="e">
        <f>RO!$U$14</f>
        <v>#DIV/0!</v>
      </c>
      <c r="L10" s="47" t="e">
        <f>RO!$U$15</f>
        <v>#DIV/0!</v>
      </c>
      <c r="M10" s="48" t="e">
        <f t="shared" si="28"/>
        <v>#DIV/0!</v>
      </c>
      <c r="O10" s="47" t="e">
        <f>RO!$U$17</f>
        <v>#DIV/0!</v>
      </c>
      <c r="P10" s="47" t="e">
        <f>RO!$U$18</f>
        <v>#DIV/0!</v>
      </c>
      <c r="Q10" s="47" t="e">
        <f>RO!$U$19</f>
        <v>#DIV/0!</v>
      </c>
      <c r="R10" s="48" t="e">
        <f t="shared" si="29"/>
        <v>#DIV/0!</v>
      </c>
      <c r="T10" s="47" t="e">
        <f>RO!$X$7</f>
        <v>#DIV/0!</v>
      </c>
      <c r="U10" s="47" t="e">
        <f>RO!$X$8</f>
        <v>#DIV/0!</v>
      </c>
      <c r="V10" s="47" t="e">
        <f>RO!$X$9</f>
        <v>#DIV/0!</v>
      </c>
      <c r="W10" s="48" t="e">
        <f t="shared" si="30"/>
        <v>#DIV/0!</v>
      </c>
      <c r="Y10" s="47" t="e">
        <f>RO!$X$11</f>
        <v>#DIV/0!</v>
      </c>
      <c r="AA10" s="47" t="e">
        <f>RO!$X$12</f>
        <v>#DIV/0!</v>
      </c>
      <c r="AC10" s="47" t="e">
        <f>RO!$X$14</f>
        <v>#DIV/0!</v>
      </c>
      <c r="AE10" s="47" t="e">
        <f>RO!$X$15</f>
        <v>#DIV/0!</v>
      </c>
      <c r="AG10" s="47" t="e">
        <f>RO!$X$17</f>
        <v>#DIV/0!</v>
      </c>
      <c r="AI10" s="47" t="e">
        <f>RO!$X$18</f>
        <v>#DIV/0!</v>
      </c>
      <c r="AK10" s="47" t="e">
        <f t="shared" si="26"/>
        <v>#DIV/0!</v>
      </c>
      <c r="AM10" t="e">
        <f>IF((AK10=RO!$X$21),"ok","erro")</f>
        <v>#DIV/0!</v>
      </c>
    </row>
    <row r="11" spans="1:39">
      <c r="A11" s="45" t="s">
        <v>26</v>
      </c>
      <c r="C11" s="47" t="e">
        <f>RR!$U$7</f>
        <v>#DIV/0!</v>
      </c>
      <c r="D11" s="47" t="e">
        <f>RR!$U$8</f>
        <v>#DIV/0!</v>
      </c>
      <c r="E11" s="47" t="e">
        <f>RR!$U$9</f>
        <v>#DIV/0!</v>
      </c>
      <c r="F11" s="48" t="e">
        <f t="shared" si="27"/>
        <v>#DIV/0!</v>
      </c>
      <c r="H11" s="47" t="e">
        <f>RR!$U$11</f>
        <v>#DIV/0!</v>
      </c>
      <c r="I11" s="47">
        <f>RR!$U$12</f>
        <v>0</v>
      </c>
      <c r="J11" s="47">
        <f>RR!$U$13</f>
        <v>0</v>
      </c>
      <c r="K11" s="47" t="e">
        <f>RR!$U$14</f>
        <v>#DIV/0!</v>
      </c>
      <c r="L11" s="47" t="e">
        <f>RR!$U$15</f>
        <v>#DIV/0!</v>
      </c>
      <c r="M11" s="48" t="e">
        <f t="shared" si="28"/>
        <v>#DIV/0!</v>
      </c>
      <c r="O11" s="47" t="e">
        <f>RR!$U$17</f>
        <v>#DIV/0!</v>
      </c>
      <c r="P11" s="47" t="e">
        <f>RR!$U$18</f>
        <v>#DIV/0!</v>
      </c>
      <c r="Q11" s="47" t="e">
        <f>RR!$U$19</f>
        <v>#DIV/0!</v>
      </c>
      <c r="R11" s="48" t="e">
        <f t="shared" si="29"/>
        <v>#DIV/0!</v>
      </c>
      <c r="T11" s="47" t="e">
        <f>RR!$X$7</f>
        <v>#DIV/0!</v>
      </c>
      <c r="U11" s="47" t="e">
        <f>RR!$X$8</f>
        <v>#DIV/0!</v>
      </c>
      <c r="V11" s="47" t="e">
        <f>RR!$X$9</f>
        <v>#DIV/0!</v>
      </c>
      <c r="W11" s="48" t="e">
        <f t="shared" si="30"/>
        <v>#DIV/0!</v>
      </c>
      <c r="Y11" s="47" t="e">
        <f>RR!$X$11</f>
        <v>#DIV/0!</v>
      </c>
      <c r="AA11" s="47" t="e">
        <f>RR!$X$12</f>
        <v>#DIV/0!</v>
      </c>
      <c r="AC11" s="47" t="e">
        <f>RR!$X$14</f>
        <v>#DIV/0!</v>
      </c>
      <c r="AE11" s="47" t="e">
        <f>RR!$X$15</f>
        <v>#DIV/0!</v>
      </c>
      <c r="AG11" s="47" t="e">
        <f>RR!$X$17</f>
        <v>#DIV/0!</v>
      </c>
      <c r="AI11" s="47" t="e">
        <f>RR!$X$18</f>
        <v>#DIV/0!</v>
      </c>
      <c r="AK11" s="47" t="e">
        <f t="shared" si="26"/>
        <v>#DIV/0!</v>
      </c>
      <c r="AM11" t="e">
        <f>IF((AK11=RR!$X$21),"ok","erro")</f>
        <v>#DIV/0!</v>
      </c>
    </row>
    <row r="12" spans="1:39">
      <c r="A12" s="45" t="s">
        <v>27</v>
      </c>
      <c r="C12" s="47" t="e">
        <f>TO!$U$7</f>
        <v>#DIV/0!</v>
      </c>
      <c r="D12" s="47" t="e">
        <f>TO!$U$8</f>
        <v>#DIV/0!</v>
      </c>
      <c r="E12" s="47" t="e">
        <f>TO!$U$9</f>
        <v>#DIV/0!</v>
      </c>
      <c r="F12" s="48" t="e">
        <f t="shared" si="27"/>
        <v>#DIV/0!</v>
      </c>
      <c r="H12" s="47" t="e">
        <f>TO!$U$11</f>
        <v>#DIV/0!</v>
      </c>
      <c r="I12" s="47">
        <f>TO!$U$12</f>
        <v>0</v>
      </c>
      <c r="J12" s="47">
        <f>TO!$U$13</f>
        <v>0</v>
      </c>
      <c r="K12" s="47" t="e">
        <f>TO!$U$14</f>
        <v>#DIV/0!</v>
      </c>
      <c r="L12" s="47" t="e">
        <f>TO!$U$15</f>
        <v>#DIV/0!</v>
      </c>
      <c r="M12" s="48" t="e">
        <f t="shared" si="28"/>
        <v>#DIV/0!</v>
      </c>
      <c r="O12" s="47" t="e">
        <f>TO!$U$17</f>
        <v>#DIV/0!</v>
      </c>
      <c r="P12" s="47" t="e">
        <f>TO!$U$18</f>
        <v>#DIV/0!</v>
      </c>
      <c r="Q12" s="47" t="e">
        <f>TO!$U$19</f>
        <v>#DIV/0!</v>
      </c>
      <c r="R12" s="48" t="e">
        <f t="shared" si="29"/>
        <v>#DIV/0!</v>
      </c>
      <c r="T12" s="47" t="e">
        <f>TO!$X$7</f>
        <v>#DIV/0!</v>
      </c>
      <c r="U12" s="47" t="e">
        <f>TO!$X$8</f>
        <v>#DIV/0!</v>
      </c>
      <c r="V12" s="47" t="e">
        <f>TO!$X$9</f>
        <v>#DIV/0!</v>
      </c>
      <c r="W12" s="48" t="e">
        <f t="shared" si="30"/>
        <v>#DIV/0!</v>
      </c>
      <c r="Y12" s="47" t="e">
        <f>TO!$X$11</f>
        <v>#DIV/0!</v>
      </c>
      <c r="AA12" s="47" t="e">
        <f>TO!$X$12</f>
        <v>#DIV/0!</v>
      </c>
      <c r="AC12" s="47" t="e">
        <f>TO!$X$14</f>
        <v>#DIV/0!</v>
      </c>
      <c r="AE12" s="47" t="e">
        <f>TO!$X$15</f>
        <v>#DIV/0!</v>
      </c>
      <c r="AG12" s="47" t="e">
        <f>TO!$X$17</f>
        <v>#DIV/0!</v>
      </c>
      <c r="AI12" s="47" t="e">
        <f>TO!$X$18</f>
        <v>#DIV/0!</v>
      </c>
      <c r="AK12" s="47" t="e">
        <f t="shared" si="26"/>
        <v>#DIV/0!</v>
      </c>
      <c r="AM12" t="e">
        <f>IF((AK12=TO!$X$21),"ok","erro")</f>
        <v>#DIV/0!</v>
      </c>
    </row>
    <row r="13" spans="1:39">
      <c r="A13" s="44" t="s">
        <v>28</v>
      </c>
      <c r="C13" s="48" t="e">
        <f>SUM(C14:C22)</f>
        <v>#DIV/0!</v>
      </c>
      <c r="D13" s="48" t="e">
        <f>SUM(D14:D22)</f>
        <v>#DIV/0!</v>
      </c>
      <c r="E13" s="48" t="e">
        <f t="shared" ref="E13" si="31">SUM(E14:E22)</f>
        <v>#DIV/0!</v>
      </c>
      <c r="F13" s="48" t="e">
        <f t="shared" si="27"/>
        <v>#DIV/0!</v>
      </c>
      <c r="H13" s="48" t="e">
        <f t="shared" ref="H13:L13" si="32">SUM(H14:H22)</f>
        <v>#DIV/0!</v>
      </c>
      <c r="I13" s="48">
        <f t="shared" ref="I13:J13" si="33">SUM(I14:I22)</f>
        <v>0</v>
      </c>
      <c r="J13" s="48">
        <f t="shared" si="33"/>
        <v>0</v>
      </c>
      <c r="K13" s="48" t="e">
        <f t="shared" ref="K13" si="34">SUM(K14:K22)</f>
        <v>#DIV/0!</v>
      </c>
      <c r="L13" s="48" t="e">
        <f t="shared" si="32"/>
        <v>#DIV/0!</v>
      </c>
      <c r="M13" s="48" t="e">
        <f t="shared" si="28"/>
        <v>#DIV/0!</v>
      </c>
      <c r="O13" s="48" t="e">
        <f t="shared" ref="O13:Q13" si="35">SUM(O14:O22)</f>
        <v>#DIV/0!</v>
      </c>
      <c r="P13" s="48" t="e">
        <f t="shared" ref="P13" si="36">SUM(P14:P22)</f>
        <v>#DIV/0!</v>
      </c>
      <c r="Q13" s="48" t="e">
        <f t="shared" si="35"/>
        <v>#DIV/0!</v>
      </c>
      <c r="R13" s="48" t="e">
        <f t="shared" si="29"/>
        <v>#DIV/0!</v>
      </c>
      <c r="T13" s="48" t="e">
        <f t="shared" ref="T13:V13" si="37">SUM(T14:T22)</f>
        <v>#DIV/0!</v>
      </c>
      <c r="U13" s="48" t="e">
        <f t="shared" ref="U13" si="38">SUM(U14:U22)</f>
        <v>#DIV/0!</v>
      </c>
      <c r="V13" s="48" t="e">
        <f t="shared" si="37"/>
        <v>#DIV/0!</v>
      </c>
      <c r="W13" s="48" t="e">
        <f t="shared" si="30"/>
        <v>#DIV/0!</v>
      </c>
      <c r="Y13" s="48" t="e">
        <f>SUM(Y14:Y22)</f>
        <v>#DIV/0!</v>
      </c>
      <c r="AA13" s="48" t="e">
        <f>SUM(AA14:AA22)</f>
        <v>#DIV/0!</v>
      </c>
      <c r="AC13" s="48" t="e">
        <f>SUM(AC14:AC22)</f>
        <v>#DIV/0!</v>
      </c>
      <c r="AE13" s="48" t="e">
        <f>SUM(AE14:AE22)</f>
        <v>#DIV/0!</v>
      </c>
      <c r="AG13" s="48" t="e">
        <f>SUM(AG14:AG22)</f>
        <v>#DIV/0!</v>
      </c>
      <c r="AI13" s="48" t="e">
        <f>SUM(AI14:AI22)</f>
        <v>#DIV/0!</v>
      </c>
      <c r="AK13" s="48" t="e">
        <f t="shared" si="26"/>
        <v>#DIV/0!</v>
      </c>
    </row>
    <row r="14" spans="1:39">
      <c r="A14" s="45" t="s">
        <v>29</v>
      </c>
      <c r="C14" s="47" t="e">
        <f>AL!$U$7</f>
        <v>#DIV/0!</v>
      </c>
      <c r="D14" s="47" t="e">
        <f>AL!$U$8</f>
        <v>#DIV/0!</v>
      </c>
      <c r="E14" s="47" t="e">
        <f>AL!$U$9</f>
        <v>#DIV/0!</v>
      </c>
      <c r="F14" s="48" t="e">
        <f t="shared" si="27"/>
        <v>#DIV/0!</v>
      </c>
      <c r="H14" s="47" t="e">
        <f>AL!$U$11</f>
        <v>#DIV/0!</v>
      </c>
      <c r="I14" s="47">
        <f>AL!$U$12</f>
        <v>0</v>
      </c>
      <c r="J14" s="47">
        <f>AL!$U$13</f>
        <v>0</v>
      </c>
      <c r="K14" s="47" t="e">
        <f>AL!$U$14</f>
        <v>#DIV/0!</v>
      </c>
      <c r="L14" s="47" t="e">
        <f>AL!$U$15</f>
        <v>#DIV/0!</v>
      </c>
      <c r="M14" s="48" t="e">
        <f t="shared" si="28"/>
        <v>#DIV/0!</v>
      </c>
      <c r="O14" s="47" t="e">
        <f>AL!$U$17</f>
        <v>#DIV/0!</v>
      </c>
      <c r="P14" s="47" t="e">
        <f>AL!$U$18</f>
        <v>#DIV/0!</v>
      </c>
      <c r="Q14" s="47" t="e">
        <f>AL!$U$19</f>
        <v>#DIV/0!</v>
      </c>
      <c r="R14" s="48" t="e">
        <f t="shared" si="29"/>
        <v>#DIV/0!</v>
      </c>
      <c r="T14" s="47" t="e">
        <f>AL!$X$7</f>
        <v>#DIV/0!</v>
      </c>
      <c r="U14" s="47" t="e">
        <f>AL!$X$8</f>
        <v>#DIV/0!</v>
      </c>
      <c r="V14" s="47" t="e">
        <f>AL!$X$9</f>
        <v>#DIV/0!</v>
      </c>
      <c r="W14" s="48" t="e">
        <f t="shared" si="30"/>
        <v>#DIV/0!</v>
      </c>
      <c r="Y14" s="47" t="e">
        <f>AL!$X$11</f>
        <v>#DIV/0!</v>
      </c>
      <c r="AA14" s="47" t="e">
        <f>AL!$X$12</f>
        <v>#DIV/0!</v>
      </c>
      <c r="AC14" s="47" t="e">
        <f>AL!$X$14</f>
        <v>#DIV/0!</v>
      </c>
      <c r="AE14" s="47" t="e">
        <f>AL!$X$15</f>
        <v>#DIV/0!</v>
      </c>
      <c r="AG14" s="47" t="e">
        <f>AL!$X$17</f>
        <v>#DIV/0!</v>
      </c>
      <c r="AI14" s="47" t="e">
        <f>AL!$X$18</f>
        <v>#DIV/0!</v>
      </c>
      <c r="AK14" s="47" t="e">
        <f t="shared" si="26"/>
        <v>#DIV/0!</v>
      </c>
      <c r="AM14" t="e">
        <f>IF((AK14=AL!$X$21),"ok","erro")</f>
        <v>#DIV/0!</v>
      </c>
    </row>
    <row r="15" spans="1:39">
      <c r="A15" s="45" t="s">
        <v>30</v>
      </c>
      <c r="C15" s="47" t="e">
        <f>BA!$U$7</f>
        <v>#DIV/0!</v>
      </c>
      <c r="D15" s="47" t="e">
        <f>BA!$U$8</f>
        <v>#DIV/0!</v>
      </c>
      <c r="E15" s="47" t="e">
        <f>BA!$U$9</f>
        <v>#DIV/0!</v>
      </c>
      <c r="F15" s="48" t="e">
        <f t="shared" si="27"/>
        <v>#DIV/0!</v>
      </c>
      <c r="H15" s="47" t="e">
        <f>BA!$U$11</f>
        <v>#DIV/0!</v>
      </c>
      <c r="I15" s="47">
        <f>BA!$U$12</f>
        <v>0</v>
      </c>
      <c r="J15" s="47">
        <f>BA!$U$13</f>
        <v>0</v>
      </c>
      <c r="K15" s="47" t="e">
        <f>BA!$U$14</f>
        <v>#DIV/0!</v>
      </c>
      <c r="L15" s="47" t="e">
        <f>BA!$U$15</f>
        <v>#DIV/0!</v>
      </c>
      <c r="M15" s="48" t="e">
        <f t="shared" si="28"/>
        <v>#DIV/0!</v>
      </c>
      <c r="O15" s="47" t="e">
        <f>BA!$U$17</f>
        <v>#DIV/0!</v>
      </c>
      <c r="P15" s="47" t="e">
        <f>BA!$U$18</f>
        <v>#DIV/0!</v>
      </c>
      <c r="Q15" s="47" t="e">
        <f>BA!$U$19</f>
        <v>#DIV/0!</v>
      </c>
      <c r="R15" s="48" t="e">
        <f t="shared" si="29"/>
        <v>#DIV/0!</v>
      </c>
      <c r="T15" s="47" t="e">
        <f>BA!$X$7</f>
        <v>#DIV/0!</v>
      </c>
      <c r="U15" s="47" t="e">
        <f>BA!$X$8</f>
        <v>#DIV/0!</v>
      </c>
      <c r="V15" s="47" t="e">
        <f>BA!$X$9</f>
        <v>#DIV/0!</v>
      </c>
      <c r="W15" s="48" t="e">
        <f t="shared" si="30"/>
        <v>#DIV/0!</v>
      </c>
      <c r="Y15" s="47" t="e">
        <f>BA!$X$11</f>
        <v>#DIV/0!</v>
      </c>
      <c r="AA15" s="47" t="e">
        <f>BA!$X$12</f>
        <v>#DIV/0!</v>
      </c>
      <c r="AC15" s="47" t="e">
        <f>BA!$X$14</f>
        <v>#DIV/0!</v>
      </c>
      <c r="AE15" s="47" t="e">
        <f>BA!$X$15</f>
        <v>#DIV/0!</v>
      </c>
      <c r="AG15" s="47" t="e">
        <f>BA!$X$17</f>
        <v>#DIV/0!</v>
      </c>
      <c r="AI15" s="47" t="e">
        <f>BA!$X$18</f>
        <v>#DIV/0!</v>
      </c>
      <c r="AK15" s="47" t="e">
        <f t="shared" si="26"/>
        <v>#DIV/0!</v>
      </c>
      <c r="AM15" t="e">
        <f>IF((AK15=BA!$X$21),"ok","erro")</f>
        <v>#DIV/0!</v>
      </c>
    </row>
    <row r="16" spans="1:39">
      <c r="A16" s="45" t="s">
        <v>31</v>
      </c>
      <c r="C16" s="47" t="e">
        <f>CE!$U$7</f>
        <v>#DIV/0!</v>
      </c>
      <c r="D16" s="47" t="e">
        <f>CE!$U$8</f>
        <v>#DIV/0!</v>
      </c>
      <c r="E16" s="47" t="e">
        <f>CE!$U$9</f>
        <v>#DIV/0!</v>
      </c>
      <c r="F16" s="48" t="e">
        <f t="shared" si="27"/>
        <v>#DIV/0!</v>
      </c>
      <c r="H16" s="47" t="e">
        <f>CE!$U$11</f>
        <v>#DIV/0!</v>
      </c>
      <c r="I16" s="47">
        <f>CE!$U$12</f>
        <v>0</v>
      </c>
      <c r="J16" s="47">
        <f>CE!$U$13</f>
        <v>0</v>
      </c>
      <c r="K16" s="47" t="e">
        <f>CE!$U$14</f>
        <v>#DIV/0!</v>
      </c>
      <c r="L16" s="47" t="e">
        <f>CE!$U$15</f>
        <v>#DIV/0!</v>
      </c>
      <c r="M16" s="48" t="e">
        <f t="shared" si="28"/>
        <v>#DIV/0!</v>
      </c>
      <c r="O16" s="47" t="e">
        <f>CE!$U$17</f>
        <v>#DIV/0!</v>
      </c>
      <c r="P16" s="47" t="e">
        <f>CE!$U$18</f>
        <v>#DIV/0!</v>
      </c>
      <c r="Q16" s="47" t="e">
        <f>CE!$U$19</f>
        <v>#DIV/0!</v>
      </c>
      <c r="R16" s="48" t="e">
        <f t="shared" si="29"/>
        <v>#DIV/0!</v>
      </c>
      <c r="T16" s="47" t="e">
        <f>CE!$X$7</f>
        <v>#DIV/0!</v>
      </c>
      <c r="U16" s="47" t="e">
        <f>CE!$X$8</f>
        <v>#DIV/0!</v>
      </c>
      <c r="V16" s="47" t="e">
        <f>CE!$X$9</f>
        <v>#DIV/0!</v>
      </c>
      <c r="W16" s="48" t="e">
        <f t="shared" si="30"/>
        <v>#DIV/0!</v>
      </c>
      <c r="Y16" s="47" t="e">
        <f>CE!$X$11</f>
        <v>#DIV/0!</v>
      </c>
      <c r="AA16" s="47" t="e">
        <f>CE!$X$12</f>
        <v>#DIV/0!</v>
      </c>
      <c r="AC16" s="47" t="e">
        <f>CE!$X$14</f>
        <v>#DIV/0!</v>
      </c>
      <c r="AE16" s="47" t="e">
        <f>CE!$X$15</f>
        <v>#DIV/0!</v>
      </c>
      <c r="AG16" s="47" t="e">
        <f>CE!$X$17</f>
        <v>#DIV/0!</v>
      </c>
      <c r="AI16" s="47" t="e">
        <f>CE!$X$18</f>
        <v>#DIV/0!</v>
      </c>
      <c r="AK16" s="47" t="e">
        <f t="shared" si="26"/>
        <v>#DIV/0!</v>
      </c>
      <c r="AM16" t="e">
        <f>IF((AK16=CE!$X$21),"ok","erro")</f>
        <v>#DIV/0!</v>
      </c>
    </row>
    <row r="17" spans="1:39">
      <c r="A17" s="45" t="s">
        <v>32</v>
      </c>
      <c r="C17" s="47" t="e">
        <f>MA!$U$7</f>
        <v>#DIV/0!</v>
      </c>
      <c r="D17" s="47" t="e">
        <f>MA!$U$8</f>
        <v>#DIV/0!</v>
      </c>
      <c r="E17" s="47" t="e">
        <f>MA!$U$9</f>
        <v>#DIV/0!</v>
      </c>
      <c r="F17" s="48" t="e">
        <f t="shared" si="27"/>
        <v>#DIV/0!</v>
      </c>
      <c r="H17" s="47" t="e">
        <f>MA!$U$11</f>
        <v>#DIV/0!</v>
      </c>
      <c r="I17" s="47">
        <f>MA!$U$12</f>
        <v>0</v>
      </c>
      <c r="J17" s="47">
        <f>MA!$U$13</f>
        <v>0</v>
      </c>
      <c r="K17" s="47" t="e">
        <f>MA!$U$14</f>
        <v>#DIV/0!</v>
      </c>
      <c r="L17" s="47" t="e">
        <f>MA!$U$15</f>
        <v>#DIV/0!</v>
      </c>
      <c r="M17" s="48" t="e">
        <f t="shared" si="28"/>
        <v>#DIV/0!</v>
      </c>
      <c r="O17" s="47" t="e">
        <f>MA!$U$17</f>
        <v>#DIV/0!</v>
      </c>
      <c r="P17" s="47" t="e">
        <f>MA!$U$18</f>
        <v>#DIV/0!</v>
      </c>
      <c r="Q17" s="47" t="e">
        <f>MA!$U$19</f>
        <v>#DIV/0!</v>
      </c>
      <c r="R17" s="48" t="e">
        <f t="shared" si="29"/>
        <v>#DIV/0!</v>
      </c>
      <c r="T17" s="47" t="e">
        <f>MA!$X$7</f>
        <v>#DIV/0!</v>
      </c>
      <c r="U17" s="47" t="e">
        <f>MA!$X$8</f>
        <v>#DIV/0!</v>
      </c>
      <c r="V17" s="47" t="e">
        <f>MA!$X$9</f>
        <v>#DIV/0!</v>
      </c>
      <c r="W17" s="48" t="e">
        <f t="shared" si="30"/>
        <v>#DIV/0!</v>
      </c>
      <c r="Y17" s="47" t="e">
        <f>MA!$X$11</f>
        <v>#DIV/0!</v>
      </c>
      <c r="AA17" s="47" t="e">
        <f>MA!$X$12</f>
        <v>#DIV/0!</v>
      </c>
      <c r="AC17" s="47" t="e">
        <f>MA!$X$14</f>
        <v>#DIV/0!</v>
      </c>
      <c r="AE17" s="47" t="e">
        <f>MA!$X$15</f>
        <v>#DIV/0!</v>
      </c>
      <c r="AG17" s="47" t="e">
        <f>MA!$X$17</f>
        <v>#DIV/0!</v>
      </c>
      <c r="AI17" s="47" t="e">
        <f>MA!$X$18</f>
        <v>#DIV/0!</v>
      </c>
      <c r="AK17" s="47" t="e">
        <f>SUM(F17,M17,R17,W17,Y17,AA17,AC17,AE17,AG17,AI17)</f>
        <v>#DIV/0!</v>
      </c>
      <c r="AM17" t="e">
        <f>IF((AK17=MA!$X$21),"ok","erro")</f>
        <v>#DIV/0!</v>
      </c>
    </row>
    <row r="18" spans="1:39">
      <c r="A18" s="45" t="s">
        <v>33</v>
      </c>
      <c r="C18" s="47" t="e">
        <f>PB!$U$7</f>
        <v>#DIV/0!</v>
      </c>
      <c r="D18" s="47" t="e">
        <f>PB!$U$8</f>
        <v>#DIV/0!</v>
      </c>
      <c r="E18" s="47" t="e">
        <f>PB!$U$9</f>
        <v>#DIV/0!</v>
      </c>
      <c r="F18" s="48" t="e">
        <f t="shared" si="27"/>
        <v>#DIV/0!</v>
      </c>
      <c r="H18" s="47" t="e">
        <f>PB!$U$11</f>
        <v>#DIV/0!</v>
      </c>
      <c r="I18" s="47">
        <f>PB!$U$12</f>
        <v>0</v>
      </c>
      <c r="J18" s="47">
        <f>PB!$U$13</f>
        <v>0</v>
      </c>
      <c r="K18" s="47" t="e">
        <f>PB!$U$14</f>
        <v>#DIV/0!</v>
      </c>
      <c r="L18" s="47" t="e">
        <f>PB!$U$15</f>
        <v>#DIV/0!</v>
      </c>
      <c r="M18" s="48" t="e">
        <f t="shared" si="28"/>
        <v>#DIV/0!</v>
      </c>
      <c r="O18" s="47" t="e">
        <f>PB!$U$17</f>
        <v>#DIV/0!</v>
      </c>
      <c r="P18" s="47" t="e">
        <f>PB!$U$18</f>
        <v>#DIV/0!</v>
      </c>
      <c r="Q18" s="47" t="e">
        <f>PB!$U$19</f>
        <v>#DIV/0!</v>
      </c>
      <c r="R18" s="48" t="e">
        <f t="shared" si="29"/>
        <v>#DIV/0!</v>
      </c>
      <c r="T18" s="47" t="e">
        <f>PB!$X$7</f>
        <v>#DIV/0!</v>
      </c>
      <c r="U18" s="47" t="e">
        <f>PB!$X$8</f>
        <v>#DIV/0!</v>
      </c>
      <c r="V18" s="47" t="e">
        <f>PB!$X$9</f>
        <v>#DIV/0!</v>
      </c>
      <c r="W18" s="48" t="e">
        <f t="shared" si="30"/>
        <v>#DIV/0!</v>
      </c>
      <c r="Y18" s="47" t="e">
        <f>PB!$X$11</f>
        <v>#DIV/0!</v>
      </c>
      <c r="AA18" s="47" t="e">
        <f>PB!$X$12</f>
        <v>#DIV/0!</v>
      </c>
      <c r="AC18" s="47" t="e">
        <f>PB!$X$14</f>
        <v>#DIV/0!</v>
      </c>
      <c r="AE18" s="47" t="e">
        <f>PB!$X$15</f>
        <v>#DIV/0!</v>
      </c>
      <c r="AG18" s="47" t="e">
        <f>PB!$X$17</f>
        <v>#DIV/0!</v>
      </c>
      <c r="AI18" s="47" t="e">
        <f>PB!$X$18</f>
        <v>#DIV/0!</v>
      </c>
      <c r="AK18" s="47" t="e">
        <f t="shared" si="26"/>
        <v>#DIV/0!</v>
      </c>
      <c r="AM18" t="e">
        <f>IF((AK18=PB!$X$21),"ok","erro")</f>
        <v>#DIV/0!</v>
      </c>
    </row>
    <row r="19" spans="1:39">
      <c r="A19" s="45" t="s">
        <v>34</v>
      </c>
      <c r="C19" s="47" t="e">
        <f>PE!$U$7</f>
        <v>#DIV/0!</v>
      </c>
      <c r="D19" s="47" t="e">
        <f>PE!$U$8</f>
        <v>#DIV/0!</v>
      </c>
      <c r="E19" s="47" t="e">
        <f>PE!$U$9</f>
        <v>#DIV/0!</v>
      </c>
      <c r="F19" s="48" t="e">
        <f t="shared" si="27"/>
        <v>#DIV/0!</v>
      </c>
      <c r="H19" s="47" t="e">
        <f>PE!$U$11</f>
        <v>#DIV/0!</v>
      </c>
      <c r="I19" s="47">
        <f>PE!$U$12</f>
        <v>0</v>
      </c>
      <c r="J19" s="47">
        <f>PE!$U$13</f>
        <v>0</v>
      </c>
      <c r="K19" s="47" t="e">
        <f>PE!$U$14</f>
        <v>#DIV/0!</v>
      </c>
      <c r="L19" s="47" t="e">
        <f>PE!$U$15</f>
        <v>#DIV/0!</v>
      </c>
      <c r="M19" s="48" t="e">
        <f t="shared" si="28"/>
        <v>#DIV/0!</v>
      </c>
      <c r="O19" s="47" t="e">
        <f>PE!$U$17</f>
        <v>#DIV/0!</v>
      </c>
      <c r="P19" s="47" t="e">
        <f>PE!$U$18</f>
        <v>#DIV/0!</v>
      </c>
      <c r="Q19" s="47" t="e">
        <f>PE!$U$19</f>
        <v>#DIV/0!</v>
      </c>
      <c r="R19" s="48" t="e">
        <f t="shared" si="29"/>
        <v>#DIV/0!</v>
      </c>
      <c r="T19" s="47" t="e">
        <f>PE!$X$7</f>
        <v>#DIV/0!</v>
      </c>
      <c r="U19" s="47" t="e">
        <f>PE!$X$8</f>
        <v>#DIV/0!</v>
      </c>
      <c r="V19" s="47" t="e">
        <f>PE!$X$9</f>
        <v>#DIV/0!</v>
      </c>
      <c r="W19" s="48" t="e">
        <f t="shared" si="30"/>
        <v>#DIV/0!</v>
      </c>
      <c r="Y19" s="47" t="e">
        <f>PE!$X$11</f>
        <v>#DIV/0!</v>
      </c>
      <c r="AA19" s="47" t="e">
        <f>PE!$X$12</f>
        <v>#DIV/0!</v>
      </c>
      <c r="AC19" s="47" t="e">
        <f>PE!$X$14</f>
        <v>#DIV/0!</v>
      </c>
      <c r="AE19" s="47" t="e">
        <f>PE!$X$15</f>
        <v>#DIV/0!</v>
      </c>
      <c r="AG19" s="47" t="e">
        <f>PE!$X$17</f>
        <v>#DIV/0!</v>
      </c>
      <c r="AI19" s="47" t="e">
        <f>PE!$X$18</f>
        <v>#DIV/0!</v>
      </c>
      <c r="AK19" s="47" t="e">
        <f t="shared" si="26"/>
        <v>#DIV/0!</v>
      </c>
      <c r="AM19" t="e">
        <f>IF((AK19=PE!$X$21),"ok","erro")</f>
        <v>#DIV/0!</v>
      </c>
    </row>
    <row r="20" spans="1:39">
      <c r="A20" s="45" t="s">
        <v>35</v>
      </c>
      <c r="C20" s="47" t="e">
        <f>PI!$U$7</f>
        <v>#DIV/0!</v>
      </c>
      <c r="D20" s="47" t="e">
        <f>PI!$U$8</f>
        <v>#DIV/0!</v>
      </c>
      <c r="E20" s="47" t="e">
        <f>PI!$U$9</f>
        <v>#DIV/0!</v>
      </c>
      <c r="F20" s="48" t="e">
        <f t="shared" si="27"/>
        <v>#DIV/0!</v>
      </c>
      <c r="H20" s="47" t="e">
        <f>PI!$U$11</f>
        <v>#DIV/0!</v>
      </c>
      <c r="I20" s="47">
        <f>PI!$U$12</f>
        <v>0</v>
      </c>
      <c r="J20" s="47">
        <f>PI!$U$13</f>
        <v>0</v>
      </c>
      <c r="K20" s="47" t="e">
        <f>PI!$U$14</f>
        <v>#DIV/0!</v>
      </c>
      <c r="L20" s="47" t="e">
        <f>PI!$U$15</f>
        <v>#DIV/0!</v>
      </c>
      <c r="M20" s="48" t="e">
        <f t="shared" si="28"/>
        <v>#DIV/0!</v>
      </c>
      <c r="O20" s="47" t="e">
        <f>PI!$U$17</f>
        <v>#DIV/0!</v>
      </c>
      <c r="P20" s="47" t="e">
        <f>PI!$U$18</f>
        <v>#DIV/0!</v>
      </c>
      <c r="Q20" s="47" t="e">
        <f>PI!$U$19</f>
        <v>#DIV/0!</v>
      </c>
      <c r="R20" s="48" t="e">
        <f t="shared" si="29"/>
        <v>#DIV/0!</v>
      </c>
      <c r="T20" s="47" t="e">
        <f>PI!$X$7</f>
        <v>#DIV/0!</v>
      </c>
      <c r="U20" s="47" t="e">
        <f>PI!$X$8</f>
        <v>#DIV/0!</v>
      </c>
      <c r="V20" s="47" t="e">
        <f>PI!$X$9</f>
        <v>#DIV/0!</v>
      </c>
      <c r="W20" s="48" t="e">
        <f t="shared" si="30"/>
        <v>#DIV/0!</v>
      </c>
      <c r="Y20" s="47" t="e">
        <f>PI!$X$11</f>
        <v>#DIV/0!</v>
      </c>
      <c r="AA20" s="47" t="e">
        <f>PI!$X$12</f>
        <v>#DIV/0!</v>
      </c>
      <c r="AC20" s="47" t="e">
        <f>PI!$X$14</f>
        <v>#DIV/0!</v>
      </c>
      <c r="AE20" s="47" t="e">
        <f>PI!$X$15</f>
        <v>#DIV/0!</v>
      </c>
      <c r="AG20" s="47" t="e">
        <f>PI!$X$17</f>
        <v>#DIV/0!</v>
      </c>
      <c r="AI20" s="47" t="e">
        <f>PI!$X$18</f>
        <v>#DIV/0!</v>
      </c>
      <c r="AK20" s="47" t="e">
        <f t="shared" si="26"/>
        <v>#DIV/0!</v>
      </c>
      <c r="AM20" t="e">
        <f>IF((AK20=PI!$X$21),"ok","erro")</f>
        <v>#DIV/0!</v>
      </c>
    </row>
    <row r="21" spans="1:39">
      <c r="A21" s="45" t="s">
        <v>36</v>
      </c>
      <c r="C21" s="47" t="e">
        <f>RN!$U$7</f>
        <v>#DIV/0!</v>
      </c>
      <c r="D21" s="47" t="e">
        <f>RN!$U$8</f>
        <v>#DIV/0!</v>
      </c>
      <c r="E21" s="47" t="e">
        <f>RN!$U$9</f>
        <v>#DIV/0!</v>
      </c>
      <c r="F21" s="48" t="e">
        <f t="shared" si="27"/>
        <v>#DIV/0!</v>
      </c>
      <c r="H21" s="47" t="e">
        <f>RN!$U$11</f>
        <v>#DIV/0!</v>
      </c>
      <c r="I21" s="47">
        <f>RN!$U$12</f>
        <v>0</v>
      </c>
      <c r="J21" s="47">
        <f>RN!$U$13</f>
        <v>0</v>
      </c>
      <c r="K21" s="47" t="e">
        <f>RN!$U$14</f>
        <v>#DIV/0!</v>
      </c>
      <c r="L21" s="47" t="e">
        <f>RN!$U$15</f>
        <v>#DIV/0!</v>
      </c>
      <c r="M21" s="48" t="e">
        <f t="shared" si="28"/>
        <v>#DIV/0!</v>
      </c>
      <c r="O21" s="47" t="e">
        <f>RN!$U$17</f>
        <v>#DIV/0!</v>
      </c>
      <c r="P21" s="47" t="e">
        <f>RN!$U$18</f>
        <v>#DIV/0!</v>
      </c>
      <c r="Q21" s="47" t="e">
        <f>RN!$U$19</f>
        <v>#DIV/0!</v>
      </c>
      <c r="R21" s="48" t="e">
        <f t="shared" si="29"/>
        <v>#DIV/0!</v>
      </c>
      <c r="T21" s="47" t="e">
        <f>RN!$X$7</f>
        <v>#DIV/0!</v>
      </c>
      <c r="U21" s="47" t="e">
        <f>RN!$X$8</f>
        <v>#DIV/0!</v>
      </c>
      <c r="V21" s="47" t="e">
        <f>RN!$X$9</f>
        <v>#DIV/0!</v>
      </c>
      <c r="W21" s="48" t="e">
        <f t="shared" si="30"/>
        <v>#DIV/0!</v>
      </c>
      <c r="Y21" s="47" t="e">
        <f>RN!$X$11</f>
        <v>#DIV/0!</v>
      </c>
      <c r="AA21" s="47" t="e">
        <f>RN!$X$12</f>
        <v>#DIV/0!</v>
      </c>
      <c r="AC21" s="47" t="e">
        <f>RN!$X$14</f>
        <v>#DIV/0!</v>
      </c>
      <c r="AE21" s="47" t="e">
        <f>RN!$X$15</f>
        <v>#DIV/0!</v>
      </c>
      <c r="AG21" s="47" t="e">
        <f>RN!$X$17</f>
        <v>#DIV/0!</v>
      </c>
      <c r="AI21" s="47" t="e">
        <f>RN!$X$18</f>
        <v>#DIV/0!</v>
      </c>
      <c r="AK21" s="47" t="e">
        <f t="shared" si="26"/>
        <v>#DIV/0!</v>
      </c>
      <c r="AM21" t="e">
        <f>IF((AK21=RN!$X$21),"ok","erro")</f>
        <v>#DIV/0!</v>
      </c>
    </row>
    <row r="22" spans="1:39">
      <c r="A22" s="45" t="s">
        <v>37</v>
      </c>
      <c r="C22" s="47" t="e">
        <f>SE!$U$7</f>
        <v>#DIV/0!</v>
      </c>
      <c r="D22" s="47" t="e">
        <f>SE!$U$8</f>
        <v>#DIV/0!</v>
      </c>
      <c r="E22" s="47" t="e">
        <f>SE!$U$9</f>
        <v>#DIV/0!</v>
      </c>
      <c r="F22" s="48" t="e">
        <f t="shared" si="27"/>
        <v>#DIV/0!</v>
      </c>
      <c r="H22" s="47" t="e">
        <f>SE!$U$11</f>
        <v>#DIV/0!</v>
      </c>
      <c r="I22" s="47">
        <f>SE!$U$12</f>
        <v>0</v>
      </c>
      <c r="J22" s="47">
        <f>SE!$U$13</f>
        <v>0</v>
      </c>
      <c r="K22" s="47" t="e">
        <f>SE!$U$14</f>
        <v>#DIV/0!</v>
      </c>
      <c r="L22" s="47" t="e">
        <f>SE!$U$15</f>
        <v>#DIV/0!</v>
      </c>
      <c r="M22" s="48" t="e">
        <f t="shared" si="28"/>
        <v>#DIV/0!</v>
      </c>
      <c r="O22" s="47" t="e">
        <f>SE!$U$17</f>
        <v>#DIV/0!</v>
      </c>
      <c r="P22" s="47" t="e">
        <f>SE!$U$18</f>
        <v>#DIV/0!</v>
      </c>
      <c r="Q22" s="47" t="e">
        <f>SE!$U$19</f>
        <v>#DIV/0!</v>
      </c>
      <c r="R22" s="48" t="e">
        <f t="shared" si="29"/>
        <v>#DIV/0!</v>
      </c>
      <c r="T22" s="47" t="e">
        <f>SE!$X$7</f>
        <v>#DIV/0!</v>
      </c>
      <c r="U22" s="47" t="e">
        <f>SE!$X$8</f>
        <v>#DIV/0!</v>
      </c>
      <c r="V22" s="47" t="e">
        <f>SE!$X$9</f>
        <v>#DIV/0!</v>
      </c>
      <c r="W22" s="48" t="e">
        <f t="shared" si="30"/>
        <v>#DIV/0!</v>
      </c>
      <c r="Y22" s="47" t="e">
        <f>SE!$X$11</f>
        <v>#DIV/0!</v>
      </c>
      <c r="AA22" s="47" t="e">
        <f>SE!$X$12</f>
        <v>#DIV/0!</v>
      </c>
      <c r="AC22" s="47" t="e">
        <f>SE!$X$14</f>
        <v>#DIV/0!</v>
      </c>
      <c r="AE22" s="47" t="e">
        <f>SE!$X$15</f>
        <v>#DIV/0!</v>
      </c>
      <c r="AG22" s="47" t="e">
        <f>SE!$X$17</f>
        <v>#DIV/0!</v>
      </c>
      <c r="AI22" s="47" t="e">
        <f>SE!$X$18</f>
        <v>#DIV/0!</v>
      </c>
      <c r="AK22" s="47" t="e">
        <f t="shared" si="26"/>
        <v>#DIV/0!</v>
      </c>
      <c r="AM22" t="e">
        <f>IF((AK22=SE!$X$21),"ok","erro")</f>
        <v>#DIV/0!</v>
      </c>
    </row>
    <row r="23" spans="1:39">
      <c r="A23" s="46" t="s">
        <v>38</v>
      </c>
      <c r="C23" s="48" t="e">
        <f>SUM(C24:C27)</f>
        <v>#DIV/0!</v>
      </c>
      <c r="D23" s="48" t="e">
        <f>SUM(D24:D27)</f>
        <v>#DIV/0!</v>
      </c>
      <c r="E23" s="48" t="e">
        <f t="shared" ref="E23" si="39">SUM(E24:E27)</f>
        <v>#DIV/0!</v>
      </c>
      <c r="F23" s="48" t="e">
        <f t="shared" si="27"/>
        <v>#DIV/0!</v>
      </c>
      <c r="H23" s="48" t="e">
        <f t="shared" ref="H23:L23" si="40">SUM(H24:H27)</f>
        <v>#DIV/0!</v>
      </c>
      <c r="I23" s="48">
        <f t="shared" ref="I23:J23" si="41">SUM(I24:I27)</f>
        <v>0</v>
      </c>
      <c r="J23" s="48">
        <f t="shared" si="41"/>
        <v>0</v>
      </c>
      <c r="K23" s="48" t="e">
        <f t="shared" ref="K23" si="42">SUM(K24:K27)</f>
        <v>#DIV/0!</v>
      </c>
      <c r="L23" s="48" t="e">
        <f t="shared" si="40"/>
        <v>#DIV/0!</v>
      </c>
      <c r="M23" s="48" t="e">
        <f t="shared" si="28"/>
        <v>#DIV/0!</v>
      </c>
      <c r="O23" s="48" t="e">
        <f>SUM(O24:O27)</f>
        <v>#DIV/0!</v>
      </c>
      <c r="P23" s="48" t="e">
        <f>SUM(P24:P27)</f>
        <v>#DIV/0!</v>
      </c>
      <c r="Q23" s="48" t="e">
        <f t="shared" ref="Q23" si="43">SUM(Q24:Q27)</f>
        <v>#DIV/0!</v>
      </c>
      <c r="R23" s="48" t="e">
        <f t="shared" si="29"/>
        <v>#DIV/0!</v>
      </c>
      <c r="T23" s="48" t="e">
        <f t="shared" ref="T23:V23" si="44">SUM(T24:T27)</f>
        <v>#DIV/0!</v>
      </c>
      <c r="U23" s="48" t="e">
        <f t="shared" ref="U23" si="45">SUM(U24:U27)</f>
        <v>#DIV/0!</v>
      </c>
      <c r="V23" s="48" t="e">
        <f t="shared" si="44"/>
        <v>#DIV/0!</v>
      </c>
      <c r="W23" s="48" t="e">
        <f t="shared" si="30"/>
        <v>#DIV/0!</v>
      </c>
      <c r="Y23" s="48" t="e">
        <f>SUM(Y24:Y27)</f>
        <v>#DIV/0!</v>
      </c>
      <c r="AA23" s="48" t="e">
        <f>SUM(AA24:AA27)</f>
        <v>#DIV/0!</v>
      </c>
      <c r="AC23" s="48" t="e">
        <f t="shared" ref="AC23:AE23" si="46">SUM(AC24:AC27)</f>
        <v>#DIV/0!</v>
      </c>
      <c r="AE23" s="48" t="e">
        <f t="shared" si="46"/>
        <v>#DIV/0!</v>
      </c>
      <c r="AG23" s="48" t="e">
        <f t="shared" ref="AG23:AI23" si="47">SUM(AG24:AG27)</f>
        <v>#DIV/0!</v>
      </c>
      <c r="AI23" s="48" t="e">
        <f t="shared" si="47"/>
        <v>#DIV/0!</v>
      </c>
      <c r="AK23" s="48" t="e">
        <f t="shared" si="26"/>
        <v>#DIV/0!</v>
      </c>
    </row>
    <row r="24" spans="1:39">
      <c r="A24" s="45" t="s">
        <v>39</v>
      </c>
      <c r="C24" s="47" t="e">
        <f>ES!$U$7</f>
        <v>#DIV/0!</v>
      </c>
      <c r="D24" s="47" t="e">
        <f>ES!$U$8</f>
        <v>#DIV/0!</v>
      </c>
      <c r="E24" s="47" t="e">
        <f>ES!$U$9</f>
        <v>#DIV/0!</v>
      </c>
      <c r="F24" s="48" t="e">
        <f t="shared" si="27"/>
        <v>#DIV/0!</v>
      </c>
      <c r="H24" s="47" t="e">
        <f>ES!$U$11</f>
        <v>#DIV/0!</v>
      </c>
      <c r="I24" s="47">
        <f>ES!$U$12</f>
        <v>0</v>
      </c>
      <c r="J24" s="47">
        <f>ES!$U$13</f>
        <v>0</v>
      </c>
      <c r="K24" s="47" t="e">
        <f>ES!$U$14</f>
        <v>#DIV/0!</v>
      </c>
      <c r="L24" s="47" t="e">
        <f>ES!$U$15</f>
        <v>#DIV/0!</v>
      </c>
      <c r="M24" s="48" t="e">
        <f t="shared" si="28"/>
        <v>#DIV/0!</v>
      </c>
      <c r="O24" s="47" t="e">
        <f>ES!$U$17</f>
        <v>#DIV/0!</v>
      </c>
      <c r="P24" s="47" t="e">
        <f>ES!$U$18</f>
        <v>#DIV/0!</v>
      </c>
      <c r="Q24" s="47" t="e">
        <f>ES!$U$19</f>
        <v>#DIV/0!</v>
      </c>
      <c r="R24" s="48" t="e">
        <f t="shared" si="29"/>
        <v>#DIV/0!</v>
      </c>
      <c r="T24" s="47" t="e">
        <f>ES!$X$7</f>
        <v>#DIV/0!</v>
      </c>
      <c r="U24" s="47" t="e">
        <f>ES!$X$8</f>
        <v>#DIV/0!</v>
      </c>
      <c r="V24" s="47" t="e">
        <f>ES!$X$9</f>
        <v>#DIV/0!</v>
      </c>
      <c r="W24" s="48" t="e">
        <f t="shared" si="30"/>
        <v>#DIV/0!</v>
      </c>
      <c r="Y24" s="47" t="e">
        <f>ES!$X$11</f>
        <v>#DIV/0!</v>
      </c>
      <c r="AA24" s="47" t="e">
        <f>ES!$X$12</f>
        <v>#DIV/0!</v>
      </c>
      <c r="AC24" s="47" t="e">
        <f>ES!$X$14</f>
        <v>#DIV/0!</v>
      </c>
      <c r="AE24" s="47" t="e">
        <f>ES!$X$15</f>
        <v>#DIV/0!</v>
      </c>
      <c r="AG24" s="47" t="e">
        <f>ES!$X$17</f>
        <v>#DIV/0!</v>
      </c>
      <c r="AI24" s="47" t="e">
        <f>ES!$X$18</f>
        <v>#DIV/0!</v>
      </c>
      <c r="AK24" s="47" t="e">
        <f t="shared" si="26"/>
        <v>#DIV/0!</v>
      </c>
      <c r="AM24" t="e">
        <f>IF((AK24=ES!$X$21),"ok","erro")</f>
        <v>#DIV/0!</v>
      </c>
    </row>
    <row r="25" spans="1:39">
      <c r="A25" s="45" t="s">
        <v>40</v>
      </c>
      <c r="C25" s="47" t="e">
        <f>MG!$U$7</f>
        <v>#DIV/0!</v>
      </c>
      <c r="D25" s="47" t="e">
        <f>MG!$U$8</f>
        <v>#DIV/0!</v>
      </c>
      <c r="E25" s="47" t="e">
        <f>MG!$U$9</f>
        <v>#DIV/0!</v>
      </c>
      <c r="F25" s="48" t="e">
        <f t="shared" si="27"/>
        <v>#DIV/0!</v>
      </c>
      <c r="H25" s="47" t="e">
        <f>MG!$U$11</f>
        <v>#DIV/0!</v>
      </c>
      <c r="I25" s="47">
        <f>MG!$U$12</f>
        <v>0</v>
      </c>
      <c r="J25" s="47">
        <f>MG!$U$13</f>
        <v>0</v>
      </c>
      <c r="K25" s="47" t="e">
        <f>MG!$U$14</f>
        <v>#DIV/0!</v>
      </c>
      <c r="L25" s="47" t="e">
        <f>MG!$U$15</f>
        <v>#DIV/0!</v>
      </c>
      <c r="M25" s="48" t="e">
        <f t="shared" si="28"/>
        <v>#DIV/0!</v>
      </c>
      <c r="O25" s="47" t="e">
        <f>MG!$U$17</f>
        <v>#DIV/0!</v>
      </c>
      <c r="P25" s="47" t="e">
        <f>MG!$U$18</f>
        <v>#DIV/0!</v>
      </c>
      <c r="Q25" s="47" t="e">
        <f>MG!$U$19</f>
        <v>#DIV/0!</v>
      </c>
      <c r="R25" s="48" t="e">
        <f t="shared" si="29"/>
        <v>#DIV/0!</v>
      </c>
      <c r="T25" s="47" t="e">
        <f>MG!$X$7</f>
        <v>#DIV/0!</v>
      </c>
      <c r="U25" s="47" t="e">
        <f>MG!$X$8</f>
        <v>#DIV/0!</v>
      </c>
      <c r="V25" s="47" t="e">
        <f>MG!$X$9</f>
        <v>#DIV/0!</v>
      </c>
      <c r="W25" s="48" t="e">
        <f t="shared" si="30"/>
        <v>#DIV/0!</v>
      </c>
      <c r="Y25" s="47" t="e">
        <f>MG!$X$11</f>
        <v>#DIV/0!</v>
      </c>
      <c r="AA25" s="47" t="e">
        <f>MG!$X$12</f>
        <v>#DIV/0!</v>
      </c>
      <c r="AC25" s="47" t="e">
        <f>MG!$X$14</f>
        <v>#DIV/0!</v>
      </c>
      <c r="AE25" s="47" t="e">
        <f>MG!$X$15</f>
        <v>#DIV/0!</v>
      </c>
      <c r="AG25" s="47" t="e">
        <f>MG!$X$17</f>
        <v>#DIV/0!</v>
      </c>
      <c r="AI25" s="47" t="e">
        <f>MG!$X$18</f>
        <v>#DIV/0!</v>
      </c>
      <c r="AK25" s="47" t="e">
        <f t="shared" si="26"/>
        <v>#DIV/0!</v>
      </c>
      <c r="AM25" t="e">
        <f>IF((AK25=MG!$X$21),"ok","erro")</f>
        <v>#DIV/0!</v>
      </c>
    </row>
    <row r="26" spans="1:39">
      <c r="A26" s="45" t="s">
        <v>41</v>
      </c>
      <c r="C26" s="47" t="e">
        <f>RJ!$U$7</f>
        <v>#DIV/0!</v>
      </c>
      <c r="D26" s="47" t="e">
        <f>RJ!$U$8</f>
        <v>#DIV/0!</v>
      </c>
      <c r="E26" s="47" t="e">
        <f>RJ!$U$9</f>
        <v>#DIV/0!</v>
      </c>
      <c r="F26" s="48" t="e">
        <f t="shared" si="27"/>
        <v>#DIV/0!</v>
      </c>
      <c r="H26" s="47" t="e">
        <f>RJ!$U$11</f>
        <v>#DIV/0!</v>
      </c>
      <c r="I26" s="47">
        <f>RJ!$U$12</f>
        <v>0</v>
      </c>
      <c r="J26" s="47">
        <f>RJ!$U$13</f>
        <v>0</v>
      </c>
      <c r="K26" s="47" t="e">
        <f>RJ!$U$14</f>
        <v>#DIV/0!</v>
      </c>
      <c r="L26" s="47" t="e">
        <f>RJ!$U$15</f>
        <v>#DIV/0!</v>
      </c>
      <c r="M26" s="48" t="e">
        <f t="shared" si="28"/>
        <v>#DIV/0!</v>
      </c>
      <c r="O26" s="47" t="e">
        <f>RJ!$U$17</f>
        <v>#DIV/0!</v>
      </c>
      <c r="P26" s="47" t="e">
        <f>RJ!$U$18</f>
        <v>#DIV/0!</v>
      </c>
      <c r="Q26" s="47" t="e">
        <f>RJ!$U$19</f>
        <v>#DIV/0!</v>
      </c>
      <c r="R26" s="48" t="e">
        <f t="shared" si="29"/>
        <v>#DIV/0!</v>
      </c>
      <c r="T26" s="47" t="e">
        <f>RJ!$X$7</f>
        <v>#DIV/0!</v>
      </c>
      <c r="U26" s="47" t="e">
        <f>RJ!$X$8</f>
        <v>#DIV/0!</v>
      </c>
      <c r="V26" s="47" t="e">
        <f>RJ!$X$9</f>
        <v>#DIV/0!</v>
      </c>
      <c r="W26" s="48" t="e">
        <f t="shared" si="30"/>
        <v>#DIV/0!</v>
      </c>
      <c r="Y26" s="47" t="e">
        <f>RJ!$X$11</f>
        <v>#DIV/0!</v>
      </c>
      <c r="AA26" s="47" t="e">
        <f>RJ!$X$12</f>
        <v>#DIV/0!</v>
      </c>
      <c r="AC26" s="47" t="e">
        <f>RJ!$X$14</f>
        <v>#DIV/0!</v>
      </c>
      <c r="AE26" s="47" t="e">
        <f>RJ!$X$15</f>
        <v>#DIV/0!</v>
      </c>
      <c r="AG26" s="47" t="e">
        <f>RJ!$X$17</f>
        <v>#DIV/0!</v>
      </c>
      <c r="AI26" s="47" t="e">
        <f>RJ!$X$18</f>
        <v>#DIV/0!</v>
      </c>
      <c r="AK26" s="47" t="e">
        <f t="shared" si="26"/>
        <v>#DIV/0!</v>
      </c>
      <c r="AM26" t="e">
        <f>IF((AK26=RJ!$X$21),"ok","erro")</f>
        <v>#DIV/0!</v>
      </c>
    </row>
    <row r="27" spans="1:39">
      <c r="A27" s="45" t="s">
        <v>42</v>
      </c>
      <c r="C27" s="47" t="e">
        <f>SP!$U$7</f>
        <v>#DIV/0!</v>
      </c>
      <c r="D27" s="47" t="e">
        <f>SP!$U$8</f>
        <v>#DIV/0!</v>
      </c>
      <c r="E27" s="47" t="e">
        <f>SP!$U$9</f>
        <v>#DIV/0!</v>
      </c>
      <c r="F27" s="48" t="e">
        <f t="shared" si="27"/>
        <v>#DIV/0!</v>
      </c>
      <c r="H27" s="47" t="e">
        <f>SP!$U$11</f>
        <v>#DIV/0!</v>
      </c>
      <c r="I27" s="47">
        <f>SP!$U$12</f>
        <v>0</v>
      </c>
      <c r="J27" s="47">
        <f>SP!$U$13</f>
        <v>0</v>
      </c>
      <c r="K27" s="47" t="e">
        <f>SP!$U$14</f>
        <v>#DIV/0!</v>
      </c>
      <c r="L27" s="47" t="e">
        <f>SP!$U$15</f>
        <v>#DIV/0!</v>
      </c>
      <c r="M27" s="48" t="e">
        <f t="shared" si="28"/>
        <v>#DIV/0!</v>
      </c>
      <c r="O27" s="47" t="e">
        <f>SP!$U$17</f>
        <v>#DIV/0!</v>
      </c>
      <c r="P27" s="47" t="e">
        <f>SP!$U$18</f>
        <v>#DIV/0!</v>
      </c>
      <c r="Q27" s="47" t="e">
        <f>SP!$U$19</f>
        <v>#DIV/0!</v>
      </c>
      <c r="R27" s="48" t="e">
        <f t="shared" si="29"/>
        <v>#DIV/0!</v>
      </c>
      <c r="T27" s="47" t="e">
        <f>SP!$X$7</f>
        <v>#DIV/0!</v>
      </c>
      <c r="U27" s="47" t="e">
        <f>SP!$X$8</f>
        <v>#DIV/0!</v>
      </c>
      <c r="V27" s="47" t="e">
        <f>SP!$X$9</f>
        <v>#DIV/0!</v>
      </c>
      <c r="W27" s="48" t="e">
        <f t="shared" si="30"/>
        <v>#DIV/0!</v>
      </c>
      <c r="Y27" s="47" t="e">
        <f>SP!$X$11</f>
        <v>#DIV/0!</v>
      </c>
      <c r="AA27" s="47" t="e">
        <f>SP!$X$12</f>
        <v>#DIV/0!</v>
      </c>
      <c r="AC27" s="47" t="e">
        <f>SP!$X$14</f>
        <v>#DIV/0!</v>
      </c>
      <c r="AE27" s="47" t="e">
        <f>SP!$X$15</f>
        <v>#DIV/0!</v>
      </c>
      <c r="AG27" s="47" t="e">
        <f>SP!$X$17</f>
        <v>#DIV/0!</v>
      </c>
      <c r="AI27" s="47" t="e">
        <f>SP!$X$18</f>
        <v>#DIV/0!</v>
      </c>
      <c r="AK27" s="47" t="e">
        <f t="shared" si="26"/>
        <v>#DIV/0!</v>
      </c>
      <c r="AM27" t="e">
        <f>IF((AK27=SP!$X$21),"ok","erro")</f>
        <v>#DIV/0!</v>
      </c>
    </row>
    <row r="28" spans="1:39">
      <c r="A28" s="44" t="s">
        <v>43</v>
      </c>
      <c r="C28" s="48" t="e">
        <f>SUM(C29:C31)</f>
        <v>#DIV/0!</v>
      </c>
      <c r="D28" s="48" t="e">
        <f>SUM(D29:D31)</f>
        <v>#DIV/0!</v>
      </c>
      <c r="E28" s="48" t="e">
        <f t="shared" ref="E28" si="48">SUM(E29:E31)</f>
        <v>#DIV/0!</v>
      </c>
      <c r="F28" s="48" t="e">
        <f t="shared" si="27"/>
        <v>#DIV/0!</v>
      </c>
      <c r="H28" s="48" t="e">
        <f t="shared" ref="H28:L28" si="49">SUM(H29:H31)</f>
        <v>#DIV/0!</v>
      </c>
      <c r="I28" s="48">
        <f t="shared" ref="I28:J28" si="50">SUM(I29:I31)</f>
        <v>0</v>
      </c>
      <c r="J28" s="48">
        <f t="shared" si="50"/>
        <v>0</v>
      </c>
      <c r="K28" s="48" t="e">
        <f t="shared" ref="K28" si="51">SUM(K29:K31)</f>
        <v>#DIV/0!</v>
      </c>
      <c r="L28" s="48" t="e">
        <f t="shared" si="49"/>
        <v>#DIV/0!</v>
      </c>
      <c r="M28" s="48" t="e">
        <f t="shared" si="28"/>
        <v>#DIV/0!</v>
      </c>
      <c r="O28" s="48" t="e">
        <f>SUM(O29:O31)</f>
        <v>#DIV/0!</v>
      </c>
      <c r="P28" s="48" t="e">
        <f>SUM(P29:P31)</f>
        <v>#DIV/0!</v>
      </c>
      <c r="Q28" s="48" t="e">
        <f t="shared" ref="Q28" si="52">SUM(Q29:Q31)</f>
        <v>#DIV/0!</v>
      </c>
      <c r="R28" s="48" t="e">
        <f t="shared" si="29"/>
        <v>#DIV/0!</v>
      </c>
      <c r="T28" s="48" t="e">
        <f t="shared" ref="T28:V28" si="53">SUM(T29:T31)</f>
        <v>#DIV/0!</v>
      </c>
      <c r="U28" s="48" t="e">
        <f t="shared" ref="U28" si="54">SUM(U29:U31)</f>
        <v>#DIV/0!</v>
      </c>
      <c r="V28" s="48" t="e">
        <f t="shared" si="53"/>
        <v>#DIV/0!</v>
      </c>
      <c r="W28" s="48" t="e">
        <f t="shared" si="30"/>
        <v>#DIV/0!</v>
      </c>
      <c r="Y28" s="48" t="e">
        <f>SUM(Y29:Y31)</f>
        <v>#DIV/0!</v>
      </c>
      <c r="AA28" s="48" t="e">
        <f>SUM(AA29:AA31)</f>
        <v>#DIV/0!</v>
      </c>
      <c r="AC28" s="48" t="e">
        <f t="shared" ref="AC28:AE28" si="55">SUM(AC29:AC31)</f>
        <v>#DIV/0!</v>
      </c>
      <c r="AE28" s="48" t="e">
        <f t="shared" si="55"/>
        <v>#DIV/0!</v>
      </c>
      <c r="AG28" s="48" t="e">
        <f t="shared" ref="AG28:AI28" si="56">SUM(AG29:AG31)</f>
        <v>#DIV/0!</v>
      </c>
      <c r="AI28" s="48" t="e">
        <f t="shared" si="56"/>
        <v>#DIV/0!</v>
      </c>
      <c r="AK28" s="48" t="e">
        <f t="shared" si="26"/>
        <v>#DIV/0!</v>
      </c>
    </row>
    <row r="29" spans="1:39">
      <c r="A29" s="45" t="s">
        <v>44</v>
      </c>
      <c r="C29" s="47" t="e">
        <f>PR!$U$7</f>
        <v>#DIV/0!</v>
      </c>
      <c r="D29" s="47" t="e">
        <f>PR!$U$8</f>
        <v>#DIV/0!</v>
      </c>
      <c r="E29" s="47" t="e">
        <f>PR!$U$9</f>
        <v>#DIV/0!</v>
      </c>
      <c r="F29" s="48" t="e">
        <f t="shared" si="27"/>
        <v>#DIV/0!</v>
      </c>
      <c r="H29" s="47" t="e">
        <f>PR!$U$11</f>
        <v>#DIV/0!</v>
      </c>
      <c r="I29" s="47">
        <f>PR!$U$12</f>
        <v>0</v>
      </c>
      <c r="J29" s="47">
        <f>PR!$U$13</f>
        <v>0</v>
      </c>
      <c r="K29" s="47" t="e">
        <f>PR!$U$14</f>
        <v>#DIV/0!</v>
      </c>
      <c r="L29" s="47" t="e">
        <f>PR!$U$15</f>
        <v>#DIV/0!</v>
      </c>
      <c r="M29" s="48" t="e">
        <f t="shared" si="28"/>
        <v>#DIV/0!</v>
      </c>
      <c r="O29" s="47" t="e">
        <f>PR!$U$17</f>
        <v>#DIV/0!</v>
      </c>
      <c r="P29" s="47" t="e">
        <f>PR!$U$18</f>
        <v>#DIV/0!</v>
      </c>
      <c r="Q29" s="47" t="e">
        <f>PR!$U$19</f>
        <v>#DIV/0!</v>
      </c>
      <c r="R29" s="48" t="e">
        <f t="shared" si="29"/>
        <v>#DIV/0!</v>
      </c>
      <c r="T29" s="47" t="e">
        <f>PR!$X$7</f>
        <v>#DIV/0!</v>
      </c>
      <c r="U29" s="47" t="e">
        <f>PR!$X$8</f>
        <v>#DIV/0!</v>
      </c>
      <c r="V29" s="47" t="e">
        <f>PR!$X$9</f>
        <v>#DIV/0!</v>
      </c>
      <c r="W29" s="48" t="e">
        <f t="shared" si="30"/>
        <v>#DIV/0!</v>
      </c>
      <c r="Y29" s="47" t="e">
        <f>PR!$X$11</f>
        <v>#DIV/0!</v>
      </c>
      <c r="AA29" s="47" t="e">
        <f>PR!$X$12</f>
        <v>#DIV/0!</v>
      </c>
      <c r="AC29" s="47" t="e">
        <f>PR!$X$14</f>
        <v>#DIV/0!</v>
      </c>
      <c r="AE29" s="47" t="e">
        <f>PR!$X$15</f>
        <v>#DIV/0!</v>
      </c>
      <c r="AG29" s="47" t="e">
        <f>PR!$X$17</f>
        <v>#DIV/0!</v>
      </c>
      <c r="AI29" s="47" t="e">
        <f>PR!$X$18</f>
        <v>#DIV/0!</v>
      </c>
      <c r="AK29" s="47" t="e">
        <f t="shared" si="26"/>
        <v>#DIV/0!</v>
      </c>
      <c r="AM29" t="e">
        <f>IF((AK29=PR!$X$21),"ok","erro")</f>
        <v>#DIV/0!</v>
      </c>
    </row>
    <row r="30" spans="1:39">
      <c r="A30" s="45" t="s">
        <v>45</v>
      </c>
      <c r="C30" s="47" t="e">
        <f>RS!$U$7</f>
        <v>#DIV/0!</v>
      </c>
      <c r="D30" s="47" t="e">
        <f>RS!$U$8</f>
        <v>#DIV/0!</v>
      </c>
      <c r="E30" s="47" t="e">
        <f>RS!$U$9</f>
        <v>#DIV/0!</v>
      </c>
      <c r="F30" s="48" t="e">
        <f t="shared" si="27"/>
        <v>#DIV/0!</v>
      </c>
      <c r="H30" s="47" t="e">
        <f>RS!$U$11</f>
        <v>#DIV/0!</v>
      </c>
      <c r="I30" s="47">
        <f>RS!$U$12</f>
        <v>0</v>
      </c>
      <c r="J30" s="47">
        <f>RS!$U$13</f>
        <v>0</v>
      </c>
      <c r="K30" s="47" t="e">
        <f>RS!$U$14</f>
        <v>#DIV/0!</v>
      </c>
      <c r="L30" s="47" t="e">
        <f>RS!$U$15</f>
        <v>#DIV/0!</v>
      </c>
      <c r="M30" s="48" t="e">
        <f t="shared" si="28"/>
        <v>#DIV/0!</v>
      </c>
      <c r="O30" s="47" t="e">
        <f>RS!$U$17</f>
        <v>#DIV/0!</v>
      </c>
      <c r="P30" s="47" t="e">
        <f>RS!$U$18</f>
        <v>#DIV/0!</v>
      </c>
      <c r="Q30" s="47" t="e">
        <f>RS!$U$19</f>
        <v>#DIV/0!</v>
      </c>
      <c r="R30" s="48" t="e">
        <f t="shared" si="29"/>
        <v>#DIV/0!</v>
      </c>
      <c r="T30" s="47" t="e">
        <f>RS!$X$7</f>
        <v>#DIV/0!</v>
      </c>
      <c r="U30" s="47" t="e">
        <f>RS!$X$8</f>
        <v>#DIV/0!</v>
      </c>
      <c r="V30" s="47" t="e">
        <f>RS!$X$9</f>
        <v>#DIV/0!</v>
      </c>
      <c r="W30" s="48" t="e">
        <f t="shared" si="30"/>
        <v>#DIV/0!</v>
      </c>
      <c r="Y30" s="47" t="e">
        <f>RS!$X$11</f>
        <v>#DIV/0!</v>
      </c>
      <c r="AA30" s="47" t="e">
        <f>RS!$X$12</f>
        <v>#DIV/0!</v>
      </c>
      <c r="AC30" s="47" t="e">
        <f>RS!$X$14</f>
        <v>#DIV/0!</v>
      </c>
      <c r="AE30" s="47" t="e">
        <f>RS!$X$15</f>
        <v>#DIV/0!</v>
      </c>
      <c r="AG30" s="47" t="e">
        <f>RS!$X$17</f>
        <v>#DIV/0!</v>
      </c>
      <c r="AI30" s="47" t="e">
        <f>RS!$X$18</f>
        <v>#DIV/0!</v>
      </c>
      <c r="AK30" s="47" t="e">
        <f t="shared" si="26"/>
        <v>#DIV/0!</v>
      </c>
      <c r="AM30" t="e">
        <f>IF((AK30=RS!$X$21),"ok","erro")</f>
        <v>#DIV/0!</v>
      </c>
    </row>
    <row r="31" spans="1:39">
      <c r="A31" s="45" t="s">
        <v>46</v>
      </c>
      <c r="C31" s="47" t="e">
        <f>SC!$U$7</f>
        <v>#DIV/0!</v>
      </c>
      <c r="D31" s="47" t="e">
        <f>SC!$U$8</f>
        <v>#DIV/0!</v>
      </c>
      <c r="E31" s="47" t="e">
        <f>SC!$U$9</f>
        <v>#DIV/0!</v>
      </c>
      <c r="F31" s="48" t="e">
        <f t="shared" si="27"/>
        <v>#DIV/0!</v>
      </c>
      <c r="H31" s="47" t="e">
        <f>SC!$U$11</f>
        <v>#DIV/0!</v>
      </c>
      <c r="I31" s="47">
        <f>SC!$U$12</f>
        <v>0</v>
      </c>
      <c r="J31" s="47">
        <f>SC!$U$13</f>
        <v>0</v>
      </c>
      <c r="K31" s="47" t="e">
        <f>SC!$U$14</f>
        <v>#DIV/0!</v>
      </c>
      <c r="L31" s="47" t="e">
        <f>SC!$U$15</f>
        <v>#DIV/0!</v>
      </c>
      <c r="M31" s="48" t="e">
        <f t="shared" si="28"/>
        <v>#DIV/0!</v>
      </c>
      <c r="O31" s="47" t="e">
        <f>SC!$U$17</f>
        <v>#DIV/0!</v>
      </c>
      <c r="P31" s="47" t="e">
        <f>SC!$U$18</f>
        <v>#DIV/0!</v>
      </c>
      <c r="Q31" s="47" t="e">
        <f>SC!$U$19</f>
        <v>#DIV/0!</v>
      </c>
      <c r="R31" s="48" t="e">
        <f t="shared" si="29"/>
        <v>#DIV/0!</v>
      </c>
      <c r="T31" s="47" t="e">
        <f>SC!$X$7</f>
        <v>#DIV/0!</v>
      </c>
      <c r="U31" s="47" t="e">
        <f>SC!$X$8</f>
        <v>#DIV/0!</v>
      </c>
      <c r="V31" s="47" t="e">
        <f>SC!$X$9</f>
        <v>#DIV/0!</v>
      </c>
      <c r="W31" s="48" t="e">
        <f t="shared" si="30"/>
        <v>#DIV/0!</v>
      </c>
      <c r="Y31" s="47" t="e">
        <f>SC!$X$11</f>
        <v>#DIV/0!</v>
      </c>
      <c r="AA31" s="47" t="e">
        <f>SC!$X$12</f>
        <v>#DIV/0!</v>
      </c>
      <c r="AC31" s="47" t="e">
        <f>SC!$X$14</f>
        <v>#DIV/0!</v>
      </c>
      <c r="AE31" s="47" t="e">
        <f>SC!$X$15</f>
        <v>#DIV/0!</v>
      </c>
      <c r="AG31" s="47" t="e">
        <f>SC!$X$17</f>
        <v>#DIV/0!</v>
      </c>
      <c r="AI31" s="47" t="e">
        <f>SC!$X$18</f>
        <v>#DIV/0!</v>
      </c>
      <c r="AK31" s="47" t="e">
        <f t="shared" si="26"/>
        <v>#DIV/0!</v>
      </c>
      <c r="AM31" t="e">
        <f>IF((AK31=SC!$X$21),"ok","erro")</f>
        <v>#DIV/0!</v>
      </c>
    </row>
    <row r="32" spans="1:39">
      <c r="A32" s="44" t="s">
        <v>47</v>
      </c>
      <c r="C32" s="48" t="e">
        <f>SUM(C33:C36)</f>
        <v>#DIV/0!</v>
      </c>
      <c r="D32" s="48" t="e">
        <f>SUM(D33:D36)</f>
        <v>#DIV/0!</v>
      </c>
      <c r="E32" s="48" t="e">
        <f t="shared" ref="E32" si="57">SUM(E33:E36)</f>
        <v>#DIV/0!</v>
      </c>
      <c r="F32" s="48" t="e">
        <f t="shared" si="27"/>
        <v>#DIV/0!</v>
      </c>
      <c r="H32" s="48" t="e">
        <f t="shared" ref="H32:L32" si="58">SUM(H33:H36)</f>
        <v>#DIV/0!</v>
      </c>
      <c r="I32" s="48">
        <f t="shared" ref="I32:J32" si="59">SUM(I33:I36)</f>
        <v>0</v>
      </c>
      <c r="J32" s="48">
        <f t="shared" si="59"/>
        <v>0</v>
      </c>
      <c r="K32" s="48" t="e">
        <f t="shared" ref="K32" si="60">SUM(K33:K36)</f>
        <v>#DIV/0!</v>
      </c>
      <c r="L32" s="48" t="e">
        <f t="shared" si="58"/>
        <v>#DIV/0!</v>
      </c>
      <c r="M32" s="48" t="e">
        <f t="shared" si="28"/>
        <v>#DIV/0!</v>
      </c>
      <c r="O32" s="48" t="e">
        <f t="shared" ref="O32:Q32" si="61">SUM(O33:O36)</f>
        <v>#DIV/0!</v>
      </c>
      <c r="P32" s="48" t="e">
        <f t="shared" ref="P32" si="62">SUM(P33:P36)</f>
        <v>#DIV/0!</v>
      </c>
      <c r="Q32" s="48" t="e">
        <f t="shared" si="61"/>
        <v>#DIV/0!</v>
      </c>
      <c r="R32" s="48" t="e">
        <f t="shared" si="29"/>
        <v>#DIV/0!</v>
      </c>
      <c r="T32" s="48" t="e">
        <f t="shared" ref="T32:V32" si="63">SUM(T33:T36)</f>
        <v>#DIV/0!</v>
      </c>
      <c r="U32" s="48" t="e">
        <f t="shared" ref="U32" si="64">SUM(U33:U36)</f>
        <v>#DIV/0!</v>
      </c>
      <c r="V32" s="48" t="e">
        <f t="shared" si="63"/>
        <v>#DIV/0!</v>
      </c>
      <c r="W32" s="48" t="e">
        <f t="shared" si="30"/>
        <v>#DIV/0!</v>
      </c>
      <c r="Y32" s="48" t="e">
        <f>SUM(Y33:Y36)</f>
        <v>#DIV/0!</v>
      </c>
      <c r="AA32" s="48" t="e">
        <f>SUM(AA33:AA36)</f>
        <v>#DIV/0!</v>
      </c>
      <c r="AC32" s="48" t="e">
        <f t="shared" ref="AC32:AE32" si="65">SUM(AC33:AC36)</f>
        <v>#DIV/0!</v>
      </c>
      <c r="AE32" s="48" t="e">
        <f t="shared" si="65"/>
        <v>#DIV/0!</v>
      </c>
      <c r="AG32" s="48" t="e">
        <f t="shared" ref="AG32:AI32" si="66">SUM(AG33:AG36)</f>
        <v>#DIV/0!</v>
      </c>
      <c r="AI32" s="48" t="e">
        <f t="shared" si="66"/>
        <v>#DIV/0!</v>
      </c>
      <c r="AK32" s="48" t="e">
        <f t="shared" si="26"/>
        <v>#DIV/0!</v>
      </c>
    </row>
    <row r="33" spans="1:39">
      <c r="A33" s="45" t="s">
        <v>48</v>
      </c>
      <c r="C33" s="47" t="e">
        <f>DF!$U$7</f>
        <v>#DIV/0!</v>
      </c>
      <c r="D33" s="47" t="e">
        <f>DF!$U$8</f>
        <v>#DIV/0!</v>
      </c>
      <c r="E33" s="47" t="e">
        <f>DF!$U$9</f>
        <v>#DIV/0!</v>
      </c>
      <c r="F33" s="48" t="e">
        <f t="shared" si="27"/>
        <v>#DIV/0!</v>
      </c>
      <c r="H33" s="47" t="e">
        <f>DF!$U$11</f>
        <v>#DIV/0!</v>
      </c>
      <c r="I33" s="47">
        <f>DF!$U$12</f>
        <v>0</v>
      </c>
      <c r="J33" s="47">
        <f>DF!$U$13</f>
        <v>0</v>
      </c>
      <c r="K33" s="47" t="e">
        <f>DF!$U$14</f>
        <v>#DIV/0!</v>
      </c>
      <c r="L33" s="47" t="e">
        <f>DF!$U$15</f>
        <v>#DIV/0!</v>
      </c>
      <c r="M33" s="48" t="e">
        <f t="shared" si="28"/>
        <v>#DIV/0!</v>
      </c>
      <c r="O33" s="47" t="e">
        <f>DF!$U$17</f>
        <v>#DIV/0!</v>
      </c>
      <c r="P33" s="47" t="e">
        <f>DF!$U$18</f>
        <v>#DIV/0!</v>
      </c>
      <c r="Q33" s="47" t="e">
        <f>DF!$U$19</f>
        <v>#DIV/0!</v>
      </c>
      <c r="R33" s="48" t="e">
        <f t="shared" si="29"/>
        <v>#DIV/0!</v>
      </c>
      <c r="T33" s="47" t="e">
        <f>DF!$X$7</f>
        <v>#DIV/0!</v>
      </c>
      <c r="U33" s="47" t="e">
        <f>DF!$X$8</f>
        <v>#DIV/0!</v>
      </c>
      <c r="V33" s="47" t="e">
        <f>DF!$X$9</f>
        <v>#DIV/0!</v>
      </c>
      <c r="W33" s="48" t="e">
        <f t="shared" si="30"/>
        <v>#DIV/0!</v>
      </c>
      <c r="Y33" s="47" t="e">
        <f>DF!$X$11</f>
        <v>#DIV/0!</v>
      </c>
      <c r="AA33" s="47" t="e">
        <f>DF!$X$12</f>
        <v>#DIV/0!</v>
      </c>
      <c r="AC33" s="47" t="e">
        <f>DF!$X$14</f>
        <v>#DIV/0!</v>
      </c>
      <c r="AE33" s="47" t="e">
        <f>DF!$X$15</f>
        <v>#DIV/0!</v>
      </c>
      <c r="AG33" s="47" t="e">
        <f>DF!$X$17</f>
        <v>#DIV/0!</v>
      </c>
      <c r="AI33" s="47" t="e">
        <f>DF!$X$18</f>
        <v>#DIV/0!</v>
      </c>
      <c r="AK33" s="47" t="e">
        <f t="shared" si="26"/>
        <v>#DIV/0!</v>
      </c>
      <c r="AM33" t="e">
        <f>IF((AK33=DF!$X$21),"ok","erro")</f>
        <v>#DIV/0!</v>
      </c>
    </row>
    <row r="34" spans="1:39">
      <c r="A34" s="45" t="s">
        <v>49</v>
      </c>
      <c r="C34" s="47" t="e">
        <f>GO!$U$7</f>
        <v>#DIV/0!</v>
      </c>
      <c r="D34" s="47" t="e">
        <f>GO!$U$8</f>
        <v>#DIV/0!</v>
      </c>
      <c r="E34" s="47" t="e">
        <f>GO!$U$9</f>
        <v>#DIV/0!</v>
      </c>
      <c r="F34" s="48" t="e">
        <f t="shared" si="27"/>
        <v>#DIV/0!</v>
      </c>
      <c r="H34" s="47" t="e">
        <f>GO!$U$11</f>
        <v>#DIV/0!</v>
      </c>
      <c r="I34" s="47">
        <f>GO!$U$12</f>
        <v>0</v>
      </c>
      <c r="J34" s="47">
        <f>GO!$U$13</f>
        <v>0</v>
      </c>
      <c r="K34" s="47" t="e">
        <f>GO!$U$14</f>
        <v>#DIV/0!</v>
      </c>
      <c r="L34" s="47" t="e">
        <f>GO!$U$15</f>
        <v>#DIV/0!</v>
      </c>
      <c r="M34" s="48" t="e">
        <f t="shared" si="28"/>
        <v>#DIV/0!</v>
      </c>
      <c r="O34" s="47" t="e">
        <f>GO!$U$17</f>
        <v>#DIV/0!</v>
      </c>
      <c r="P34" s="47" t="e">
        <f>GO!$U$18</f>
        <v>#DIV/0!</v>
      </c>
      <c r="Q34" s="47" t="e">
        <f>GO!$U$19</f>
        <v>#DIV/0!</v>
      </c>
      <c r="R34" s="48" t="e">
        <f t="shared" si="29"/>
        <v>#DIV/0!</v>
      </c>
      <c r="T34" s="47" t="e">
        <f>GO!$X$7</f>
        <v>#DIV/0!</v>
      </c>
      <c r="U34" s="47" t="e">
        <f>GO!$X$8</f>
        <v>#DIV/0!</v>
      </c>
      <c r="V34" s="47" t="e">
        <f>GO!$X$9</f>
        <v>#DIV/0!</v>
      </c>
      <c r="W34" s="48" t="e">
        <f t="shared" si="30"/>
        <v>#DIV/0!</v>
      </c>
      <c r="Y34" s="47" t="e">
        <f>GO!$X$11</f>
        <v>#DIV/0!</v>
      </c>
      <c r="AA34" s="47" t="e">
        <f>GO!$X$12</f>
        <v>#DIV/0!</v>
      </c>
      <c r="AC34" s="47" t="e">
        <f>GO!$X$14</f>
        <v>#DIV/0!</v>
      </c>
      <c r="AE34" s="47" t="e">
        <f>GO!$X$15</f>
        <v>#DIV/0!</v>
      </c>
      <c r="AG34" s="47" t="e">
        <f>GO!$X$17</f>
        <v>#DIV/0!</v>
      </c>
      <c r="AI34" s="47" t="e">
        <f>GO!$X$18</f>
        <v>#DIV/0!</v>
      </c>
      <c r="AK34" s="47" t="e">
        <f t="shared" si="26"/>
        <v>#DIV/0!</v>
      </c>
      <c r="AM34" t="e">
        <f>IF((AK34=GO!$X$21),"ok","erro")</f>
        <v>#DIV/0!</v>
      </c>
    </row>
    <row r="35" spans="1:39">
      <c r="A35" s="45" t="s">
        <v>50</v>
      </c>
      <c r="C35" s="47" t="e">
        <f>MT!$U$7</f>
        <v>#DIV/0!</v>
      </c>
      <c r="D35" s="47" t="e">
        <f>MT!$U$8</f>
        <v>#DIV/0!</v>
      </c>
      <c r="E35" s="47" t="e">
        <f>MT!$U$9</f>
        <v>#DIV/0!</v>
      </c>
      <c r="F35" s="48" t="e">
        <f t="shared" si="27"/>
        <v>#DIV/0!</v>
      </c>
      <c r="H35" s="47" t="e">
        <f>MT!$U$11</f>
        <v>#DIV/0!</v>
      </c>
      <c r="I35" s="47">
        <f>MT!$U$12</f>
        <v>0</v>
      </c>
      <c r="J35" s="47">
        <f>MT!$U$13</f>
        <v>0</v>
      </c>
      <c r="K35" s="47" t="e">
        <f>MT!$U$14</f>
        <v>#DIV/0!</v>
      </c>
      <c r="L35" s="47" t="e">
        <f>MT!$U$15</f>
        <v>#DIV/0!</v>
      </c>
      <c r="M35" s="48" t="e">
        <f t="shared" si="28"/>
        <v>#DIV/0!</v>
      </c>
      <c r="O35" s="47" t="e">
        <f>MT!$U$17</f>
        <v>#DIV/0!</v>
      </c>
      <c r="P35" s="47" t="e">
        <f>MT!$U$18</f>
        <v>#DIV/0!</v>
      </c>
      <c r="Q35" s="47" t="e">
        <f>MT!$U$19</f>
        <v>#DIV/0!</v>
      </c>
      <c r="R35" s="48" t="e">
        <f t="shared" si="29"/>
        <v>#DIV/0!</v>
      </c>
      <c r="T35" s="47" t="e">
        <f>MT!$X$7</f>
        <v>#DIV/0!</v>
      </c>
      <c r="U35" s="47" t="e">
        <f>MT!$X$8</f>
        <v>#DIV/0!</v>
      </c>
      <c r="V35" s="47" t="e">
        <f>MT!$X$9</f>
        <v>#DIV/0!</v>
      </c>
      <c r="W35" s="48" t="e">
        <f t="shared" si="30"/>
        <v>#DIV/0!</v>
      </c>
      <c r="Y35" s="47" t="e">
        <f>MT!$X$11</f>
        <v>#DIV/0!</v>
      </c>
      <c r="AA35" s="47" t="e">
        <f>MT!$X$12</f>
        <v>#DIV/0!</v>
      </c>
      <c r="AC35" s="47" t="e">
        <f>MT!$X$14</f>
        <v>#DIV/0!</v>
      </c>
      <c r="AE35" s="47" t="e">
        <f>MT!$X$15</f>
        <v>#DIV/0!</v>
      </c>
      <c r="AG35" s="47" t="e">
        <f>MT!$X$17</f>
        <v>#DIV/0!</v>
      </c>
      <c r="AI35" s="47" t="e">
        <f>MT!$X$18</f>
        <v>#DIV/0!</v>
      </c>
      <c r="AK35" s="47" t="e">
        <f t="shared" si="26"/>
        <v>#DIV/0!</v>
      </c>
      <c r="AM35" t="e">
        <f>IF((AK35=MT!$X$21),"ok","erro")</f>
        <v>#DIV/0!</v>
      </c>
    </row>
    <row r="36" spans="1:39">
      <c r="A36" s="45" t="s">
        <v>51</v>
      </c>
      <c r="C36" s="47" t="e">
        <f>MS!$U$7</f>
        <v>#DIV/0!</v>
      </c>
      <c r="D36" s="47" t="e">
        <f>MS!$U$8</f>
        <v>#DIV/0!</v>
      </c>
      <c r="E36" s="47" t="e">
        <f>MS!$U$9</f>
        <v>#DIV/0!</v>
      </c>
      <c r="F36" s="48" t="e">
        <f t="shared" si="27"/>
        <v>#DIV/0!</v>
      </c>
      <c r="H36" s="47" t="e">
        <f>MS!$U$11</f>
        <v>#DIV/0!</v>
      </c>
      <c r="I36" s="47">
        <f>MS!$U$12</f>
        <v>0</v>
      </c>
      <c r="J36" s="47">
        <f>MS!$U$13</f>
        <v>0</v>
      </c>
      <c r="K36" s="47" t="e">
        <f>MS!$U$14</f>
        <v>#DIV/0!</v>
      </c>
      <c r="L36" s="47" t="e">
        <f>MS!$U$15</f>
        <v>#DIV/0!</v>
      </c>
      <c r="M36" s="48" t="e">
        <f t="shared" si="28"/>
        <v>#DIV/0!</v>
      </c>
      <c r="O36" s="47" t="e">
        <f>MS!$U$17</f>
        <v>#DIV/0!</v>
      </c>
      <c r="P36" s="47" t="e">
        <f>MS!$U$18</f>
        <v>#DIV/0!</v>
      </c>
      <c r="Q36" s="47" t="e">
        <f>MS!$U$19</f>
        <v>#DIV/0!</v>
      </c>
      <c r="R36" s="48" t="e">
        <f t="shared" si="29"/>
        <v>#DIV/0!</v>
      </c>
      <c r="T36" s="47" t="e">
        <f>MS!$X$7</f>
        <v>#DIV/0!</v>
      </c>
      <c r="U36" s="47" t="e">
        <f>MS!$X$8</f>
        <v>#DIV/0!</v>
      </c>
      <c r="V36" s="47" t="e">
        <f>MS!$X$9</f>
        <v>#DIV/0!</v>
      </c>
      <c r="W36" s="48" t="e">
        <f t="shared" si="30"/>
        <v>#DIV/0!</v>
      </c>
      <c r="Y36" s="47" t="e">
        <f>MS!$X$11</f>
        <v>#DIV/0!</v>
      </c>
      <c r="AA36" s="47" t="e">
        <f>MS!$X$12</f>
        <v>#DIV/0!</v>
      </c>
      <c r="AC36" s="47" t="e">
        <f>MS!$X$14</f>
        <v>#DIV/0!</v>
      </c>
      <c r="AE36" s="47" t="e">
        <f>MS!$X$15</f>
        <v>#DIV/0!</v>
      </c>
      <c r="AG36" s="47" t="e">
        <f>MS!$X$17</f>
        <v>#DIV/0!</v>
      </c>
      <c r="AI36" s="47" t="e">
        <f>MS!$X$18</f>
        <v>#DIV/0!</v>
      </c>
      <c r="AK36" s="47" t="e">
        <f t="shared" si="26"/>
        <v>#DIV/0!</v>
      </c>
      <c r="AM36" t="e">
        <f>IF((AK36=MS!$X$21),"ok","erro")</f>
        <v>#DIV/0!</v>
      </c>
    </row>
  </sheetData>
  <mergeCells count="6">
    <mergeCell ref="A2:A3"/>
    <mergeCell ref="AK2:AK3"/>
    <mergeCell ref="C2:F2"/>
    <mergeCell ref="H2:M2"/>
    <mergeCell ref="O2:R2"/>
    <mergeCell ref="T2:W2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8CBAD"/>
  </sheetPr>
  <dimension ref="A1:BJ166"/>
  <sheetViews>
    <sheetView showGridLines="0" topLeftCell="A16" zoomScale="90" zoomScaleNormal="90" workbookViewId="0">
      <pane xSplit="1" topLeftCell="AA1" activePane="topRight" state="frozen"/>
      <selection pane="topRight" activeCell="AD34" sqref="AD34"/>
    </sheetView>
  </sheetViews>
  <sheetFormatPr defaultColWidth="10.85546875" defaultRowHeight="15.75"/>
  <cols>
    <col min="1" max="1" width="35.42578125" style="5" customWidth="1"/>
    <col min="2" max="2" width="11.42578125" bestFit="1" customWidth="1"/>
    <col min="11" max="11" width="13.5703125" customWidth="1"/>
    <col min="12" max="12" width="15.7109375" customWidth="1"/>
    <col min="13" max="13" width="19.42578125" customWidth="1"/>
    <col min="14" max="14" width="13.7109375" customWidth="1"/>
    <col min="26" max="26" width="12.42578125" bestFit="1" customWidth="1"/>
    <col min="28" max="28" width="12.140625" customWidth="1"/>
    <col min="30" max="30" width="13.28515625" style="5" bestFit="1" customWidth="1"/>
  </cols>
  <sheetData>
    <row r="1" spans="1:30">
      <c r="A1" s="84">
        <v>2019</v>
      </c>
    </row>
    <row r="2" spans="1:30">
      <c r="A2" s="96" t="s">
        <v>52</v>
      </c>
    </row>
    <row r="3" spans="1:30">
      <c r="A3" s="97"/>
      <c r="B3" s="6" t="s">
        <v>53</v>
      </c>
      <c r="C3" s="6" t="s">
        <v>54</v>
      </c>
      <c r="D3" s="6" t="s">
        <v>55</v>
      </c>
      <c r="E3" s="6" t="s">
        <v>56</v>
      </c>
      <c r="F3" s="6" t="s">
        <v>57</v>
      </c>
      <c r="G3" s="6" t="s">
        <v>58</v>
      </c>
      <c r="H3" s="6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  <c r="T3" s="6" t="s">
        <v>71</v>
      </c>
      <c r="U3" s="6" t="s">
        <v>72</v>
      </c>
      <c r="V3" s="6" t="s">
        <v>73</v>
      </c>
      <c r="W3" s="6" t="s">
        <v>74</v>
      </c>
      <c r="X3" s="6" t="s">
        <v>75</v>
      </c>
      <c r="Y3" s="6" t="s">
        <v>76</v>
      </c>
      <c r="Z3" s="6" t="s">
        <v>77</v>
      </c>
      <c r="AA3" s="6" t="s">
        <v>78</v>
      </c>
      <c r="AB3" s="6" t="s">
        <v>79</v>
      </c>
      <c r="AD3" s="32" t="s">
        <v>80</v>
      </c>
    </row>
    <row r="4" spans="1:30" ht="15">
      <c r="A4" s="58" t="s">
        <v>81</v>
      </c>
      <c r="B4" s="31">
        <v>3616</v>
      </c>
      <c r="C4" s="31">
        <v>24170</v>
      </c>
      <c r="D4" s="31">
        <v>1445</v>
      </c>
      <c r="E4" s="31">
        <v>16190</v>
      </c>
      <c r="F4" s="31">
        <v>99807</v>
      </c>
      <c r="G4" s="31">
        <v>60871</v>
      </c>
      <c r="H4" s="31">
        <v>57904</v>
      </c>
      <c r="I4" s="31">
        <v>52917</v>
      </c>
      <c r="J4" s="31">
        <v>159614</v>
      </c>
      <c r="K4" s="31">
        <v>13830</v>
      </c>
      <c r="L4" s="31">
        <v>48143</v>
      </c>
      <c r="M4" s="31">
        <v>54076</v>
      </c>
      <c r="N4" s="31">
        <v>435123</v>
      </c>
      <c r="O4" s="31">
        <v>23872</v>
      </c>
      <c r="P4" s="31">
        <v>29263</v>
      </c>
      <c r="Q4" s="31">
        <v>418759</v>
      </c>
      <c r="R4" s="31">
        <v>93993</v>
      </c>
      <c r="S4" s="31">
        <v>18541</v>
      </c>
      <c r="T4" s="31">
        <v>308196</v>
      </c>
      <c r="U4" s="31">
        <v>30147</v>
      </c>
      <c r="V4" s="31">
        <v>196571</v>
      </c>
      <c r="W4" s="31">
        <v>10426</v>
      </c>
      <c r="X4" s="31">
        <v>1452</v>
      </c>
      <c r="Y4" s="31">
        <v>132742</v>
      </c>
      <c r="Z4" s="31">
        <v>1832737</v>
      </c>
      <c r="AA4" s="31">
        <v>18489</v>
      </c>
      <c r="AB4" s="31">
        <v>10950</v>
      </c>
      <c r="AD4" s="52">
        <f>SUM(B4:AB4)</f>
        <v>4153844</v>
      </c>
    </row>
    <row r="5" spans="1:30" ht="15">
      <c r="A5" s="58" t="s">
        <v>82</v>
      </c>
      <c r="B5" s="31">
        <v>1</v>
      </c>
      <c r="C5" s="31">
        <v>1</v>
      </c>
      <c r="D5" s="31"/>
      <c r="E5" s="31"/>
      <c r="F5" s="31">
        <v>18</v>
      </c>
      <c r="G5" s="31">
        <v>58</v>
      </c>
      <c r="H5" s="31">
        <v>1</v>
      </c>
      <c r="I5" s="31">
        <v>323</v>
      </c>
      <c r="J5" s="31">
        <v>29</v>
      </c>
      <c r="K5" s="31">
        <v>6</v>
      </c>
      <c r="L5" s="31">
        <v>288</v>
      </c>
      <c r="M5" s="31">
        <v>16</v>
      </c>
      <c r="N5" s="31">
        <v>459</v>
      </c>
      <c r="O5" s="31">
        <v>11</v>
      </c>
      <c r="P5" s="31">
        <v>15</v>
      </c>
      <c r="Q5" s="31"/>
      <c r="R5" s="31"/>
      <c r="S5" s="31">
        <v>5</v>
      </c>
      <c r="T5" s="31"/>
      <c r="U5" s="31">
        <v>8</v>
      </c>
      <c r="V5" s="31"/>
      <c r="W5" s="31">
        <v>1</v>
      </c>
      <c r="X5" s="31"/>
      <c r="Y5" s="31">
        <v>2</v>
      </c>
      <c r="Z5" s="31">
        <v>966</v>
      </c>
      <c r="AA5" s="31">
        <v>1</v>
      </c>
      <c r="AB5" s="31">
        <v>2</v>
      </c>
      <c r="AC5" s="18"/>
      <c r="AD5" s="52">
        <f t="shared" ref="AD5:AD21" si="0">SUM(B5:AB5)</f>
        <v>2211</v>
      </c>
    </row>
    <row r="6" spans="1:30" ht="15">
      <c r="A6" s="58" t="s">
        <v>83</v>
      </c>
      <c r="B6" s="31"/>
      <c r="C6" s="31">
        <v>955</v>
      </c>
      <c r="D6" s="31">
        <v>1</v>
      </c>
      <c r="E6" s="31">
        <v>44</v>
      </c>
      <c r="F6" s="31">
        <v>1567</v>
      </c>
      <c r="G6" s="31">
        <v>3041</v>
      </c>
      <c r="H6" s="31">
        <v>25</v>
      </c>
      <c r="I6" s="31">
        <v>1883</v>
      </c>
      <c r="J6" s="31">
        <v>203</v>
      </c>
      <c r="K6" s="31">
        <v>9</v>
      </c>
      <c r="L6" s="31">
        <v>74</v>
      </c>
      <c r="M6" s="31">
        <v>213</v>
      </c>
      <c r="N6" s="31">
        <v>2402</v>
      </c>
      <c r="O6" s="31">
        <v>13</v>
      </c>
      <c r="P6" s="31">
        <v>1872</v>
      </c>
      <c r="Q6" s="31">
        <v>1569</v>
      </c>
      <c r="R6" s="31">
        <v>2053</v>
      </c>
      <c r="S6" s="31">
        <v>30</v>
      </c>
      <c r="T6" s="31">
        <v>53098</v>
      </c>
      <c r="U6" s="31">
        <v>4806</v>
      </c>
      <c r="V6" s="31">
        <v>2077</v>
      </c>
      <c r="W6" s="31">
        <v>1</v>
      </c>
      <c r="X6" s="31">
        <v>1</v>
      </c>
      <c r="Y6" s="31">
        <v>3761</v>
      </c>
      <c r="Z6" s="31">
        <v>12599</v>
      </c>
      <c r="AA6" s="31">
        <v>1477</v>
      </c>
      <c r="AB6" s="31">
        <v>8</v>
      </c>
      <c r="AC6" s="18"/>
      <c r="AD6" s="52">
        <f t="shared" si="0"/>
        <v>93782</v>
      </c>
    </row>
    <row r="7" spans="1:30" ht="15">
      <c r="A7" s="58" t="s">
        <v>84</v>
      </c>
      <c r="B7" s="31">
        <v>110139</v>
      </c>
      <c r="C7" s="31">
        <v>370312</v>
      </c>
      <c r="D7" s="31">
        <v>94833</v>
      </c>
      <c r="E7" s="31">
        <v>409410</v>
      </c>
      <c r="F7" s="31">
        <v>1746509</v>
      </c>
      <c r="G7" s="31">
        <v>1271284</v>
      </c>
      <c r="H7" s="31">
        <v>974344</v>
      </c>
      <c r="I7" s="31">
        <v>783626</v>
      </c>
      <c r="J7" s="31">
        <v>1474557</v>
      </c>
      <c r="K7" s="31">
        <v>729076</v>
      </c>
      <c r="L7" s="31">
        <v>825457</v>
      </c>
      <c r="M7" s="31">
        <v>594562</v>
      </c>
      <c r="N7" s="31">
        <v>4620423</v>
      </c>
      <c r="O7" s="31">
        <v>844618</v>
      </c>
      <c r="P7" s="31">
        <v>544709</v>
      </c>
      <c r="Q7" s="31">
        <v>2705449</v>
      </c>
      <c r="R7" s="31">
        <v>1273141</v>
      </c>
      <c r="S7" s="31">
        <v>454555</v>
      </c>
      <c r="T7" s="31">
        <v>2072294</v>
      </c>
      <c r="U7" s="31">
        <v>492217</v>
      </c>
      <c r="V7" s="31">
        <v>2345377</v>
      </c>
      <c r="W7" s="31">
        <v>384633</v>
      </c>
      <c r="X7" s="31">
        <v>86909</v>
      </c>
      <c r="Y7" s="31">
        <v>2058118</v>
      </c>
      <c r="Z7" s="31">
        <v>11161625</v>
      </c>
      <c r="AA7" s="31">
        <v>316342</v>
      </c>
      <c r="AB7" s="31">
        <v>266473</v>
      </c>
      <c r="AC7" s="18"/>
      <c r="AD7" s="52">
        <f t="shared" si="0"/>
        <v>39010992</v>
      </c>
    </row>
    <row r="8" spans="1:30" ht="15">
      <c r="A8" s="58" t="s">
        <v>85</v>
      </c>
      <c r="B8" s="31">
        <v>26234</v>
      </c>
      <c r="C8" s="31">
        <v>67410</v>
      </c>
      <c r="D8" s="31">
        <v>13886</v>
      </c>
      <c r="E8" s="31">
        <v>67055</v>
      </c>
      <c r="F8" s="31">
        <v>360619</v>
      </c>
      <c r="G8" s="31">
        <v>240228</v>
      </c>
      <c r="H8" s="31">
        <v>112431</v>
      </c>
      <c r="I8" s="31">
        <v>195931</v>
      </c>
      <c r="J8" s="31">
        <v>339433</v>
      </c>
      <c r="K8" s="31">
        <v>129453</v>
      </c>
      <c r="L8" s="31">
        <v>243133</v>
      </c>
      <c r="M8" s="31">
        <v>170096</v>
      </c>
      <c r="N8" s="31">
        <v>863604</v>
      </c>
      <c r="O8" s="31">
        <v>189615</v>
      </c>
      <c r="P8" s="31">
        <v>89487</v>
      </c>
      <c r="Q8" s="31">
        <v>723583</v>
      </c>
      <c r="R8" s="31">
        <v>235665</v>
      </c>
      <c r="S8" s="31">
        <v>99615</v>
      </c>
      <c r="T8" s="31">
        <v>358730</v>
      </c>
      <c r="U8" s="31">
        <v>99053</v>
      </c>
      <c r="V8" s="31">
        <v>618060</v>
      </c>
      <c r="W8" s="31">
        <v>96399</v>
      </c>
      <c r="X8" s="31">
        <v>20356</v>
      </c>
      <c r="Y8" s="31">
        <v>424301</v>
      </c>
      <c r="Z8" s="31">
        <v>1822581</v>
      </c>
      <c r="AA8" s="31">
        <v>56307</v>
      </c>
      <c r="AB8" s="31">
        <v>73633</v>
      </c>
      <c r="AC8" s="18"/>
      <c r="AD8" s="52">
        <f t="shared" si="0"/>
        <v>7736898</v>
      </c>
    </row>
    <row r="9" spans="1:30" ht="15">
      <c r="A9" s="58" t="s">
        <v>86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18"/>
      <c r="AD9" s="52">
        <f t="shared" si="0"/>
        <v>0</v>
      </c>
    </row>
    <row r="10" spans="1:30" ht="15">
      <c r="A10" s="58" t="s">
        <v>87</v>
      </c>
      <c r="B10" s="31"/>
      <c r="C10" s="31"/>
      <c r="D10" s="31"/>
      <c r="E10" s="31"/>
      <c r="F10" s="31">
        <v>3</v>
      </c>
      <c r="G10" s="31"/>
      <c r="H10" s="31">
        <v>2</v>
      </c>
      <c r="I10" s="31">
        <v>1</v>
      </c>
      <c r="J10" s="31">
        <v>2</v>
      </c>
      <c r="K10" s="31">
        <v>1</v>
      </c>
      <c r="L10" s="31"/>
      <c r="M10" s="31">
        <v>1</v>
      </c>
      <c r="N10" s="31">
        <v>1</v>
      </c>
      <c r="O10" s="31"/>
      <c r="P10" s="31"/>
      <c r="Q10" s="31"/>
      <c r="R10" s="31"/>
      <c r="S10" s="31"/>
      <c r="T10" s="31"/>
      <c r="U10" s="31"/>
      <c r="V10" s="31">
        <v>5</v>
      </c>
      <c r="W10" s="31">
        <v>1</v>
      </c>
      <c r="X10" s="31">
        <v>2</v>
      </c>
      <c r="Y10" s="31">
        <v>1</v>
      </c>
      <c r="Z10" s="31">
        <v>12</v>
      </c>
      <c r="AA10" s="31"/>
      <c r="AB10" s="31"/>
      <c r="AC10" s="18"/>
      <c r="AD10" s="52">
        <f t="shared" si="0"/>
        <v>32</v>
      </c>
    </row>
    <row r="11" spans="1:30" ht="15">
      <c r="A11" s="58" t="s">
        <v>88</v>
      </c>
      <c r="B11" s="31"/>
      <c r="C11" s="31"/>
      <c r="D11" s="31"/>
      <c r="E11" s="31">
        <v>1</v>
      </c>
      <c r="F11" s="31"/>
      <c r="G11" s="31">
        <v>1</v>
      </c>
      <c r="H11" s="31">
        <v>4</v>
      </c>
      <c r="I11" s="31">
        <v>2</v>
      </c>
      <c r="J11" s="31"/>
      <c r="K11" s="31"/>
      <c r="L11" s="31"/>
      <c r="M11" s="31"/>
      <c r="N11" s="31"/>
      <c r="O11" s="31">
        <v>1</v>
      </c>
      <c r="P11" s="31"/>
      <c r="Q11" s="31">
        <v>9</v>
      </c>
      <c r="R11" s="31"/>
      <c r="S11" s="31"/>
      <c r="T11" s="31">
        <v>4</v>
      </c>
      <c r="U11" s="31">
        <v>2</v>
      </c>
      <c r="V11" s="31"/>
      <c r="W11" s="31"/>
      <c r="X11" s="31"/>
      <c r="Y11" s="31">
        <v>1</v>
      </c>
      <c r="Z11" s="31">
        <v>17</v>
      </c>
      <c r="AA11" s="31">
        <v>1</v>
      </c>
      <c r="AB11" s="31"/>
      <c r="AC11" s="18"/>
      <c r="AD11" s="52">
        <f t="shared" si="0"/>
        <v>43</v>
      </c>
    </row>
    <row r="12" spans="1:30" ht="15">
      <c r="A12" s="58" t="s">
        <v>89</v>
      </c>
      <c r="B12" s="31"/>
      <c r="C12" s="31"/>
      <c r="D12" s="31"/>
      <c r="E12" s="31">
        <v>2</v>
      </c>
      <c r="F12" s="31">
        <v>6</v>
      </c>
      <c r="G12" s="31">
        <v>14</v>
      </c>
      <c r="H12" s="31">
        <v>14</v>
      </c>
      <c r="I12" s="31">
        <v>21</v>
      </c>
      <c r="J12" s="31">
        <v>5</v>
      </c>
      <c r="K12" s="31">
        <v>2</v>
      </c>
      <c r="L12" s="31">
        <v>2</v>
      </c>
      <c r="M12" s="31">
        <v>1</v>
      </c>
      <c r="N12" s="31">
        <v>62</v>
      </c>
      <c r="O12" s="31">
        <v>3</v>
      </c>
      <c r="P12" s="31"/>
      <c r="Q12" s="31">
        <v>76</v>
      </c>
      <c r="R12" s="31">
        <v>68</v>
      </c>
      <c r="S12" s="31"/>
      <c r="T12" s="31">
        <v>44</v>
      </c>
      <c r="U12" s="31">
        <v>1</v>
      </c>
      <c r="V12" s="31">
        <v>33</v>
      </c>
      <c r="W12" s="31">
        <v>1</v>
      </c>
      <c r="X12" s="31"/>
      <c r="Y12" s="31">
        <v>40</v>
      </c>
      <c r="Z12" s="31">
        <v>1154</v>
      </c>
      <c r="AA12" s="31"/>
      <c r="AB12" s="31">
        <v>1</v>
      </c>
      <c r="AC12" s="18"/>
      <c r="AD12" s="52">
        <f t="shared" si="0"/>
        <v>1550</v>
      </c>
    </row>
    <row r="13" spans="1:30" ht="15">
      <c r="A13" s="58" t="s">
        <v>90</v>
      </c>
      <c r="B13" s="31">
        <v>13</v>
      </c>
      <c r="C13" s="31"/>
      <c r="D13" s="31">
        <v>9</v>
      </c>
      <c r="E13" s="31">
        <v>39</v>
      </c>
      <c r="F13" s="31">
        <v>22</v>
      </c>
      <c r="G13" s="31">
        <v>10</v>
      </c>
      <c r="H13" s="31">
        <v>36</v>
      </c>
      <c r="I13" s="31">
        <v>18</v>
      </c>
      <c r="J13" s="31">
        <v>49</v>
      </c>
      <c r="K13" s="31">
        <v>85</v>
      </c>
      <c r="L13" s="31">
        <v>218</v>
      </c>
      <c r="M13" s="31">
        <v>35</v>
      </c>
      <c r="N13" s="31">
        <v>107</v>
      </c>
      <c r="O13" s="31">
        <v>45</v>
      </c>
      <c r="P13" s="31">
        <v>2</v>
      </c>
      <c r="Q13" s="31">
        <v>270</v>
      </c>
      <c r="R13" s="31">
        <v>26</v>
      </c>
      <c r="S13" s="31">
        <v>30</v>
      </c>
      <c r="T13" s="31">
        <v>59</v>
      </c>
      <c r="U13" s="31"/>
      <c r="V13" s="31">
        <v>106</v>
      </c>
      <c r="W13" s="31">
        <v>30</v>
      </c>
      <c r="X13" s="31">
        <v>21</v>
      </c>
      <c r="Y13" s="31">
        <v>82</v>
      </c>
      <c r="Z13" s="31">
        <v>787</v>
      </c>
      <c r="AA13" s="31"/>
      <c r="AB13" s="31">
        <v>20</v>
      </c>
      <c r="AC13" s="18"/>
      <c r="AD13" s="52">
        <f t="shared" si="0"/>
        <v>2119</v>
      </c>
    </row>
    <row r="14" spans="1:30" ht="15">
      <c r="A14" s="58" t="s">
        <v>91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18"/>
      <c r="AD14" s="52">
        <f t="shared" si="0"/>
        <v>0</v>
      </c>
    </row>
    <row r="15" spans="1:30" ht="15">
      <c r="A15" s="58" t="s">
        <v>92</v>
      </c>
      <c r="B15" s="31"/>
      <c r="C15" s="31">
        <v>1</v>
      </c>
      <c r="D15" s="31"/>
      <c r="E15" s="31">
        <v>7</v>
      </c>
      <c r="F15" s="31">
        <v>19</v>
      </c>
      <c r="G15" s="31"/>
      <c r="H15" s="31">
        <v>6</v>
      </c>
      <c r="I15" s="31">
        <v>10</v>
      </c>
      <c r="J15" s="31">
        <v>24</v>
      </c>
      <c r="K15" s="31">
        <v>2</v>
      </c>
      <c r="L15" s="31">
        <v>3</v>
      </c>
      <c r="M15" s="31">
        <v>4</v>
      </c>
      <c r="N15" s="31">
        <v>13</v>
      </c>
      <c r="O15" s="31"/>
      <c r="P15" s="31">
        <v>3</v>
      </c>
      <c r="Q15" s="31">
        <v>20</v>
      </c>
      <c r="R15" s="31"/>
      <c r="S15" s="31">
        <v>2</v>
      </c>
      <c r="T15" s="31">
        <v>5</v>
      </c>
      <c r="U15" s="31"/>
      <c r="V15" s="31">
        <v>5</v>
      </c>
      <c r="W15" s="31"/>
      <c r="X15" s="31"/>
      <c r="Y15" s="31">
        <v>9</v>
      </c>
      <c r="Z15" s="31">
        <v>66</v>
      </c>
      <c r="AA15" s="31">
        <v>5</v>
      </c>
      <c r="AB15" s="31">
        <v>1</v>
      </c>
      <c r="AC15" s="18"/>
      <c r="AD15" s="52">
        <f t="shared" si="0"/>
        <v>205</v>
      </c>
    </row>
    <row r="16" spans="1:30" ht="15">
      <c r="A16" s="58" t="s">
        <v>93</v>
      </c>
      <c r="B16" s="31">
        <v>6</v>
      </c>
      <c r="C16" s="31">
        <v>6</v>
      </c>
      <c r="D16" s="31">
        <v>2</v>
      </c>
      <c r="E16" s="31"/>
      <c r="F16" s="31">
        <v>65</v>
      </c>
      <c r="G16" s="31">
        <v>178</v>
      </c>
      <c r="H16" s="31">
        <v>2</v>
      </c>
      <c r="I16" s="31">
        <v>1870</v>
      </c>
      <c r="J16" s="31">
        <v>86</v>
      </c>
      <c r="K16" s="31">
        <v>7</v>
      </c>
      <c r="L16" s="31">
        <v>13</v>
      </c>
      <c r="M16" s="31">
        <v>32</v>
      </c>
      <c r="N16" s="31">
        <v>66</v>
      </c>
      <c r="O16" s="31"/>
      <c r="P16" s="31">
        <v>33</v>
      </c>
      <c r="Q16" s="31"/>
      <c r="R16" s="31">
        <v>16</v>
      </c>
      <c r="S16" s="31">
        <v>17</v>
      </c>
      <c r="T16" s="31">
        <v>17</v>
      </c>
      <c r="U16" s="31">
        <v>44</v>
      </c>
      <c r="V16" s="31"/>
      <c r="W16" s="31">
        <v>2</v>
      </c>
      <c r="X16" s="31">
        <v>1</v>
      </c>
      <c r="Y16" s="31">
        <v>26</v>
      </c>
      <c r="Z16" s="31">
        <v>7320</v>
      </c>
      <c r="AA16" s="31">
        <v>2</v>
      </c>
      <c r="AB16" s="31">
        <v>178</v>
      </c>
      <c r="AC16" s="18"/>
      <c r="AD16" s="52">
        <f t="shared" si="0"/>
        <v>9989</v>
      </c>
    </row>
    <row r="17" spans="1:61" ht="15">
      <c r="A17" s="58" t="s">
        <v>94</v>
      </c>
      <c r="B17" s="31">
        <v>139510</v>
      </c>
      <c r="C17" s="31">
        <v>352635</v>
      </c>
      <c r="D17" s="31">
        <v>86599</v>
      </c>
      <c r="E17" s="31">
        <v>392363</v>
      </c>
      <c r="F17" s="31">
        <v>1869745</v>
      </c>
      <c r="G17" s="31">
        <v>1527654</v>
      </c>
      <c r="H17" s="31">
        <v>661020</v>
      </c>
      <c r="I17" s="31">
        <v>836971</v>
      </c>
      <c r="J17" s="31">
        <v>1761953</v>
      </c>
      <c r="K17" s="31">
        <v>840939</v>
      </c>
      <c r="L17" s="31">
        <v>920990</v>
      </c>
      <c r="M17" s="31">
        <v>721225</v>
      </c>
      <c r="N17" s="31">
        <v>5176671</v>
      </c>
      <c r="O17" s="31">
        <v>958602</v>
      </c>
      <c r="P17" s="31">
        <v>622671</v>
      </c>
      <c r="Q17" s="31">
        <v>3485249</v>
      </c>
      <c r="R17" s="31">
        <v>1336683</v>
      </c>
      <c r="S17" s="31">
        <v>637756</v>
      </c>
      <c r="T17" s="31">
        <v>2579696</v>
      </c>
      <c r="U17" s="31">
        <v>620581</v>
      </c>
      <c r="V17" s="31">
        <v>3647427</v>
      </c>
      <c r="W17" s="31">
        <v>486331</v>
      </c>
      <c r="X17" s="31">
        <v>111752</v>
      </c>
      <c r="Y17" s="31">
        <v>2331664</v>
      </c>
      <c r="Z17" s="31">
        <v>13737197</v>
      </c>
      <c r="AA17" s="31">
        <v>351475</v>
      </c>
      <c r="AB17" s="31">
        <v>319410</v>
      </c>
      <c r="AC17" s="18"/>
      <c r="AD17" s="52">
        <f t="shared" si="0"/>
        <v>46514769</v>
      </c>
    </row>
    <row r="18" spans="1:61" ht="15">
      <c r="A18" s="58" t="s">
        <v>95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18"/>
      <c r="AD18" s="52">
        <f t="shared" si="0"/>
        <v>0</v>
      </c>
    </row>
    <row r="19" spans="1:61" ht="15">
      <c r="A19" s="58" t="s">
        <v>96</v>
      </c>
      <c r="B19" s="31">
        <v>5</v>
      </c>
      <c r="C19" s="31">
        <v>11513</v>
      </c>
      <c r="D19" s="31">
        <v>7</v>
      </c>
      <c r="E19" s="31">
        <v>1559</v>
      </c>
      <c r="F19" s="31">
        <v>31871</v>
      </c>
      <c r="G19" s="31">
        <v>22970</v>
      </c>
      <c r="H19" s="31">
        <v>837</v>
      </c>
      <c r="I19" s="31">
        <v>13431</v>
      </c>
      <c r="J19" s="31">
        <v>1321</v>
      </c>
      <c r="K19" s="31">
        <v>91</v>
      </c>
      <c r="L19" s="31">
        <v>433</v>
      </c>
      <c r="M19" s="31">
        <v>820</v>
      </c>
      <c r="N19" s="31">
        <v>12149</v>
      </c>
      <c r="O19" s="31">
        <v>118</v>
      </c>
      <c r="P19" s="31">
        <v>7257</v>
      </c>
      <c r="Q19" s="31">
        <v>15039</v>
      </c>
      <c r="R19" s="31">
        <v>29945</v>
      </c>
      <c r="S19" s="31">
        <v>282</v>
      </c>
      <c r="T19" s="31">
        <v>667657</v>
      </c>
      <c r="U19" s="31">
        <v>14602</v>
      </c>
      <c r="V19" s="31">
        <v>33451</v>
      </c>
      <c r="W19" s="31">
        <v>30</v>
      </c>
      <c r="X19" s="31">
        <v>26</v>
      </c>
      <c r="Y19" s="31">
        <v>38619</v>
      </c>
      <c r="Z19" s="31">
        <v>61860</v>
      </c>
      <c r="AA19" s="31">
        <v>8925</v>
      </c>
      <c r="AB19" s="31">
        <v>112</v>
      </c>
      <c r="AC19" s="18"/>
      <c r="AD19" s="52">
        <f t="shared" si="0"/>
        <v>974930</v>
      </c>
    </row>
    <row r="20" spans="1:61" ht="15">
      <c r="A20" s="58" t="s">
        <v>97</v>
      </c>
      <c r="B20" s="31">
        <v>24</v>
      </c>
      <c r="C20" s="31">
        <v>40</v>
      </c>
      <c r="D20" s="31">
        <v>15</v>
      </c>
      <c r="E20" s="31">
        <v>110</v>
      </c>
      <c r="F20" s="31">
        <v>529</v>
      </c>
      <c r="G20" s="31">
        <v>263</v>
      </c>
      <c r="H20" s="31">
        <v>692</v>
      </c>
      <c r="I20" s="31">
        <v>377</v>
      </c>
      <c r="J20" s="31">
        <v>290</v>
      </c>
      <c r="K20" s="31">
        <v>82</v>
      </c>
      <c r="L20" s="31">
        <v>142</v>
      </c>
      <c r="M20" s="31">
        <v>129</v>
      </c>
      <c r="N20" s="31">
        <v>952</v>
      </c>
      <c r="O20" s="31">
        <v>127</v>
      </c>
      <c r="P20" s="31">
        <v>92</v>
      </c>
      <c r="Q20" s="31">
        <v>965</v>
      </c>
      <c r="R20" s="31">
        <v>254</v>
      </c>
      <c r="S20" s="31">
        <v>83</v>
      </c>
      <c r="T20" s="31">
        <v>923</v>
      </c>
      <c r="U20" s="31">
        <v>94</v>
      </c>
      <c r="V20" s="31">
        <v>909</v>
      </c>
      <c r="W20" s="31">
        <v>37</v>
      </c>
      <c r="X20" s="31">
        <v>12</v>
      </c>
      <c r="Y20" s="31">
        <v>858</v>
      </c>
      <c r="Z20" s="31">
        <v>4459</v>
      </c>
      <c r="AA20" s="31">
        <v>74</v>
      </c>
      <c r="AB20" s="31">
        <v>32</v>
      </c>
      <c r="AC20" s="18"/>
      <c r="AD20" s="52">
        <f t="shared" si="0"/>
        <v>12564</v>
      </c>
    </row>
    <row r="21" spans="1:61" ht="15">
      <c r="A21" s="58" t="s">
        <v>98</v>
      </c>
      <c r="B21" s="31">
        <v>9</v>
      </c>
      <c r="C21" s="31">
        <v>9852</v>
      </c>
      <c r="D21" s="31">
        <v>8</v>
      </c>
      <c r="E21" s="31">
        <v>462</v>
      </c>
      <c r="F21" s="31">
        <v>24751</v>
      </c>
      <c r="G21" s="31">
        <v>25243</v>
      </c>
      <c r="H21" s="31">
        <v>764</v>
      </c>
      <c r="I21" s="31">
        <v>21962</v>
      </c>
      <c r="J21" s="31">
        <v>3102</v>
      </c>
      <c r="K21" s="31">
        <v>181</v>
      </c>
      <c r="L21" s="31">
        <v>822</v>
      </c>
      <c r="M21" s="31">
        <v>4153</v>
      </c>
      <c r="N21" s="31">
        <v>22275</v>
      </c>
      <c r="O21" s="31">
        <v>259</v>
      </c>
      <c r="P21" s="31">
        <v>13847</v>
      </c>
      <c r="Q21" s="31">
        <v>23953</v>
      </c>
      <c r="R21" s="31">
        <v>29293</v>
      </c>
      <c r="S21" s="31">
        <v>425</v>
      </c>
      <c r="T21" s="31">
        <v>689187</v>
      </c>
      <c r="U21" s="31">
        <v>31367</v>
      </c>
      <c r="V21" s="31">
        <v>43021</v>
      </c>
      <c r="W21" s="31">
        <v>56</v>
      </c>
      <c r="X21" s="31">
        <v>22</v>
      </c>
      <c r="Y21" s="31">
        <v>61037</v>
      </c>
      <c r="Z21" s="31">
        <v>211364</v>
      </c>
      <c r="AA21" s="31">
        <v>11545</v>
      </c>
      <c r="AB21" s="31">
        <v>152</v>
      </c>
      <c r="AC21" s="18"/>
      <c r="AD21" s="52">
        <f t="shared" si="0"/>
        <v>1229112</v>
      </c>
    </row>
    <row r="22" spans="1:61">
      <c r="A22" s="7"/>
      <c r="B22" s="18"/>
      <c r="C22" s="18"/>
      <c r="AC22" s="18"/>
      <c r="AD22" s="51"/>
    </row>
    <row r="23" spans="1:61">
      <c r="A23" s="1" t="s">
        <v>99</v>
      </c>
      <c r="B23" s="55">
        <f t="shared" ref="B23:AB23" si="1">SUM(B4:B21)</f>
        <v>279557</v>
      </c>
      <c r="C23" s="55">
        <f t="shared" si="1"/>
        <v>836895</v>
      </c>
      <c r="D23" s="55">
        <f t="shared" si="1"/>
        <v>196805</v>
      </c>
      <c r="E23" s="55">
        <f t="shared" si="1"/>
        <v>887242</v>
      </c>
      <c r="F23" s="55">
        <f t="shared" si="1"/>
        <v>4135531</v>
      </c>
      <c r="G23" s="55">
        <f t="shared" si="1"/>
        <v>3151815</v>
      </c>
      <c r="H23" s="55">
        <f t="shared" si="1"/>
        <v>1808082</v>
      </c>
      <c r="I23" s="55">
        <f t="shared" si="1"/>
        <v>1909343</v>
      </c>
      <c r="J23" s="55">
        <f t="shared" si="1"/>
        <v>3740668</v>
      </c>
      <c r="K23" s="55">
        <f t="shared" si="1"/>
        <v>1713764</v>
      </c>
      <c r="L23" s="55">
        <f t="shared" si="1"/>
        <v>2039718</v>
      </c>
      <c r="M23" s="55">
        <f t="shared" si="1"/>
        <v>1545363</v>
      </c>
      <c r="N23" s="55">
        <f t="shared" si="1"/>
        <v>11134307</v>
      </c>
      <c r="O23" s="55">
        <f t="shared" si="1"/>
        <v>2017284</v>
      </c>
      <c r="P23" s="55">
        <f t="shared" si="1"/>
        <v>1309251</v>
      </c>
      <c r="Q23" s="55">
        <f t="shared" si="1"/>
        <v>7374941</v>
      </c>
      <c r="R23" s="55">
        <f t="shared" si="1"/>
        <v>3001137</v>
      </c>
      <c r="S23" s="55">
        <f t="shared" si="1"/>
        <v>1211341</v>
      </c>
      <c r="T23" s="55">
        <f t="shared" si="1"/>
        <v>6729910</v>
      </c>
      <c r="U23" s="55">
        <f t="shared" si="1"/>
        <v>1292922</v>
      </c>
      <c r="V23" s="55">
        <f t="shared" si="1"/>
        <v>6887042</v>
      </c>
      <c r="W23" s="55">
        <f t="shared" si="1"/>
        <v>977948</v>
      </c>
      <c r="X23" s="55">
        <f t="shared" si="1"/>
        <v>220554</v>
      </c>
      <c r="Y23" s="55">
        <f t="shared" si="1"/>
        <v>5051261</v>
      </c>
      <c r="Z23" s="55">
        <f t="shared" si="1"/>
        <v>28854744</v>
      </c>
      <c r="AA23" s="55">
        <f t="shared" si="1"/>
        <v>764643</v>
      </c>
      <c r="AB23" s="55">
        <f t="shared" si="1"/>
        <v>670972</v>
      </c>
      <c r="AC23" s="8"/>
      <c r="AD23" s="52">
        <f>IF((SUM(AD4:AD21)=SUM(B23:AB23)),(SUM(B23:AB23)),"erro")</f>
        <v>99743040</v>
      </c>
    </row>
    <row r="24" spans="1:6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61">
      <c r="A25" s="98" t="s">
        <v>100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61" s="5" customFormat="1">
      <c r="A26" s="99"/>
      <c r="B26" s="6" t="s">
        <v>53</v>
      </c>
      <c r="C26" s="6" t="s">
        <v>54</v>
      </c>
      <c r="D26" s="6" t="s">
        <v>55</v>
      </c>
      <c r="E26" s="6" t="s">
        <v>56</v>
      </c>
      <c r="F26" s="6" t="s">
        <v>57</v>
      </c>
      <c r="G26" s="6" t="s">
        <v>58</v>
      </c>
      <c r="H26" s="6" t="s">
        <v>59</v>
      </c>
      <c r="I26" s="6" t="s">
        <v>60</v>
      </c>
      <c r="J26" s="6" t="s">
        <v>61</v>
      </c>
      <c r="K26" s="6" t="s">
        <v>62</v>
      </c>
      <c r="L26" s="6" t="s">
        <v>63</v>
      </c>
      <c r="M26" s="6" t="s">
        <v>64</v>
      </c>
      <c r="N26" s="6" t="s">
        <v>65</v>
      </c>
      <c r="O26" s="6" t="s">
        <v>66</v>
      </c>
      <c r="P26" s="6" t="s">
        <v>67</v>
      </c>
      <c r="Q26" s="6" t="s">
        <v>68</v>
      </c>
      <c r="R26" s="6" t="s">
        <v>69</v>
      </c>
      <c r="S26" s="6" t="s">
        <v>70</v>
      </c>
      <c r="T26" s="6" t="s">
        <v>71</v>
      </c>
      <c r="U26" s="6" t="s">
        <v>72</v>
      </c>
      <c r="V26" s="6" t="s">
        <v>73</v>
      </c>
      <c r="W26" s="6" t="s">
        <v>74</v>
      </c>
      <c r="X26" s="6" t="s">
        <v>75</v>
      </c>
      <c r="Y26" s="6" t="s">
        <v>76</v>
      </c>
      <c r="Z26" s="6" t="s">
        <v>77</v>
      </c>
      <c r="AA26" s="6" t="s">
        <v>78</v>
      </c>
      <c r="AB26" s="6" t="s">
        <v>79</v>
      </c>
      <c r="AD26" s="6" t="s">
        <v>80</v>
      </c>
    </row>
    <row r="27" spans="1:61">
      <c r="A27" s="59" t="s">
        <v>81</v>
      </c>
      <c r="B27" s="50">
        <f>B4+B5</f>
        <v>3617</v>
      </c>
      <c r="C27" s="50">
        <f t="shared" ref="C27:AB27" si="2">C4+C5</f>
        <v>24171</v>
      </c>
      <c r="D27" s="50">
        <f t="shared" si="2"/>
        <v>1445</v>
      </c>
      <c r="E27" s="50">
        <f t="shared" si="2"/>
        <v>16190</v>
      </c>
      <c r="F27" s="50">
        <f t="shared" si="2"/>
        <v>99825</v>
      </c>
      <c r="G27" s="50">
        <f t="shared" si="2"/>
        <v>60929</v>
      </c>
      <c r="H27" s="50">
        <f t="shared" si="2"/>
        <v>57905</v>
      </c>
      <c r="I27" s="50">
        <f t="shared" si="2"/>
        <v>53240</v>
      </c>
      <c r="J27" s="50">
        <f t="shared" si="2"/>
        <v>159643</v>
      </c>
      <c r="K27" s="50">
        <f t="shared" si="2"/>
        <v>13836</v>
      </c>
      <c r="L27" s="50">
        <f t="shared" si="2"/>
        <v>48431</v>
      </c>
      <c r="M27" s="50">
        <f t="shared" si="2"/>
        <v>54092</v>
      </c>
      <c r="N27" s="50">
        <f t="shared" si="2"/>
        <v>435582</v>
      </c>
      <c r="O27" s="50">
        <f t="shared" si="2"/>
        <v>23883</v>
      </c>
      <c r="P27" s="50">
        <f t="shared" si="2"/>
        <v>29278</v>
      </c>
      <c r="Q27" s="50">
        <f t="shared" si="2"/>
        <v>418759</v>
      </c>
      <c r="R27" s="50">
        <f t="shared" si="2"/>
        <v>93993</v>
      </c>
      <c r="S27" s="50">
        <f t="shared" si="2"/>
        <v>18546</v>
      </c>
      <c r="T27" s="50">
        <f t="shared" si="2"/>
        <v>308196</v>
      </c>
      <c r="U27" s="50">
        <f t="shared" si="2"/>
        <v>30155</v>
      </c>
      <c r="V27" s="50">
        <f t="shared" si="2"/>
        <v>196571</v>
      </c>
      <c r="W27" s="50">
        <f t="shared" si="2"/>
        <v>10427</v>
      </c>
      <c r="X27" s="50">
        <f t="shared" si="2"/>
        <v>1452</v>
      </c>
      <c r="Y27" s="50">
        <f t="shared" si="2"/>
        <v>132744</v>
      </c>
      <c r="Z27" s="50">
        <f t="shared" si="2"/>
        <v>1833703</v>
      </c>
      <c r="AA27" s="50">
        <f t="shared" si="2"/>
        <v>18490</v>
      </c>
      <c r="AB27" s="50">
        <f t="shared" si="2"/>
        <v>10952</v>
      </c>
      <c r="AC27" s="51"/>
      <c r="AD27" s="52">
        <f t="shared" ref="AD27:AD32" si="3">SUM(B27:AB27)</f>
        <v>4156055</v>
      </c>
      <c r="AH27" s="7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</row>
    <row r="28" spans="1:61">
      <c r="A28" s="59" t="s">
        <v>84</v>
      </c>
      <c r="B28" s="50">
        <f t="shared" ref="B28:AB28" si="4">B7</f>
        <v>110139</v>
      </c>
      <c r="C28" s="50">
        <f t="shared" si="4"/>
        <v>370312</v>
      </c>
      <c r="D28" s="50">
        <f t="shared" si="4"/>
        <v>94833</v>
      </c>
      <c r="E28" s="50">
        <f t="shared" si="4"/>
        <v>409410</v>
      </c>
      <c r="F28" s="50">
        <f t="shared" si="4"/>
        <v>1746509</v>
      </c>
      <c r="G28" s="50">
        <f t="shared" si="4"/>
        <v>1271284</v>
      </c>
      <c r="H28" s="50">
        <f t="shared" si="4"/>
        <v>974344</v>
      </c>
      <c r="I28" s="50">
        <f t="shared" si="4"/>
        <v>783626</v>
      </c>
      <c r="J28" s="50">
        <f t="shared" si="4"/>
        <v>1474557</v>
      </c>
      <c r="K28" s="50">
        <f t="shared" si="4"/>
        <v>729076</v>
      </c>
      <c r="L28" s="50">
        <f t="shared" si="4"/>
        <v>825457</v>
      </c>
      <c r="M28" s="50">
        <f t="shared" si="4"/>
        <v>594562</v>
      </c>
      <c r="N28" s="50">
        <f t="shared" si="4"/>
        <v>4620423</v>
      </c>
      <c r="O28" s="50">
        <f t="shared" si="4"/>
        <v>844618</v>
      </c>
      <c r="P28" s="50">
        <f t="shared" si="4"/>
        <v>544709</v>
      </c>
      <c r="Q28" s="50">
        <f t="shared" si="4"/>
        <v>2705449</v>
      </c>
      <c r="R28" s="50">
        <f t="shared" si="4"/>
        <v>1273141</v>
      </c>
      <c r="S28" s="50">
        <f t="shared" si="4"/>
        <v>454555</v>
      </c>
      <c r="T28" s="50">
        <f t="shared" si="4"/>
        <v>2072294</v>
      </c>
      <c r="U28" s="50">
        <f t="shared" si="4"/>
        <v>492217</v>
      </c>
      <c r="V28" s="50">
        <f t="shared" si="4"/>
        <v>2345377</v>
      </c>
      <c r="W28" s="50">
        <f t="shared" si="4"/>
        <v>384633</v>
      </c>
      <c r="X28" s="50">
        <f t="shared" si="4"/>
        <v>86909</v>
      </c>
      <c r="Y28" s="50">
        <f t="shared" si="4"/>
        <v>2058118</v>
      </c>
      <c r="Z28" s="50">
        <f t="shared" si="4"/>
        <v>11161625</v>
      </c>
      <c r="AA28" s="50">
        <f t="shared" si="4"/>
        <v>316342</v>
      </c>
      <c r="AB28" s="50">
        <f t="shared" si="4"/>
        <v>266473</v>
      </c>
      <c r="AC28" s="51"/>
      <c r="AD28" s="52">
        <f t="shared" si="3"/>
        <v>39010992</v>
      </c>
      <c r="AH28" s="7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</row>
    <row r="29" spans="1:61">
      <c r="A29" s="59" t="s">
        <v>85</v>
      </c>
      <c r="B29" s="50">
        <f>B8+B10</f>
        <v>26234</v>
      </c>
      <c r="C29" s="50">
        <f t="shared" ref="C29:AB29" si="5">C8+C10</f>
        <v>67410</v>
      </c>
      <c r="D29" s="50">
        <f t="shared" si="5"/>
        <v>13886</v>
      </c>
      <c r="E29" s="50">
        <f t="shared" si="5"/>
        <v>67055</v>
      </c>
      <c r="F29" s="50">
        <f t="shared" si="5"/>
        <v>360622</v>
      </c>
      <c r="G29" s="50">
        <f t="shared" si="5"/>
        <v>240228</v>
      </c>
      <c r="H29" s="50">
        <f t="shared" si="5"/>
        <v>112433</v>
      </c>
      <c r="I29" s="50">
        <f t="shared" si="5"/>
        <v>195932</v>
      </c>
      <c r="J29" s="50">
        <f t="shared" si="5"/>
        <v>339435</v>
      </c>
      <c r="K29" s="50">
        <f t="shared" si="5"/>
        <v>129454</v>
      </c>
      <c r="L29" s="50">
        <f t="shared" si="5"/>
        <v>243133</v>
      </c>
      <c r="M29" s="50">
        <f t="shared" si="5"/>
        <v>170097</v>
      </c>
      <c r="N29" s="50">
        <f t="shared" si="5"/>
        <v>863605</v>
      </c>
      <c r="O29" s="50">
        <f t="shared" si="5"/>
        <v>189615</v>
      </c>
      <c r="P29" s="50">
        <f t="shared" si="5"/>
        <v>89487</v>
      </c>
      <c r="Q29" s="50">
        <f t="shared" si="5"/>
        <v>723583</v>
      </c>
      <c r="R29" s="50">
        <f t="shared" si="5"/>
        <v>235665</v>
      </c>
      <c r="S29" s="50">
        <f t="shared" si="5"/>
        <v>99615</v>
      </c>
      <c r="T29" s="50">
        <f t="shared" si="5"/>
        <v>358730</v>
      </c>
      <c r="U29" s="50">
        <f t="shared" si="5"/>
        <v>99053</v>
      </c>
      <c r="V29" s="50">
        <f t="shared" si="5"/>
        <v>618065</v>
      </c>
      <c r="W29" s="50">
        <f t="shared" si="5"/>
        <v>96400</v>
      </c>
      <c r="X29" s="50">
        <f t="shared" si="5"/>
        <v>20358</v>
      </c>
      <c r="Y29" s="50">
        <f t="shared" si="5"/>
        <v>424302</v>
      </c>
      <c r="Z29" s="50">
        <f t="shared" si="5"/>
        <v>1822593</v>
      </c>
      <c r="AA29" s="50">
        <f t="shared" si="5"/>
        <v>56307</v>
      </c>
      <c r="AB29" s="50">
        <f t="shared" si="5"/>
        <v>73633</v>
      </c>
      <c r="AC29" s="51"/>
      <c r="AD29" s="52">
        <f t="shared" si="3"/>
        <v>7736930</v>
      </c>
      <c r="AH29" s="7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1">
      <c r="A30" s="59" t="s">
        <v>102</v>
      </c>
      <c r="B30" s="50">
        <f t="shared" ref="B30:AB30" si="6">B9+B12+B13+B14+B18+B20</f>
        <v>37</v>
      </c>
      <c r="C30" s="50">
        <f t="shared" si="6"/>
        <v>40</v>
      </c>
      <c r="D30" s="50">
        <f t="shared" si="6"/>
        <v>24</v>
      </c>
      <c r="E30" s="50">
        <f t="shared" si="6"/>
        <v>151</v>
      </c>
      <c r="F30" s="50">
        <f t="shared" si="6"/>
        <v>557</v>
      </c>
      <c r="G30" s="50">
        <f t="shared" si="6"/>
        <v>287</v>
      </c>
      <c r="H30" s="50">
        <f t="shared" si="6"/>
        <v>742</v>
      </c>
      <c r="I30" s="50">
        <f t="shared" si="6"/>
        <v>416</v>
      </c>
      <c r="J30" s="50">
        <f t="shared" si="6"/>
        <v>344</v>
      </c>
      <c r="K30" s="50">
        <f t="shared" si="6"/>
        <v>169</v>
      </c>
      <c r="L30" s="50">
        <f t="shared" si="6"/>
        <v>362</v>
      </c>
      <c r="M30" s="50">
        <f t="shared" si="6"/>
        <v>165</v>
      </c>
      <c r="N30" s="50">
        <f t="shared" si="6"/>
        <v>1121</v>
      </c>
      <c r="O30" s="50">
        <f t="shared" si="6"/>
        <v>175</v>
      </c>
      <c r="P30" s="50">
        <f t="shared" si="6"/>
        <v>94</v>
      </c>
      <c r="Q30" s="50">
        <f t="shared" si="6"/>
        <v>1311</v>
      </c>
      <c r="R30" s="50">
        <f t="shared" si="6"/>
        <v>348</v>
      </c>
      <c r="S30" s="50">
        <f t="shared" si="6"/>
        <v>113</v>
      </c>
      <c r="T30" s="50">
        <f t="shared" si="6"/>
        <v>1026</v>
      </c>
      <c r="U30" s="50">
        <f t="shared" si="6"/>
        <v>95</v>
      </c>
      <c r="V30" s="50">
        <f t="shared" si="6"/>
        <v>1048</v>
      </c>
      <c r="W30" s="50">
        <f t="shared" si="6"/>
        <v>68</v>
      </c>
      <c r="X30" s="50">
        <f t="shared" si="6"/>
        <v>33</v>
      </c>
      <c r="Y30" s="50">
        <f t="shared" si="6"/>
        <v>980</v>
      </c>
      <c r="Z30" s="50">
        <f t="shared" si="6"/>
        <v>6400</v>
      </c>
      <c r="AA30" s="50">
        <f t="shared" si="6"/>
        <v>74</v>
      </c>
      <c r="AB30" s="50">
        <f t="shared" si="6"/>
        <v>53</v>
      </c>
      <c r="AC30" s="51"/>
      <c r="AD30" s="52">
        <f t="shared" si="3"/>
        <v>16233</v>
      </c>
      <c r="AH30" s="7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</row>
    <row r="31" spans="1:61">
      <c r="A31" s="59" t="s">
        <v>16</v>
      </c>
      <c r="B31" s="50">
        <f>B6+B11+B15+B19+B21</f>
        <v>14</v>
      </c>
      <c r="C31" s="50">
        <f t="shared" ref="C31:AB31" si="7">C6+C11+C15+C19+C21</f>
        <v>22321</v>
      </c>
      <c r="D31" s="50">
        <f t="shared" si="7"/>
        <v>16</v>
      </c>
      <c r="E31" s="50">
        <f t="shared" si="7"/>
        <v>2073</v>
      </c>
      <c r="F31" s="50">
        <f t="shared" si="7"/>
        <v>58208</v>
      </c>
      <c r="G31" s="50">
        <f t="shared" si="7"/>
        <v>51255</v>
      </c>
      <c r="H31" s="50">
        <f t="shared" si="7"/>
        <v>1636</v>
      </c>
      <c r="I31" s="50">
        <f t="shared" si="7"/>
        <v>37288</v>
      </c>
      <c r="J31" s="50">
        <f t="shared" si="7"/>
        <v>4650</v>
      </c>
      <c r="K31" s="50">
        <f t="shared" si="7"/>
        <v>283</v>
      </c>
      <c r="L31" s="50">
        <f t="shared" si="7"/>
        <v>1332</v>
      </c>
      <c r="M31" s="50">
        <f t="shared" si="7"/>
        <v>5190</v>
      </c>
      <c r="N31" s="50">
        <f t="shared" si="7"/>
        <v>36839</v>
      </c>
      <c r="O31" s="50">
        <f t="shared" si="7"/>
        <v>391</v>
      </c>
      <c r="P31" s="50">
        <f t="shared" si="7"/>
        <v>22979</v>
      </c>
      <c r="Q31" s="50">
        <f t="shared" si="7"/>
        <v>40590</v>
      </c>
      <c r="R31" s="50">
        <f t="shared" si="7"/>
        <v>61291</v>
      </c>
      <c r="S31" s="50">
        <f t="shared" si="7"/>
        <v>739</v>
      </c>
      <c r="T31" s="50">
        <f t="shared" si="7"/>
        <v>1409951</v>
      </c>
      <c r="U31" s="50">
        <f t="shared" si="7"/>
        <v>50777</v>
      </c>
      <c r="V31" s="50">
        <f t="shared" si="7"/>
        <v>78554</v>
      </c>
      <c r="W31" s="50">
        <f t="shared" si="7"/>
        <v>87</v>
      </c>
      <c r="X31" s="50">
        <f t="shared" si="7"/>
        <v>49</v>
      </c>
      <c r="Y31" s="50">
        <f t="shared" si="7"/>
        <v>103427</v>
      </c>
      <c r="Z31" s="50">
        <f t="shared" si="7"/>
        <v>285906</v>
      </c>
      <c r="AA31" s="50">
        <f t="shared" si="7"/>
        <v>21953</v>
      </c>
      <c r="AB31" s="50">
        <f t="shared" si="7"/>
        <v>273</v>
      </c>
      <c r="AC31" s="51"/>
      <c r="AD31" s="52">
        <f t="shared" si="3"/>
        <v>2298072</v>
      </c>
      <c r="AH31" s="7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</row>
    <row r="32" spans="1:61">
      <c r="A32" s="59" t="s">
        <v>94</v>
      </c>
      <c r="B32" s="50">
        <f t="shared" ref="B32:AB32" si="8">B16+B17</f>
        <v>139516</v>
      </c>
      <c r="C32" s="50">
        <f t="shared" si="8"/>
        <v>352641</v>
      </c>
      <c r="D32" s="50">
        <f t="shared" si="8"/>
        <v>86601</v>
      </c>
      <c r="E32" s="50">
        <f t="shared" si="8"/>
        <v>392363</v>
      </c>
      <c r="F32" s="50">
        <f t="shared" si="8"/>
        <v>1869810</v>
      </c>
      <c r="G32" s="50">
        <f t="shared" si="8"/>
        <v>1527832</v>
      </c>
      <c r="H32" s="50">
        <f t="shared" si="8"/>
        <v>661022</v>
      </c>
      <c r="I32" s="50">
        <f t="shared" si="8"/>
        <v>838841</v>
      </c>
      <c r="J32" s="50">
        <f t="shared" si="8"/>
        <v>1762039</v>
      </c>
      <c r="K32" s="50">
        <f t="shared" si="8"/>
        <v>840946</v>
      </c>
      <c r="L32" s="50">
        <f t="shared" si="8"/>
        <v>921003</v>
      </c>
      <c r="M32" s="50">
        <f t="shared" si="8"/>
        <v>721257</v>
      </c>
      <c r="N32" s="50">
        <f t="shared" si="8"/>
        <v>5176737</v>
      </c>
      <c r="O32" s="50">
        <f t="shared" si="8"/>
        <v>958602</v>
      </c>
      <c r="P32" s="50">
        <f t="shared" si="8"/>
        <v>622704</v>
      </c>
      <c r="Q32" s="50">
        <f t="shared" si="8"/>
        <v>3485249</v>
      </c>
      <c r="R32" s="50">
        <f t="shared" si="8"/>
        <v>1336699</v>
      </c>
      <c r="S32" s="50">
        <f t="shared" si="8"/>
        <v>637773</v>
      </c>
      <c r="T32" s="50">
        <f t="shared" si="8"/>
        <v>2579713</v>
      </c>
      <c r="U32" s="50">
        <f t="shared" si="8"/>
        <v>620625</v>
      </c>
      <c r="V32" s="50">
        <f t="shared" si="8"/>
        <v>3647427</v>
      </c>
      <c r="W32" s="50">
        <f t="shared" si="8"/>
        <v>486333</v>
      </c>
      <c r="X32" s="50">
        <f t="shared" si="8"/>
        <v>111753</v>
      </c>
      <c r="Y32" s="50">
        <f t="shared" si="8"/>
        <v>2331690</v>
      </c>
      <c r="Z32" s="50">
        <f t="shared" si="8"/>
        <v>13744517</v>
      </c>
      <c r="AA32" s="50">
        <f t="shared" si="8"/>
        <v>351477</v>
      </c>
      <c r="AB32" s="50">
        <f t="shared" si="8"/>
        <v>319588</v>
      </c>
      <c r="AC32" s="51"/>
      <c r="AD32" s="52">
        <f t="shared" si="3"/>
        <v>46524758</v>
      </c>
      <c r="AH32" s="7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</row>
    <row r="33" spans="1:61">
      <c r="A33" s="6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3"/>
      <c r="AH33" s="7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</row>
    <row r="34" spans="1:61">
      <c r="A34" s="59" t="s">
        <v>101</v>
      </c>
      <c r="B34" s="52">
        <f t="shared" ref="B34:AB34" si="9">SUM(B27:B32)</f>
        <v>279557</v>
      </c>
      <c r="C34" s="52">
        <f t="shared" si="9"/>
        <v>836895</v>
      </c>
      <c r="D34" s="52">
        <f t="shared" si="9"/>
        <v>196805</v>
      </c>
      <c r="E34" s="52">
        <f t="shared" si="9"/>
        <v>887242</v>
      </c>
      <c r="F34" s="52">
        <f t="shared" si="9"/>
        <v>4135531</v>
      </c>
      <c r="G34" s="52">
        <f t="shared" si="9"/>
        <v>3151815</v>
      </c>
      <c r="H34" s="52">
        <f t="shared" si="9"/>
        <v>1808082</v>
      </c>
      <c r="I34" s="52">
        <f t="shared" si="9"/>
        <v>1909343</v>
      </c>
      <c r="J34" s="52">
        <f t="shared" si="9"/>
        <v>3740668</v>
      </c>
      <c r="K34" s="52">
        <f t="shared" si="9"/>
        <v>1713764</v>
      </c>
      <c r="L34" s="52">
        <f t="shared" si="9"/>
        <v>2039718</v>
      </c>
      <c r="M34" s="52">
        <f t="shared" si="9"/>
        <v>1545363</v>
      </c>
      <c r="N34" s="52">
        <f t="shared" si="9"/>
        <v>11134307</v>
      </c>
      <c r="O34" s="52">
        <f t="shared" si="9"/>
        <v>2017284</v>
      </c>
      <c r="P34" s="52">
        <f t="shared" si="9"/>
        <v>1309251</v>
      </c>
      <c r="Q34" s="52">
        <f t="shared" si="9"/>
        <v>7374941</v>
      </c>
      <c r="R34" s="52">
        <f t="shared" si="9"/>
        <v>3001137</v>
      </c>
      <c r="S34" s="52">
        <f t="shared" si="9"/>
        <v>1211341</v>
      </c>
      <c r="T34" s="52">
        <f t="shared" si="9"/>
        <v>6729910</v>
      </c>
      <c r="U34" s="52">
        <f t="shared" si="9"/>
        <v>1292922</v>
      </c>
      <c r="V34" s="52">
        <f t="shared" si="9"/>
        <v>6887042</v>
      </c>
      <c r="W34" s="52">
        <f t="shared" si="9"/>
        <v>977948</v>
      </c>
      <c r="X34" s="52">
        <f t="shared" si="9"/>
        <v>220554</v>
      </c>
      <c r="Y34" s="52">
        <f t="shared" si="9"/>
        <v>5051261</v>
      </c>
      <c r="Z34" s="52">
        <f t="shared" si="9"/>
        <v>28854744</v>
      </c>
      <c r="AA34" s="52">
        <f t="shared" si="9"/>
        <v>764643</v>
      </c>
      <c r="AB34" s="52">
        <f t="shared" si="9"/>
        <v>670972</v>
      </c>
      <c r="AC34" s="51"/>
      <c r="AD34" s="54">
        <f>IF((SUM(AD27:AD32)=SUM(B34:AB34)),(SUM(B34:AB34)),"erro")</f>
        <v>99743040</v>
      </c>
      <c r="AH34" s="7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</row>
    <row r="35" spans="1:61" ht="15.75" customHeight="1">
      <c r="A35" s="7"/>
    </row>
    <row r="36" spans="1:61" ht="15.75" customHeight="1">
      <c r="A36" s="98" t="s">
        <v>103</v>
      </c>
    </row>
    <row r="37" spans="1:61">
      <c r="A37" s="99"/>
      <c r="B37" s="6" t="s">
        <v>53</v>
      </c>
      <c r="C37" s="6" t="s">
        <v>54</v>
      </c>
      <c r="D37" s="6" t="s">
        <v>55</v>
      </c>
      <c r="E37" s="6" t="s">
        <v>56</v>
      </c>
      <c r="F37" s="6" t="s">
        <v>57</v>
      </c>
      <c r="G37" s="6" t="s">
        <v>58</v>
      </c>
      <c r="H37" s="6" t="s">
        <v>59</v>
      </c>
      <c r="I37" s="6" t="s">
        <v>60</v>
      </c>
      <c r="J37" s="6" t="s">
        <v>61</v>
      </c>
      <c r="K37" s="6" t="s">
        <v>62</v>
      </c>
      <c r="L37" s="6" t="s">
        <v>63</v>
      </c>
      <c r="M37" s="6" t="s">
        <v>64</v>
      </c>
      <c r="N37" s="6" t="s">
        <v>65</v>
      </c>
      <c r="O37" s="6" t="s">
        <v>66</v>
      </c>
      <c r="P37" s="6" t="s">
        <v>67</v>
      </c>
      <c r="Q37" s="6" t="s">
        <v>68</v>
      </c>
      <c r="R37" s="6" t="s">
        <v>69</v>
      </c>
      <c r="S37" s="6" t="s">
        <v>70</v>
      </c>
      <c r="T37" s="6" t="s">
        <v>71</v>
      </c>
      <c r="U37" s="6" t="s">
        <v>72</v>
      </c>
      <c r="V37" s="6" t="s">
        <v>73</v>
      </c>
      <c r="W37" s="6" t="s">
        <v>74</v>
      </c>
      <c r="X37" s="6" t="s">
        <v>75</v>
      </c>
      <c r="Y37" s="6" t="s">
        <v>76</v>
      </c>
      <c r="Z37" s="6" t="s">
        <v>77</v>
      </c>
      <c r="AA37" s="6" t="s">
        <v>78</v>
      </c>
      <c r="AB37" s="6" t="s">
        <v>79</v>
      </c>
      <c r="AD37" s="6" t="s">
        <v>80</v>
      </c>
    </row>
    <row r="38" spans="1:61">
      <c r="A38" s="61" t="s">
        <v>104</v>
      </c>
      <c r="B38" s="20">
        <v>89074</v>
      </c>
      <c r="C38" s="20">
        <v>364132</v>
      </c>
      <c r="D38" s="20">
        <v>82493</v>
      </c>
      <c r="E38" s="20">
        <v>402060</v>
      </c>
      <c r="F38" s="20">
        <v>1865367</v>
      </c>
      <c r="G38" s="20">
        <v>1165011</v>
      </c>
      <c r="H38" s="20">
        <v>1304117</v>
      </c>
      <c r="I38" s="20">
        <v>972425</v>
      </c>
      <c r="J38" s="20">
        <v>1876347</v>
      </c>
      <c r="K38" s="20">
        <v>445976</v>
      </c>
      <c r="L38" s="20">
        <v>741835</v>
      </c>
      <c r="M38" s="20">
        <v>747586</v>
      </c>
      <c r="N38" s="20">
        <v>6310860</v>
      </c>
      <c r="O38" s="20">
        <v>613189</v>
      </c>
      <c r="P38" s="20">
        <v>539314</v>
      </c>
      <c r="Q38" s="20">
        <v>4490652</v>
      </c>
      <c r="R38" s="20">
        <v>1341813</v>
      </c>
      <c r="S38" s="20">
        <v>370364</v>
      </c>
      <c r="T38" s="20">
        <v>4572487</v>
      </c>
      <c r="U38" s="20">
        <v>567348</v>
      </c>
      <c r="V38" s="20">
        <v>4367010</v>
      </c>
      <c r="W38" s="20">
        <v>290303</v>
      </c>
      <c r="X38" s="20">
        <v>75631</v>
      </c>
      <c r="Y38" s="20">
        <v>2984966</v>
      </c>
      <c r="Z38" s="20">
        <v>18494928</v>
      </c>
      <c r="AA38" s="20">
        <v>335225</v>
      </c>
      <c r="AB38" s="20">
        <v>217453</v>
      </c>
      <c r="AC38" s="18"/>
      <c r="AD38" s="52">
        <f>SUM(B38:AB38)</f>
        <v>55627966</v>
      </c>
    </row>
    <row r="39" spans="1:61">
      <c r="A39" s="61" t="s">
        <v>105</v>
      </c>
      <c r="B39" s="20">
        <v>7279</v>
      </c>
      <c r="C39" s="20">
        <v>21871</v>
      </c>
      <c r="D39" s="20">
        <v>4220</v>
      </c>
      <c r="E39" s="20">
        <v>20214</v>
      </c>
      <c r="F39" s="20">
        <v>120019</v>
      </c>
      <c r="G39" s="20">
        <v>74586</v>
      </c>
      <c r="H39" s="20">
        <v>24276</v>
      </c>
      <c r="I39" s="20">
        <v>74342</v>
      </c>
      <c r="J39" s="20">
        <v>113606</v>
      </c>
      <c r="K39" s="20">
        <v>42011</v>
      </c>
      <c r="L39" s="20">
        <v>74883</v>
      </c>
      <c r="M39" s="20">
        <v>54098</v>
      </c>
      <c r="N39" s="20">
        <v>338782</v>
      </c>
      <c r="O39" s="20">
        <v>62758</v>
      </c>
      <c r="P39" s="20">
        <v>28868</v>
      </c>
      <c r="Q39" s="20">
        <v>275136</v>
      </c>
      <c r="R39" s="20">
        <v>93918</v>
      </c>
      <c r="S39" s="20">
        <v>30743</v>
      </c>
      <c r="T39" s="20">
        <v>145503</v>
      </c>
      <c r="U39" s="20">
        <v>35219</v>
      </c>
      <c r="V39" s="20">
        <v>233551</v>
      </c>
      <c r="W39" s="20">
        <v>31302</v>
      </c>
      <c r="X39" s="20">
        <v>5274</v>
      </c>
      <c r="Y39" s="20">
        <v>154854</v>
      </c>
      <c r="Z39" s="20">
        <v>683950</v>
      </c>
      <c r="AA39" s="20">
        <v>21748</v>
      </c>
      <c r="AB39" s="20">
        <v>22575</v>
      </c>
      <c r="AC39" s="18"/>
      <c r="AD39" s="52">
        <f t="shared" ref="AD39:AD47" si="10">SUM(B39:AB39)</f>
        <v>2795586</v>
      </c>
    </row>
    <row r="40" spans="1:61">
      <c r="A40" s="61" t="s">
        <v>106</v>
      </c>
      <c r="B40" s="20">
        <v>940</v>
      </c>
      <c r="C40" s="20">
        <v>2545</v>
      </c>
      <c r="D40" s="20">
        <v>377</v>
      </c>
      <c r="E40" s="20">
        <v>3285</v>
      </c>
      <c r="F40" s="20">
        <v>21982</v>
      </c>
      <c r="G40" s="20">
        <v>8937</v>
      </c>
      <c r="H40" s="20">
        <v>3499</v>
      </c>
      <c r="I40" s="20">
        <v>18359</v>
      </c>
      <c r="J40" s="20">
        <v>31511</v>
      </c>
      <c r="K40" s="20">
        <v>5176</v>
      </c>
      <c r="L40" s="20">
        <v>35959</v>
      </c>
      <c r="M40" s="20">
        <v>18059</v>
      </c>
      <c r="N40" s="20">
        <v>74564</v>
      </c>
      <c r="O40" s="20">
        <v>9094</v>
      </c>
      <c r="P40" s="20">
        <v>2745</v>
      </c>
      <c r="Q40" s="20">
        <v>93042</v>
      </c>
      <c r="R40" s="20">
        <v>12382</v>
      </c>
      <c r="S40" s="20">
        <v>2789</v>
      </c>
      <c r="T40" s="20">
        <v>17018</v>
      </c>
      <c r="U40" s="20">
        <v>3667</v>
      </c>
      <c r="V40" s="20">
        <v>60221</v>
      </c>
      <c r="W40" s="20">
        <v>7048</v>
      </c>
      <c r="X40" s="20">
        <v>815</v>
      </c>
      <c r="Y40" s="20">
        <v>53855</v>
      </c>
      <c r="Z40" s="20">
        <v>177103</v>
      </c>
      <c r="AA40" s="20">
        <v>2624</v>
      </c>
      <c r="AB40" s="20">
        <v>5553</v>
      </c>
      <c r="AC40" s="18"/>
      <c r="AD40" s="52">
        <f t="shared" si="10"/>
        <v>673149</v>
      </c>
    </row>
    <row r="41" spans="1:61">
      <c r="A41" s="61" t="s">
        <v>107</v>
      </c>
      <c r="B41" s="20">
        <v>27270</v>
      </c>
      <c r="C41" s="20">
        <v>56489</v>
      </c>
      <c r="D41" s="20">
        <v>22371</v>
      </c>
      <c r="E41" s="20">
        <v>88649</v>
      </c>
      <c r="F41" s="20">
        <v>368034</v>
      </c>
      <c r="G41" s="20">
        <v>197885</v>
      </c>
      <c r="H41" s="20">
        <v>128729</v>
      </c>
      <c r="I41" s="20">
        <v>173552</v>
      </c>
      <c r="J41" s="20">
        <v>364933</v>
      </c>
      <c r="K41" s="20">
        <v>122636</v>
      </c>
      <c r="L41" s="20">
        <v>230562</v>
      </c>
      <c r="M41" s="20">
        <v>165465</v>
      </c>
      <c r="N41" s="20">
        <v>957113</v>
      </c>
      <c r="O41" s="20">
        <v>153892</v>
      </c>
      <c r="P41" s="20">
        <v>84592</v>
      </c>
      <c r="Q41" s="20">
        <v>675339</v>
      </c>
      <c r="R41" s="20">
        <v>186933</v>
      </c>
      <c r="S41" s="20">
        <v>92542</v>
      </c>
      <c r="T41" s="20">
        <v>351791</v>
      </c>
      <c r="U41" s="20">
        <v>89633</v>
      </c>
      <c r="V41" s="20">
        <v>547697</v>
      </c>
      <c r="W41" s="20">
        <v>96944</v>
      </c>
      <c r="X41" s="20">
        <v>28197</v>
      </c>
      <c r="Y41" s="20">
        <v>406640</v>
      </c>
      <c r="Z41" s="20">
        <v>2003763</v>
      </c>
      <c r="AA41" s="20">
        <v>44264</v>
      </c>
      <c r="AB41" s="20">
        <v>67529</v>
      </c>
      <c r="AC41" s="18"/>
      <c r="AD41" s="52">
        <f t="shared" si="10"/>
        <v>7733444</v>
      </c>
    </row>
    <row r="42" spans="1:61">
      <c r="A42" s="61" t="s">
        <v>108</v>
      </c>
      <c r="B42" s="20">
        <v>4362</v>
      </c>
      <c r="C42" s="20">
        <v>22297</v>
      </c>
      <c r="D42" s="20">
        <v>4614</v>
      </c>
      <c r="E42" s="20">
        <v>27584</v>
      </c>
      <c r="F42" s="20">
        <v>122307</v>
      </c>
      <c r="G42" s="20">
        <v>62715</v>
      </c>
      <c r="H42" s="20">
        <v>89431</v>
      </c>
      <c r="I42" s="20">
        <v>60426</v>
      </c>
      <c r="J42" s="20">
        <v>102532</v>
      </c>
      <c r="K42" s="20">
        <v>24862</v>
      </c>
      <c r="L42" s="20">
        <v>45675</v>
      </c>
      <c r="M42" s="20">
        <v>42249</v>
      </c>
      <c r="N42" s="20">
        <v>350275</v>
      </c>
      <c r="O42" s="20">
        <v>40785</v>
      </c>
      <c r="P42" s="20">
        <v>28932</v>
      </c>
      <c r="Q42" s="20">
        <v>251925</v>
      </c>
      <c r="R42" s="20">
        <v>94412</v>
      </c>
      <c r="S42" s="20">
        <v>18076</v>
      </c>
      <c r="T42" s="20">
        <v>308379</v>
      </c>
      <c r="U42" s="20">
        <v>31187</v>
      </c>
      <c r="V42" s="20">
        <v>277236</v>
      </c>
      <c r="W42" s="20">
        <v>13450</v>
      </c>
      <c r="X42" s="20">
        <v>5197</v>
      </c>
      <c r="Y42" s="20">
        <v>195850</v>
      </c>
      <c r="Z42" s="20">
        <v>1261879</v>
      </c>
      <c r="AA42" s="20">
        <v>16877</v>
      </c>
      <c r="AB42" s="20">
        <v>11327</v>
      </c>
      <c r="AC42" s="18"/>
      <c r="AD42" s="52">
        <f t="shared" si="10"/>
        <v>3514841</v>
      </c>
    </row>
    <row r="43" spans="1:61">
      <c r="A43" s="61" t="s">
        <v>109</v>
      </c>
      <c r="B43" s="20">
        <v>369</v>
      </c>
      <c r="C43" s="20">
        <v>6899</v>
      </c>
      <c r="D43" s="20">
        <v>458</v>
      </c>
      <c r="E43" s="20">
        <v>3499</v>
      </c>
      <c r="F43" s="20">
        <v>29774</v>
      </c>
      <c r="G43" s="20">
        <v>12563</v>
      </c>
      <c r="H43" s="20">
        <v>6028</v>
      </c>
      <c r="I43" s="20">
        <v>8409</v>
      </c>
      <c r="J43" s="20">
        <v>10163</v>
      </c>
      <c r="K43" s="20">
        <v>5103</v>
      </c>
      <c r="L43" s="20">
        <v>3772</v>
      </c>
      <c r="M43" s="20">
        <v>4070</v>
      </c>
      <c r="N43" s="20">
        <v>47597</v>
      </c>
      <c r="O43" s="20">
        <v>6779</v>
      </c>
      <c r="P43" s="20">
        <v>4899</v>
      </c>
      <c r="Q43" s="20">
        <v>23311</v>
      </c>
      <c r="R43" s="20">
        <v>19114</v>
      </c>
      <c r="S43" s="20">
        <v>4216</v>
      </c>
      <c r="T43" s="20">
        <v>39094</v>
      </c>
      <c r="U43" s="20">
        <v>5242</v>
      </c>
      <c r="V43" s="20">
        <v>21524</v>
      </c>
      <c r="W43" s="20">
        <v>1314</v>
      </c>
      <c r="X43" s="20">
        <v>722</v>
      </c>
      <c r="Y43" s="20">
        <v>12338</v>
      </c>
      <c r="Z43" s="20">
        <v>122722</v>
      </c>
      <c r="AA43" s="20">
        <v>3444</v>
      </c>
      <c r="AB43" s="20">
        <v>1626</v>
      </c>
      <c r="AC43" s="18"/>
      <c r="AD43" s="52">
        <f t="shared" si="10"/>
        <v>405049</v>
      </c>
    </row>
    <row r="44" spans="1:61">
      <c r="A44" s="61" t="s">
        <v>110</v>
      </c>
      <c r="B44" s="20">
        <v>120521</v>
      </c>
      <c r="C44" s="20">
        <v>297900</v>
      </c>
      <c r="D44" s="20">
        <v>65945</v>
      </c>
      <c r="E44" s="20">
        <v>264334</v>
      </c>
      <c r="F44" s="20">
        <v>1320384</v>
      </c>
      <c r="G44" s="20">
        <v>1401050</v>
      </c>
      <c r="H44" s="20">
        <v>194158</v>
      </c>
      <c r="I44" s="20">
        <v>452146</v>
      </c>
      <c r="J44" s="20">
        <v>888121</v>
      </c>
      <c r="K44" s="20">
        <v>873621</v>
      </c>
      <c r="L44" s="20">
        <v>634350</v>
      </c>
      <c r="M44" s="20">
        <v>375387</v>
      </c>
      <c r="N44" s="20">
        <v>2559889</v>
      </c>
      <c r="O44" s="20">
        <v>895313</v>
      </c>
      <c r="P44" s="20">
        <v>500833</v>
      </c>
      <c r="Q44" s="20">
        <v>1181465</v>
      </c>
      <c r="R44" s="20">
        <v>1059886</v>
      </c>
      <c r="S44" s="20">
        <v>567682</v>
      </c>
      <c r="T44" s="20">
        <v>970584</v>
      </c>
      <c r="U44" s="20">
        <v>445523</v>
      </c>
      <c r="V44" s="20">
        <v>1094378</v>
      </c>
      <c r="W44" s="20">
        <v>400134</v>
      </c>
      <c r="X44" s="20">
        <v>80850</v>
      </c>
      <c r="Y44" s="20">
        <v>884598</v>
      </c>
      <c r="Z44" s="20">
        <v>4720067</v>
      </c>
      <c r="AA44" s="20">
        <v>257451</v>
      </c>
      <c r="AB44" s="20">
        <v>236225</v>
      </c>
      <c r="AC44" s="18"/>
      <c r="AD44" s="52">
        <f t="shared" si="10"/>
        <v>22742795</v>
      </c>
    </row>
    <row r="45" spans="1:61">
      <c r="A45" s="59" t="s">
        <v>111</v>
      </c>
      <c r="B45" s="20">
        <v>26684</v>
      </c>
      <c r="C45" s="20">
        <v>41684</v>
      </c>
      <c r="D45" s="20">
        <v>13002</v>
      </c>
      <c r="E45" s="20">
        <v>59686</v>
      </c>
      <c r="F45" s="20">
        <v>199330</v>
      </c>
      <c r="G45" s="20">
        <v>171150</v>
      </c>
      <c r="H45" s="20">
        <v>20358</v>
      </c>
      <c r="I45" s="20">
        <v>110516</v>
      </c>
      <c r="J45" s="20">
        <v>284039</v>
      </c>
      <c r="K45" s="20">
        <v>163753</v>
      </c>
      <c r="L45" s="20">
        <v>235547</v>
      </c>
      <c r="M45" s="20">
        <v>113305</v>
      </c>
      <c r="N45" s="20">
        <v>298687</v>
      </c>
      <c r="O45" s="20">
        <v>197439</v>
      </c>
      <c r="P45" s="20">
        <v>69503</v>
      </c>
      <c r="Q45" s="20">
        <v>303246</v>
      </c>
      <c r="R45" s="20">
        <v>112552</v>
      </c>
      <c r="S45" s="20">
        <v>101179</v>
      </c>
      <c r="T45" s="20">
        <v>174196</v>
      </c>
      <c r="U45" s="20">
        <v>63482</v>
      </c>
      <c r="V45" s="20">
        <v>193097</v>
      </c>
      <c r="W45" s="20">
        <v>124717</v>
      </c>
      <c r="X45" s="20">
        <v>20563</v>
      </c>
      <c r="Y45" s="20">
        <v>279093</v>
      </c>
      <c r="Z45" s="20">
        <v>935307</v>
      </c>
      <c r="AA45" s="20">
        <v>45480</v>
      </c>
      <c r="AB45" s="20">
        <v>97091</v>
      </c>
      <c r="AC45" s="18"/>
      <c r="AD45" s="52">
        <f t="shared" si="10"/>
        <v>4454686</v>
      </c>
    </row>
    <row r="46" spans="1:61">
      <c r="A46" s="59" t="s">
        <v>112</v>
      </c>
      <c r="B46" s="20">
        <v>1194</v>
      </c>
      <c r="C46" s="20">
        <v>7971</v>
      </c>
      <c r="D46" s="20">
        <v>1230</v>
      </c>
      <c r="E46" s="20">
        <v>9073</v>
      </c>
      <c r="F46" s="20">
        <v>40562</v>
      </c>
      <c r="G46" s="20">
        <v>18053</v>
      </c>
      <c r="H46" s="20">
        <v>12819</v>
      </c>
      <c r="I46" s="20">
        <v>14957</v>
      </c>
      <c r="J46" s="20">
        <v>23437</v>
      </c>
      <c r="K46" s="20">
        <v>9442</v>
      </c>
      <c r="L46" s="20">
        <v>12264</v>
      </c>
      <c r="M46" s="20">
        <v>9825</v>
      </c>
      <c r="N46" s="20">
        <v>79662</v>
      </c>
      <c r="O46" s="20">
        <v>18847</v>
      </c>
      <c r="P46" s="20">
        <v>7589</v>
      </c>
      <c r="Q46" s="20">
        <v>44851</v>
      </c>
      <c r="R46" s="20">
        <v>20458</v>
      </c>
      <c r="S46" s="20">
        <v>8064</v>
      </c>
      <c r="T46" s="20">
        <v>44842</v>
      </c>
      <c r="U46" s="20">
        <v>7387</v>
      </c>
      <c r="V46" s="20">
        <v>41823</v>
      </c>
      <c r="W46" s="20">
        <v>6246</v>
      </c>
      <c r="X46" s="20">
        <v>1156</v>
      </c>
      <c r="Y46" s="20">
        <v>20107</v>
      </c>
      <c r="Z46" s="20">
        <v>161706</v>
      </c>
      <c r="AA46" s="20">
        <v>7283</v>
      </c>
      <c r="AB46" s="20">
        <v>5559</v>
      </c>
      <c r="AC46" s="18"/>
      <c r="AD46" s="52">
        <f t="shared" si="10"/>
        <v>636407</v>
      </c>
    </row>
    <row r="47" spans="1:61">
      <c r="A47" s="59" t="s">
        <v>113</v>
      </c>
      <c r="B47" s="20">
        <v>1341</v>
      </c>
      <c r="C47" s="20">
        <v>6485</v>
      </c>
      <c r="D47" s="20">
        <v>1053</v>
      </c>
      <c r="E47" s="20">
        <v>5488</v>
      </c>
      <c r="F47" s="20">
        <v>32208</v>
      </c>
      <c r="G47" s="20">
        <v>35089</v>
      </c>
      <c r="H47" s="20">
        <v>29793</v>
      </c>
      <c r="I47" s="20">
        <v>20526</v>
      </c>
      <c r="J47" s="20">
        <v>28165</v>
      </c>
      <c r="K47" s="20">
        <v>10966</v>
      </c>
      <c r="L47" s="20">
        <v>16829</v>
      </c>
      <c r="M47" s="20">
        <v>13954</v>
      </c>
      <c r="N47" s="20">
        <v>79432</v>
      </c>
      <c r="O47" s="20">
        <v>14240</v>
      </c>
      <c r="P47" s="20">
        <v>11856</v>
      </c>
      <c r="Q47" s="20">
        <v>66521</v>
      </c>
      <c r="R47" s="20">
        <v>22164</v>
      </c>
      <c r="S47" s="20">
        <v>7994</v>
      </c>
      <c r="T47" s="20">
        <v>65963</v>
      </c>
      <c r="U47" s="20">
        <v>17899</v>
      </c>
      <c r="V47" s="20">
        <v>66908</v>
      </c>
      <c r="W47" s="20">
        <v>4215</v>
      </c>
      <c r="X47" s="20">
        <v>1358</v>
      </c>
      <c r="Y47" s="20">
        <v>68119</v>
      </c>
      <c r="Z47" s="20">
        <v>302987</v>
      </c>
      <c r="AA47" s="20">
        <v>5140</v>
      </c>
      <c r="AB47" s="20">
        <v>4033</v>
      </c>
      <c r="AC47" s="18"/>
      <c r="AD47" s="52">
        <f t="shared" si="10"/>
        <v>940726</v>
      </c>
    </row>
    <row r="48" spans="1:61">
      <c r="A48" s="60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8"/>
      <c r="AD48" s="56"/>
    </row>
    <row r="49" spans="1:62">
      <c r="A49" s="59" t="s">
        <v>80</v>
      </c>
      <c r="B49" s="52">
        <f>SUM(B38:B47)</f>
        <v>279034</v>
      </c>
      <c r="C49" s="52">
        <f t="shared" ref="C49:AB49" si="11">SUM(C38:C47)</f>
        <v>828273</v>
      </c>
      <c r="D49" s="52">
        <f t="shared" si="11"/>
        <v>195763</v>
      </c>
      <c r="E49" s="52">
        <f t="shared" si="11"/>
        <v>883872</v>
      </c>
      <c r="F49" s="52">
        <f t="shared" si="11"/>
        <v>4119967</v>
      </c>
      <c r="G49" s="52">
        <f t="shared" si="11"/>
        <v>3147039</v>
      </c>
      <c r="H49" s="52">
        <f t="shared" si="11"/>
        <v>1813208</v>
      </c>
      <c r="I49" s="52">
        <f t="shared" si="11"/>
        <v>1905658</v>
      </c>
      <c r="J49" s="52">
        <f t="shared" si="11"/>
        <v>3722854</v>
      </c>
      <c r="K49" s="52">
        <f t="shared" si="11"/>
        <v>1703546</v>
      </c>
      <c r="L49" s="52">
        <f t="shared" si="11"/>
        <v>2031676</v>
      </c>
      <c r="M49" s="52">
        <f t="shared" si="11"/>
        <v>1543998</v>
      </c>
      <c r="N49" s="52">
        <f t="shared" si="11"/>
        <v>11096861</v>
      </c>
      <c r="O49" s="52">
        <f t="shared" si="11"/>
        <v>2012336</v>
      </c>
      <c r="P49" s="52">
        <f t="shared" si="11"/>
        <v>1279131</v>
      </c>
      <c r="Q49" s="52">
        <f t="shared" si="11"/>
        <v>7405488</v>
      </c>
      <c r="R49" s="52">
        <f t="shared" si="11"/>
        <v>2963632</v>
      </c>
      <c r="S49" s="52">
        <f t="shared" si="11"/>
        <v>1203649</v>
      </c>
      <c r="T49" s="52">
        <f t="shared" si="11"/>
        <v>6689857</v>
      </c>
      <c r="U49" s="52">
        <f t="shared" si="11"/>
        <v>1266587</v>
      </c>
      <c r="V49" s="52">
        <f t="shared" si="11"/>
        <v>6903445</v>
      </c>
      <c r="W49" s="52">
        <f t="shared" si="11"/>
        <v>975673</v>
      </c>
      <c r="X49" s="52">
        <f t="shared" si="11"/>
        <v>219763</v>
      </c>
      <c r="Y49" s="52">
        <f t="shared" si="11"/>
        <v>5060420</v>
      </c>
      <c r="Z49" s="52">
        <f t="shared" si="11"/>
        <v>28864412</v>
      </c>
      <c r="AA49" s="52">
        <f t="shared" si="11"/>
        <v>739536</v>
      </c>
      <c r="AB49" s="52">
        <f t="shared" si="11"/>
        <v>668971</v>
      </c>
      <c r="AC49" s="12"/>
      <c r="AD49" s="54">
        <f>IF((SUM(AD38:AD47)=SUM(B49:AB49)),(SUM(B49:AB49)),"erro")</f>
        <v>99524649</v>
      </c>
    </row>
    <row r="51" spans="1:62">
      <c r="J51" t="s">
        <v>114</v>
      </c>
      <c r="L51" s="17">
        <f>ROUND(AD34/AD49,7)</f>
        <v>1.0021943</v>
      </c>
    </row>
    <row r="54" spans="1:62">
      <c r="A54" s="96" t="s">
        <v>115</v>
      </c>
    </row>
    <row r="55" spans="1:62" s="5" customFormat="1">
      <c r="A55" s="97"/>
      <c r="B55" s="16" t="s">
        <v>53</v>
      </c>
      <c r="C55" s="16" t="s">
        <v>54</v>
      </c>
      <c r="D55" s="16" t="s">
        <v>55</v>
      </c>
      <c r="E55" s="16" t="s">
        <v>56</v>
      </c>
      <c r="F55" s="16" t="s">
        <v>57</v>
      </c>
      <c r="G55" s="16" t="s">
        <v>58</v>
      </c>
      <c r="H55" s="16" t="s">
        <v>59</v>
      </c>
      <c r="I55" s="16" t="s">
        <v>60</v>
      </c>
      <c r="J55" s="16" t="s">
        <v>61</v>
      </c>
      <c r="K55" s="16" t="s">
        <v>62</v>
      </c>
      <c r="L55" s="16" t="s">
        <v>63</v>
      </c>
      <c r="M55" s="16" t="s">
        <v>64</v>
      </c>
      <c r="N55" s="16" t="s">
        <v>65</v>
      </c>
      <c r="O55" s="16" t="s">
        <v>66</v>
      </c>
      <c r="P55" s="16" t="s">
        <v>67</v>
      </c>
      <c r="Q55" s="16" t="s">
        <v>68</v>
      </c>
      <c r="R55" s="16" t="s">
        <v>69</v>
      </c>
      <c r="S55" s="16" t="s">
        <v>70</v>
      </c>
      <c r="T55" s="16" t="s">
        <v>71</v>
      </c>
      <c r="U55" s="16" t="s">
        <v>72</v>
      </c>
      <c r="V55" s="16" t="s">
        <v>73</v>
      </c>
      <c r="W55" s="16" t="s">
        <v>74</v>
      </c>
      <c r="X55" s="16" t="s">
        <v>75</v>
      </c>
      <c r="Y55" s="16" t="s">
        <v>76</v>
      </c>
      <c r="Z55" s="16" t="s">
        <v>77</v>
      </c>
      <c r="AA55" s="16" t="s">
        <v>78</v>
      </c>
      <c r="AB55" s="16" t="s">
        <v>79</v>
      </c>
      <c r="AD55" s="6" t="s">
        <v>80</v>
      </c>
    </row>
    <row r="56" spans="1:62">
      <c r="A56" s="86" t="s">
        <v>104</v>
      </c>
      <c r="B56" s="50">
        <f t="shared" ref="B56:AB56" si="12">ROUND(B38*$L$51,0)</f>
        <v>89269</v>
      </c>
      <c r="C56" s="50">
        <f t="shared" si="12"/>
        <v>364931</v>
      </c>
      <c r="D56" s="50">
        <f t="shared" si="12"/>
        <v>82674</v>
      </c>
      <c r="E56" s="50">
        <f t="shared" si="12"/>
        <v>402942</v>
      </c>
      <c r="F56" s="50">
        <f t="shared" si="12"/>
        <v>1869460</v>
      </c>
      <c r="G56" s="50">
        <f t="shared" si="12"/>
        <v>1167567</v>
      </c>
      <c r="H56" s="50">
        <f t="shared" si="12"/>
        <v>1306979</v>
      </c>
      <c r="I56" s="50">
        <f t="shared" si="12"/>
        <v>974559</v>
      </c>
      <c r="J56" s="50">
        <f t="shared" si="12"/>
        <v>1880464</v>
      </c>
      <c r="K56" s="50">
        <f t="shared" si="12"/>
        <v>446955</v>
      </c>
      <c r="L56" s="50">
        <f t="shared" si="12"/>
        <v>743463</v>
      </c>
      <c r="M56" s="50">
        <f t="shared" si="12"/>
        <v>749226</v>
      </c>
      <c r="N56" s="50">
        <f t="shared" si="12"/>
        <v>6324708</v>
      </c>
      <c r="O56" s="50">
        <f t="shared" si="12"/>
        <v>614535</v>
      </c>
      <c r="P56" s="50">
        <f t="shared" si="12"/>
        <v>540497</v>
      </c>
      <c r="Q56" s="50">
        <f t="shared" si="12"/>
        <v>4500506</v>
      </c>
      <c r="R56" s="50">
        <f t="shared" si="12"/>
        <v>1344757</v>
      </c>
      <c r="S56" s="50">
        <f t="shared" si="12"/>
        <v>371177</v>
      </c>
      <c r="T56" s="50">
        <f t="shared" si="12"/>
        <v>4582520</v>
      </c>
      <c r="U56" s="50">
        <f t="shared" si="12"/>
        <v>568593</v>
      </c>
      <c r="V56" s="50">
        <f t="shared" si="12"/>
        <v>4376593</v>
      </c>
      <c r="W56" s="50">
        <f t="shared" si="12"/>
        <v>290940</v>
      </c>
      <c r="X56" s="50">
        <f t="shared" si="12"/>
        <v>75797</v>
      </c>
      <c r="Y56" s="50">
        <f t="shared" si="12"/>
        <v>2991516</v>
      </c>
      <c r="Z56" s="50">
        <f t="shared" si="12"/>
        <v>18535511</v>
      </c>
      <c r="AA56" s="50">
        <f t="shared" si="12"/>
        <v>335961</v>
      </c>
      <c r="AB56" s="50">
        <f t="shared" si="12"/>
        <v>217930</v>
      </c>
      <c r="AC56" s="51"/>
      <c r="AD56" s="52">
        <f t="shared" ref="AD56:AD65" si="13">SUM(B56:AB56)</f>
        <v>55750030</v>
      </c>
      <c r="AH56" s="7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</row>
    <row r="57" spans="1:62" s="14" customFormat="1">
      <c r="A57" s="86" t="s">
        <v>105</v>
      </c>
      <c r="B57" s="50">
        <f t="shared" ref="B57:AB57" si="14">ROUND(B39*$L$51,0)</f>
        <v>7295</v>
      </c>
      <c r="C57" s="50">
        <f t="shared" si="14"/>
        <v>21919</v>
      </c>
      <c r="D57" s="50">
        <f t="shared" si="14"/>
        <v>4229</v>
      </c>
      <c r="E57" s="50">
        <f t="shared" si="14"/>
        <v>20258</v>
      </c>
      <c r="F57" s="50">
        <f t="shared" si="14"/>
        <v>120282</v>
      </c>
      <c r="G57" s="50">
        <f t="shared" si="14"/>
        <v>74750</v>
      </c>
      <c r="H57" s="50">
        <f t="shared" si="14"/>
        <v>24329</v>
      </c>
      <c r="I57" s="50">
        <f t="shared" si="14"/>
        <v>74505</v>
      </c>
      <c r="J57" s="50">
        <f t="shared" si="14"/>
        <v>113855</v>
      </c>
      <c r="K57" s="50">
        <f t="shared" si="14"/>
        <v>42103</v>
      </c>
      <c r="L57" s="50">
        <f t="shared" si="14"/>
        <v>75047</v>
      </c>
      <c r="M57" s="50">
        <f t="shared" si="14"/>
        <v>54217</v>
      </c>
      <c r="N57" s="50">
        <f t="shared" si="14"/>
        <v>339525</v>
      </c>
      <c r="O57" s="50">
        <f t="shared" si="14"/>
        <v>62896</v>
      </c>
      <c r="P57" s="50">
        <f t="shared" si="14"/>
        <v>28931</v>
      </c>
      <c r="Q57" s="50">
        <f t="shared" si="14"/>
        <v>275740</v>
      </c>
      <c r="R57" s="50">
        <f t="shared" si="14"/>
        <v>94124</v>
      </c>
      <c r="S57" s="50">
        <f t="shared" si="14"/>
        <v>30810</v>
      </c>
      <c r="T57" s="50">
        <f t="shared" si="14"/>
        <v>145822</v>
      </c>
      <c r="U57" s="50">
        <f t="shared" si="14"/>
        <v>35296</v>
      </c>
      <c r="V57" s="50">
        <f t="shared" si="14"/>
        <v>234063</v>
      </c>
      <c r="W57" s="50">
        <f t="shared" si="14"/>
        <v>31371</v>
      </c>
      <c r="X57" s="50">
        <f t="shared" si="14"/>
        <v>5286</v>
      </c>
      <c r="Y57" s="50">
        <f t="shared" si="14"/>
        <v>155194</v>
      </c>
      <c r="Z57" s="50">
        <f t="shared" si="14"/>
        <v>685451</v>
      </c>
      <c r="AA57" s="50">
        <f t="shared" si="14"/>
        <v>21796</v>
      </c>
      <c r="AB57" s="50">
        <f t="shared" si="14"/>
        <v>22625</v>
      </c>
      <c r="AC57" s="57"/>
      <c r="AD57" s="52">
        <f t="shared" si="13"/>
        <v>2801719</v>
      </c>
      <c r="AH57" s="15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</row>
    <row r="58" spans="1:62" s="14" customFormat="1">
      <c r="A58" s="86" t="s">
        <v>106</v>
      </c>
      <c r="B58" s="50">
        <f t="shared" ref="B58:AB58" si="15">ROUND(B40*$L$51,0)</f>
        <v>942</v>
      </c>
      <c r="C58" s="50">
        <f t="shared" si="15"/>
        <v>2551</v>
      </c>
      <c r="D58" s="50">
        <f t="shared" si="15"/>
        <v>378</v>
      </c>
      <c r="E58" s="50">
        <f t="shared" si="15"/>
        <v>3292</v>
      </c>
      <c r="F58" s="50">
        <f t="shared" si="15"/>
        <v>22030</v>
      </c>
      <c r="G58" s="50">
        <f t="shared" si="15"/>
        <v>8957</v>
      </c>
      <c r="H58" s="50">
        <f t="shared" si="15"/>
        <v>3507</v>
      </c>
      <c r="I58" s="50">
        <f t="shared" si="15"/>
        <v>18399</v>
      </c>
      <c r="J58" s="50">
        <f t="shared" si="15"/>
        <v>31580</v>
      </c>
      <c r="K58" s="50">
        <f t="shared" si="15"/>
        <v>5187</v>
      </c>
      <c r="L58" s="50">
        <f t="shared" si="15"/>
        <v>36038</v>
      </c>
      <c r="M58" s="50">
        <f t="shared" si="15"/>
        <v>18099</v>
      </c>
      <c r="N58" s="50">
        <f t="shared" si="15"/>
        <v>74728</v>
      </c>
      <c r="O58" s="50">
        <f t="shared" si="15"/>
        <v>9114</v>
      </c>
      <c r="P58" s="50">
        <f t="shared" si="15"/>
        <v>2751</v>
      </c>
      <c r="Q58" s="50">
        <f t="shared" si="15"/>
        <v>93246</v>
      </c>
      <c r="R58" s="50">
        <f t="shared" si="15"/>
        <v>12409</v>
      </c>
      <c r="S58" s="50">
        <f t="shared" si="15"/>
        <v>2795</v>
      </c>
      <c r="T58" s="50">
        <f t="shared" si="15"/>
        <v>17055</v>
      </c>
      <c r="U58" s="50">
        <f t="shared" si="15"/>
        <v>3675</v>
      </c>
      <c r="V58" s="50">
        <f t="shared" si="15"/>
        <v>60353</v>
      </c>
      <c r="W58" s="50">
        <f t="shared" si="15"/>
        <v>7063</v>
      </c>
      <c r="X58" s="50">
        <f t="shared" si="15"/>
        <v>817</v>
      </c>
      <c r="Y58" s="50">
        <f t="shared" si="15"/>
        <v>53973</v>
      </c>
      <c r="Z58" s="50">
        <f t="shared" si="15"/>
        <v>177492</v>
      </c>
      <c r="AA58" s="50">
        <f t="shared" si="15"/>
        <v>2630</v>
      </c>
      <c r="AB58" s="50">
        <f t="shared" si="15"/>
        <v>5565</v>
      </c>
      <c r="AC58" s="57"/>
      <c r="AD58" s="52">
        <f t="shared" si="13"/>
        <v>674626</v>
      </c>
      <c r="AH58" s="15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</row>
    <row r="59" spans="1:62">
      <c r="A59" s="86" t="s">
        <v>107</v>
      </c>
      <c r="B59" s="50">
        <f t="shared" ref="B59:AB59" si="16">ROUND(B41*$L$51,0)</f>
        <v>27330</v>
      </c>
      <c r="C59" s="50">
        <f t="shared" si="16"/>
        <v>56613</v>
      </c>
      <c r="D59" s="50">
        <f t="shared" si="16"/>
        <v>22420</v>
      </c>
      <c r="E59" s="50">
        <f t="shared" si="16"/>
        <v>88844</v>
      </c>
      <c r="F59" s="50">
        <f t="shared" si="16"/>
        <v>368842</v>
      </c>
      <c r="G59" s="50">
        <f t="shared" si="16"/>
        <v>198319</v>
      </c>
      <c r="H59" s="50">
        <f t="shared" si="16"/>
        <v>129011</v>
      </c>
      <c r="I59" s="50">
        <f t="shared" si="16"/>
        <v>173933</v>
      </c>
      <c r="J59" s="50">
        <f t="shared" si="16"/>
        <v>365734</v>
      </c>
      <c r="K59" s="50">
        <f t="shared" si="16"/>
        <v>122905</v>
      </c>
      <c r="L59" s="50">
        <f t="shared" si="16"/>
        <v>231068</v>
      </c>
      <c r="M59" s="50">
        <f t="shared" si="16"/>
        <v>165828</v>
      </c>
      <c r="N59" s="50">
        <f t="shared" si="16"/>
        <v>959213</v>
      </c>
      <c r="O59" s="50">
        <f t="shared" si="16"/>
        <v>154230</v>
      </c>
      <c r="P59" s="50">
        <f t="shared" si="16"/>
        <v>84778</v>
      </c>
      <c r="Q59" s="50">
        <f t="shared" si="16"/>
        <v>676821</v>
      </c>
      <c r="R59" s="50">
        <f t="shared" si="16"/>
        <v>187343</v>
      </c>
      <c r="S59" s="50">
        <f t="shared" si="16"/>
        <v>92745</v>
      </c>
      <c r="T59" s="50">
        <f t="shared" si="16"/>
        <v>352563</v>
      </c>
      <c r="U59" s="50">
        <f t="shared" si="16"/>
        <v>89830</v>
      </c>
      <c r="V59" s="50">
        <f t="shared" si="16"/>
        <v>548899</v>
      </c>
      <c r="W59" s="50">
        <f t="shared" si="16"/>
        <v>97157</v>
      </c>
      <c r="X59" s="50">
        <f t="shared" si="16"/>
        <v>28259</v>
      </c>
      <c r="Y59" s="50">
        <f t="shared" si="16"/>
        <v>407532</v>
      </c>
      <c r="Z59" s="50">
        <f t="shared" si="16"/>
        <v>2008160</v>
      </c>
      <c r="AA59" s="50">
        <f t="shared" si="16"/>
        <v>44361</v>
      </c>
      <c r="AB59" s="50">
        <f t="shared" si="16"/>
        <v>67677</v>
      </c>
      <c r="AC59" s="51"/>
      <c r="AD59" s="52">
        <f t="shared" si="13"/>
        <v>7750415</v>
      </c>
      <c r="AH59" s="7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</row>
    <row r="60" spans="1:62">
      <c r="A60" s="86" t="s">
        <v>108</v>
      </c>
      <c r="B60" s="50">
        <f t="shared" ref="B60:AB60" si="17">ROUND(B42*$L$51,0)</f>
        <v>4372</v>
      </c>
      <c r="C60" s="50">
        <f t="shared" si="17"/>
        <v>22346</v>
      </c>
      <c r="D60" s="50">
        <f t="shared" si="17"/>
        <v>4624</v>
      </c>
      <c r="E60" s="50">
        <f t="shared" si="17"/>
        <v>27645</v>
      </c>
      <c r="F60" s="50">
        <f t="shared" si="17"/>
        <v>122575</v>
      </c>
      <c r="G60" s="50">
        <f t="shared" si="17"/>
        <v>62853</v>
      </c>
      <c r="H60" s="50">
        <f t="shared" si="17"/>
        <v>89627</v>
      </c>
      <c r="I60" s="50">
        <f t="shared" si="17"/>
        <v>60559</v>
      </c>
      <c r="J60" s="50">
        <f t="shared" si="17"/>
        <v>102757</v>
      </c>
      <c r="K60" s="50">
        <f t="shared" si="17"/>
        <v>24917</v>
      </c>
      <c r="L60" s="50">
        <f t="shared" si="17"/>
        <v>45775</v>
      </c>
      <c r="M60" s="50">
        <f t="shared" si="17"/>
        <v>42342</v>
      </c>
      <c r="N60" s="50">
        <f t="shared" si="17"/>
        <v>351044</v>
      </c>
      <c r="O60" s="50">
        <f t="shared" si="17"/>
        <v>40874</v>
      </c>
      <c r="P60" s="50">
        <f t="shared" si="17"/>
        <v>28995</v>
      </c>
      <c r="Q60" s="50">
        <f t="shared" si="17"/>
        <v>252478</v>
      </c>
      <c r="R60" s="50">
        <f t="shared" si="17"/>
        <v>94619</v>
      </c>
      <c r="S60" s="50">
        <f t="shared" si="17"/>
        <v>18116</v>
      </c>
      <c r="T60" s="50">
        <f t="shared" si="17"/>
        <v>309056</v>
      </c>
      <c r="U60" s="50">
        <f t="shared" si="17"/>
        <v>31255</v>
      </c>
      <c r="V60" s="50">
        <f t="shared" si="17"/>
        <v>277844</v>
      </c>
      <c r="W60" s="50">
        <f t="shared" si="17"/>
        <v>13480</v>
      </c>
      <c r="X60" s="50">
        <f t="shared" si="17"/>
        <v>5208</v>
      </c>
      <c r="Y60" s="50">
        <f t="shared" si="17"/>
        <v>196280</v>
      </c>
      <c r="Z60" s="50">
        <f t="shared" si="17"/>
        <v>1264648</v>
      </c>
      <c r="AA60" s="50">
        <f t="shared" si="17"/>
        <v>16914</v>
      </c>
      <c r="AB60" s="50">
        <f t="shared" si="17"/>
        <v>11352</v>
      </c>
      <c r="AC60" s="51"/>
      <c r="AD60" s="52">
        <f t="shared" si="13"/>
        <v>3522555</v>
      </c>
      <c r="AH60" s="7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</row>
    <row r="61" spans="1:62" s="14" customFormat="1">
      <c r="A61" s="86" t="s">
        <v>109</v>
      </c>
      <c r="B61" s="50">
        <f t="shared" ref="B61:AB61" si="18">ROUND(B43*$L$51,0)</f>
        <v>370</v>
      </c>
      <c r="C61" s="50">
        <f t="shared" si="18"/>
        <v>6914</v>
      </c>
      <c r="D61" s="50">
        <f t="shared" si="18"/>
        <v>459</v>
      </c>
      <c r="E61" s="50">
        <f t="shared" si="18"/>
        <v>3507</v>
      </c>
      <c r="F61" s="50">
        <f t="shared" si="18"/>
        <v>29839</v>
      </c>
      <c r="G61" s="50">
        <f t="shared" si="18"/>
        <v>12591</v>
      </c>
      <c r="H61" s="50">
        <f t="shared" si="18"/>
        <v>6041</v>
      </c>
      <c r="I61" s="50">
        <f t="shared" si="18"/>
        <v>8427</v>
      </c>
      <c r="J61" s="50">
        <f t="shared" si="18"/>
        <v>10185</v>
      </c>
      <c r="K61" s="50">
        <f t="shared" si="18"/>
        <v>5114</v>
      </c>
      <c r="L61" s="50">
        <f t="shared" si="18"/>
        <v>3780</v>
      </c>
      <c r="M61" s="50">
        <f t="shared" si="18"/>
        <v>4079</v>
      </c>
      <c r="N61" s="50">
        <f t="shared" si="18"/>
        <v>47701</v>
      </c>
      <c r="O61" s="50">
        <f t="shared" si="18"/>
        <v>6794</v>
      </c>
      <c r="P61" s="50">
        <f t="shared" si="18"/>
        <v>4910</v>
      </c>
      <c r="Q61" s="50">
        <f t="shared" si="18"/>
        <v>23362</v>
      </c>
      <c r="R61" s="50">
        <f t="shared" si="18"/>
        <v>19156</v>
      </c>
      <c r="S61" s="50">
        <f t="shared" si="18"/>
        <v>4225</v>
      </c>
      <c r="T61" s="50">
        <f t="shared" si="18"/>
        <v>39180</v>
      </c>
      <c r="U61" s="50">
        <f t="shared" si="18"/>
        <v>5254</v>
      </c>
      <c r="V61" s="50">
        <f t="shared" si="18"/>
        <v>21571</v>
      </c>
      <c r="W61" s="50">
        <f t="shared" si="18"/>
        <v>1317</v>
      </c>
      <c r="X61" s="50">
        <f t="shared" si="18"/>
        <v>724</v>
      </c>
      <c r="Y61" s="50">
        <f t="shared" si="18"/>
        <v>12365</v>
      </c>
      <c r="Z61" s="50">
        <f t="shared" si="18"/>
        <v>122991</v>
      </c>
      <c r="AA61" s="50">
        <f t="shared" si="18"/>
        <v>3452</v>
      </c>
      <c r="AB61" s="50">
        <f t="shared" si="18"/>
        <v>1630</v>
      </c>
      <c r="AC61" s="57"/>
      <c r="AD61" s="52">
        <f t="shared" si="13"/>
        <v>405938</v>
      </c>
      <c r="AH61" s="15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</row>
    <row r="62" spans="1:62" s="14" customFormat="1">
      <c r="A62" s="86" t="s">
        <v>110</v>
      </c>
      <c r="B62" s="50">
        <f t="shared" ref="B62:AB62" si="19">ROUND(B44*$L$51,0)</f>
        <v>120785</v>
      </c>
      <c r="C62" s="50">
        <f t="shared" si="19"/>
        <v>298554</v>
      </c>
      <c r="D62" s="50">
        <f t="shared" si="19"/>
        <v>66090</v>
      </c>
      <c r="E62" s="50">
        <f t="shared" si="19"/>
        <v>264914</v>
      </c>
      <c r="F62" s="50">
        <f t="shared" si="19"/>
        <v>1323281</v>
      </c>
      <c r="G62" s="50">
        <f t="shared" si="19"/>
        <v>1404124</v>
      </c>
      <c r="H62" s="50">
        <f t="shared" si="19"/>
        <v>194584</v>
      </c>
      <c r="I62" s="50">
        <f t="shared" si="19"/>
        <v>453138</v>
      </c>
      <c r="J62" s="50">
        <f t="shared" si="19"/>
        <v>890070</v>
      </c>
      <c r="K62" s="50">
        <f t="shared" si="19"/>
        <v>875538</v>
      </c>
      <c r="L62" s="50">
        <f t="shared" si="19"/>
        <v>635742</v>
      </c>
      <c r="M62" s="50">
        <f t="shared" si="19"/>
        <v>376211</v>
      </c>
      <c r="N62" s="50">
        <f t="shared" si="19"/>
        <v>2565506</v>
      </c>
      <c r="O62" s="50">
        <f t="shared" si="19"/>
        <v>897278</v>
      </c>
      <c r="P62" s="50">
        <f t="shared" si="19"/>
        <v>501932</v>
      </c>
      <c r="Q62" s="50">
        <f t="shared" si="19"/>
        <v>1184057</v>
      </c>
      <c r="R62" s="50">
        <f t="shared" si="19"/>
        <v>1062212</v>
      </c>
      <c r="S62" s="50">
        <f t="shared" si="19"/>
        <v>568928</v>
      </c>
      <c r="T62" s="50">
        <f t="shared" si="19"/>
        <v>972714</v>
      </c>
      <c r="U62" s="50">
        <f t="shared" si="19"/>
        <v>446501</v>
      </c>
      <c r="V62" s="50">
        <f t="shared" si="19"/>
        <v>1096779</v>
      </c>
      <c r="W62" s="50">
        <f t="shared" si="19"/>
        <v>401012</v>
      </c>
      <c r="X62" s="50">
        <f t="shared" si="19"/>
        <v>81027</v>
      </c>
      <c r="Y62" s="50">
        <f t="shared" si="19"/>
        <v>886539</v>
      </c>
      <c r="Z62" s="50">
        <f t="shared" si="19"/>
        <v>4730424</v>
      </c>
      <c r="AA62" s="50">
        <f t="shared" si="19"/>
        <v>258016</v>
      </c>
      <c r="AB62" s="50">
        <f t="shared" si="19"/>
        <v>236743</v>
      </c>
      <c r="AC62" s="57"/>
      <c r="AD62" s="52">
        <f t="shared" si="13"/>
        <v>22792699</v>
      </c>
      <c r="AH62" s="15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</row>
    <row r="63" spans="1:62" s="14" customFormat="1">
      <c r="A63" s="86" t="s">
        <v>111</v>
      </c>
      <c r="B63" s="50">
        <f t="shared" ref="B63:AB63" si="20">ROUND(B45*$L$51,0)</f>
        <v>26743</v>
      </c>
      <c r="C63" s="50">
        <f t="shared" si="20"/>
        <v>41775</v>
      </c>
      <c r="D63" s="50">
        <f t="shared" si="20"/>
        <v>13031</v>
      </c>
      <c r="E63" s="50">
        <f t="shared" si="20"/>
        <v>59817</v>
      </c>
      <c r="F63" s="50">
        <f t="shared" si="20"/>
        <v>199767</v>
      </c>
      <c r="G63" s="50">
        <f t="shared" si="20"/>
        <v>171526</v>
      </c>
      <c r="H63" s="50">
        <f t="shared" si="20"/>
        <v>20403</v>
      </c>
      <c r="I63" s="50">
        <f t="shared" si="20"/>
        <v>110759</v>
      </c>
      <c r="J63" s="50">
        <f t="shared" si="20"/>
        <v>284662</v>
      </c>
      <c r="K63" s="50">
        <f t="shared" si="20"/>
        <v>164112</v>
      </c>
      <c r="L63" s="50">
        <f t="shared" si="20"/>
        <v>236064</v>
      </c>
      <c r="M63" s="50">
        <f t="shared" si="20"/>
        <v>113554</v>
      </c>
      <c r="N63" s="50">
        <f t="shared" si="20"/>
        <v>299342</v>
      </c>
      <c r="O63" s="50">
        <f t="shared" si="20"/>
        <v>197872</v>
      </c>
      <c r="P63" s="50">
        <f t="shared" si="20"/>
        <v>69656</v>
      </c>
      <c r="Q63" s="50">
        <f t="shared" si="20"/>
        <v>303911</v>
      </c>
      <c r="R63" s="50">
        <f t="shared" si="20"/>
        <v>112799</v>
      </c>
      <c r="S63" s="50">
        <f t="shared" si="20"/>
        <v>101401</v>
      </c>
      <c r="T63" s="50">
        <f t="shared" si="20"/>
        <v>174578</v>
      </c>
      <c r="U63" s="50">
        <f t="shared" si="20"/>
        <v>63621</v>
      </c>
      <c r="V63" s="50">
        <f t="shared" si="20"/>
        <v>193521</v>
      </c>
      <c r="W63" s="50">
        <f t="shared" si="20"/>
        <v>124991</v>
      </c>
      <c r="X63" s="50">
        <f t="shared" si="20"/>
        <v>20608</v>
      </c>
      <c r="Y63" s="50">
        <f t="shared" si="20"/>
        <v>279705</v>
      </c>
      <c r="Z63" s="50">
        <f t="shared" si="20"/>
        <v>937359</v>
      </c>
      <c r="AA63" s="50">
        <f t="shared" si="20"/>
        <v>45580</v>
      </c>
      <c r="AB63" s="50">
        <f t="shared" si="20"/>
        <v>97304</v>
      </c>
      <c r="AC63" s="57"/>
      <c r="AD63" s="52">
        <f t="shared" si="13"/>
        <v>4464461</v>
      </c>
      <c r="AH63" s="15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</row>
    <row r="64" spans="1:62" s="14" customFormat="1">
      <c r="A64" s="86" t="s">
        <v>112</v>
      </c>
      <c r="B64" s="50">
        <f t="shared" ref="B64:AB64" si="21">ROUND(B46*$L$51,0)</f>
        <v>1197</v>
      </c>
      <c r="C64" s="50">
        <f t="shared" si="21"/>
        <v>7988</v>
      </c>
      <c r="D64" s="50">
        <f t="shared" si="21"/>
        <v>1233</v>
      </c>
      <c r="E64" s="50">
        <f t="shared" si="21"/>
        <v>9093</v>
      </c>
      <c r="F64" s="50">
        <f t="shared" si="21"/>
        <v>40651</v>
      </c>
      <c r="G64" s="50">
        <f t="shared" si="21"/>
        <v>18093</v>
      </c>
      <c r="H64" s="50">
        <f t="shared" si="21"/>
        <v>12847</v>
      </c>
      <c r="I64" s="50">
        <f t="shared" si="21"/>
        <v>14990</v>
      </c>
      <c r="J64" s="50">
        <f t="shared" si="21"/>
        <v>23488</v>
      </c>
      <c r="K64" s="50">
        <f t="shared" si="21"/>
        <v>9463</v>
      </c>
      <c r="L64" s="50">
        <f t="shared" si="21"/>
        <v>12291</v>
      </c>
      <c r="M64" s="50">
        <f t="shared" si="21"/>
        <v>9847</v>
      </c>
      <c r="N64" s="50">
        <f t="shared" si="21"/>
        <v>79837</v>
      </c>
      <c r="O64" s="50">
        <f t="shared" si="21"/>
        <v>18888</v>
      </c>
      <c r="P64" s="50">
        <f t="shared" si="21"/>
        <v>7606</v>
      </c>
      <c r="Q64" s="50">
        <f t="shared" si="21"/>
        <v>44949</v>
      </c>
      <c r="R64" s="50">
        <f t="shared" si="21"/>
        <v>20503</v>
      </c>
      <c r="S64" s="50">
        <f t="shared" si="21"/>
        <v>8082</v>
      </c>
      <c r="T64" s="50">
        <f t="shared" si="21"/>
        <v>44940</v>
      </c>
      <c r="U64" s="50">
        <f t="shared" si="21"/>
        <v>7403</v>
      </c>
      <c r="V64" s="50">
        <f t="shared" si="21"/>
        <v>41915</v>
      </c>
      <c r="W64" s="50">
        <f t="shared" si="21"/>
        <v>6260</v>
      </c>
      <c r="X64" s="50">
        <f t="shared" si="21"/>
        <v>1159</v>
      </c>
      <c r="Y64" s="50">
        <f t="shared" si="21"/>
        <v>20151</v>
      </c>
      <c r="Z64" s="50">
        <f t="shared" si="21"/>
        <v>162061</v>
      </c>
      <c r="AA64" s="50">
        <f t="shared" si="21"/>
        <v>7299</v>
      </c>
      <c r="AB64" s="50">
        <f t="shared" si="21"/>
        <v>5571</v>
      </c>
      <c r="AC64" s="57"/>
      <c r="AD64" s="52">
        <f t="shared" si="13"/>
        <v>637805</v>
      </c>
      <c r="AH64" s="15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</row>
    <row r="65" spans="1:62">
      <c r="A65" s="86" t="s">
        <v>113</v>
      </c>
      <c r="B65" s="50">
        <f t="shared" ref="B65:AB65" si="22">ROUND(B47*$L$51,0)</f>
        <v>1344</v>
      </c>
      <c r="C65" s="50">
        <f t="shared" si="22"/>
        <v>6499</v>
      </c>
      <c r="D65" s="50">
        <f t="shared" si="22"/>
        <v>1055</v>
      </c>
      <c r="E65" s="50">
        <f t="shared" si="22"/>
        <v>5500</v>
      </c>
      <c r="F65" s="50">
        <f t="shared" si="22"/>
        <v>32279</v>
      </c>
      <c r="G65" s="50">
        <f t="shared" si="22"/>
        <v>35166</v>
      </c>
      <c r="H65" s="50">
        <f t="shared" si="22"/>
        <v>29858</v>
      </c>
      <c r="I65" s="50">
        <f t="shared" si="22"/>
        <v>20571</v>
      </c>
      <c r="J65" s="50">
        <f t="shared" si="22"/>
        <v>28227</v>
      </c>
      <c r="K65" s="50">
        <f t="shared" si="22"/>
        <v>10990</v>
      </c>
      <c r="L65" s="50">
        <f t="shared" si="22"/>
        <v>16866</v>
      </c>
      <c r="M65" s="50">
        <f t="shared" si="22"/>
        <v>13985</v>
      </c>
      <c r="N65" s="50">
        <f t="shared" si="22"/>
        <v>79606</v>
      </c>
      <c r="O65" s="50">
        <f t="shared" si="22"/>
        <v>14271</v>
      </c>
      <c r="P65" s="50">
        <f t="shared" si="22"/>
        <v>11882</v>
      </c>
      <c r="Q65" s="50">
        <f t="shared" si="22"/>
        <v>66667</v>
      </c>
      <c r="R65" s="50">
        <f t="shared" si="22"/>
        <v>22213</v>
      </c>
      <c r="S65" s="50">
        <f t="shared" si="22"/>
        <v>8012</v>
      </c>
      <c r="T65" s="50">
        <f t="shared" si="22"/>
        <v>66108</v>
      </c>
      <c r="U65" s="50">
        <f t="shared" si="22"/>
        <v>17938</v>
      </c>
      <c r="V65" s="50">
        <f t="shared" si="22"/>
        <v>67055</v>
      </c>
      <c r="W65" s="50">
        <f t="shared" si="22"/>
        <v>4224</v>
      </c>
      <c r="X65" s="50">
        <f t="shared" si="22"/>
        <v>1361</v>
      </c>
      <c r="Y65" s="50">
        <f t="shared" si="22"/>
        <v>68268</v>
      </c>
      <c r="Z65" s="50">
        <f t="shared" si="22"/>
        <v>303652</v>
      </c>
      <c r="AA65" s="50">
        <f t="shared" si="22"/>
        <v>5151</v>
      </c>
      <c r="AB65" s="50">
        <f t="shared" si="22"/>
        <v>4042</v>
      </c>
      <c r="AC65" s="51"/>
      <c r="AD65" s="52">
        <f t="shared" si="13"/>
        <v>942790</v>
      </c>
      <c r="AH65" s="7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</row>
    <row r="66" spans="1:62">
      <c r="A66" s="60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3"/>
      <c r="AH66" s="7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</row>
    <row r="67" spans="1:62" s="5" customFormat="1">
      <c r="A67" s="59" t="s">
        <v>80</v>
      </c>
      <c r="B67" s="52">
        <f t="shared" ref="B67:AB67" si="23">SUM(B56:B65)</f>
        <v>279647</v>
      </c>
      <c r="C67" s="52">
        <f t="shared" si="23"/>
        <v>830090</v>
      </c>
      <c r="D67" s="52">
        <f t="shared" si="23"/>
        <v>196193</v>
      </c>
      <c r="E67" s="52">
        <f t="shared" si="23"/>
        <v>885812</v>
      </c>
      <c r="F67" s="52">
        <f t="shared" si="23"/>
        <v>4129006</v>
      </c>
      <c r="G67" s="52">
        <f t="shared" si="23"/>
        <v>3153946</v>
      </c>
      <c r="H67" s="52">
        <f t="shared" si="23"/>
        <v>1817186</v>
      </c>
      <c r="I67" s="52">
        <f t="shared" si="23"/>
        <v>1909840</v>
      </c>
      <c r="J67" s="52">
        <f t="shared" si="23"/>
        <v>3731022</v>
      </c>
      <c r="K67" s="52">
        <f t="shared" si="23"/>
        <v>1707284</v>
      </c>
      <c r="L67" s="52">
        <f t="shared" si="23"/>
        <v>2036134</v>
      </c>
      <c r="M67" s="52">
        <f t="shared" si="23"/>
        <v>1547388</v>
      </c>
      <c r="N67" s="52">
        <f t="shared" si="23"/>
        <v>11121210</v>
      </c>
      <c r="O67" s="52">
        <f t="shared" si="23"/>
        <v>2016752</v>
      </c>
      <c r="P67" s="52">
        <f t="shared" si="23"/>
        <v>1281938</v>
      </c>
      <c r="Q67" s="52">
        <f t="shared" si="23"/>
        <v>7421737</v>
      </c>
      <c r="R67" s="52">
        <f t="shared" si="23"/>
        <v>2970135</v>
      </c>
      <c r="S67" s="52">
        <f t="shared" si="23"/>
        <v>1206291</v>
      </c>
      <c r="T67" s="52">
        <f t="shared" si="23"/>
        <v>6704536</v>
      </c>
      <c r="U67" s="52">
        <f t="shared" si="23"/>
        <v>1269366</v>
      </c>
      <c r="V67" s="52">
        <f t="shared" si="23"/>
        <v>6918593</v>
      </c>
      <c r="W67" s="52">
        <f t="shared" si="23"/>
        <v>977815</v>
      </c>
      <c r="X67" s="52">
        <f t="shared" si="23"/>
        <v>220246</v>
      </c>
      <c r="Y67" s="52">
        <f t="shared" si="23"/>
        <v>5071523</v>
      </c>
      <c r="Z67" s="52">
        <f t="shared" si="23"/>
        <v>28927749</v>
      </c>
      <c r="AA67" s="52">
        <f t="shared" si="23"/>
        <v>741160</v>
      </c>
      <c r="AB67" s="52">
        <f t="shared" si="23"/>
        <v>670439</v>
      </c>
      <c r="AC67" s="53"/>
      <c r="AD67" s="85">
        <f>IF((SUM(AD56:AD65)=SUM(B67:AB67)),(SUM(B67:AB67)),"erro")</f>
        <v>99743038</v>
      </c>
      <c r="AH67" s="7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</row>
    <row r="72" spans="1:62" s="5" customFormat="1"/>
    <row r="73" spans="1:62" s="5" customFormat="1"/>
    <row r="74" spans="1:62" s="5" customFormat="1"/>
    <row r="75" spans="1:62" s="5" customFormat="1"/>
    <row r="76" spans="1:62" s="5" customFormat="1"/>
    <row r="77" spans="1:62" s="5" customFormat="1"/>
    <row r="78" spans="1:62" s="5" customFormat="1"/>
    <row r="79" spans="1:62" s="5" customFormat="1"/>
    <row r="80" spans="1:62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 ht="15" customHeigh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</sheetData>
  <mergeCells count="4">
    <mergeCell ref="A2:A3"/>
    <mergeCell ref="A54:A55"/>
    <mergeCell ref="A36:A37"/>
    <mergeCell ref="A25:A26"/>
  </mergeCells>
  <pageMargins left="0.75" right="0.75" top="1" bottom="1" header="0.5" footer="0.5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Y122"/>
  <sheetViews>
    <sheetView showGridLines="0" zoomScale="90" zoomScaleNormal="90" workbookViewId="0">
      <selection activeCell="H8" sqref="H8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</cols>
  <sheetData>
    <row r="1" spans="1:24" s="33" customFormat="1" ht="15.75">
      <c r="A1" s="100" t="str">
        <f>"ACRE/"&amp;ONSV_AUX_2023!A1&amp;""</f>
        <v>ACRE/2023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ONSV_AUX_2023!B27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ONSV_AUX_2023!B28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ONSV_AUX_2023!B29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ONSV_AUX_2023!B30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ONSV_AUX_2023!B31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ONSV_AUX_2023!B32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ONSV_AUX_2023!B56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ONSV_AUX_2023!B57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ONSV_AUX_2023!B58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ONSV_AUX_2023!B59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ONSV_AUX_2023!B60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ONSV_AUX_2023!B61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ONSV_AUX_2023!B62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ONSV_AUX_2023!B63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ONSV_AUX_2023!B64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ONSV_AUX_2023!B65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3" customFormat="1" ht="15.75">
      <c r="A25" s="100" t="str">
        <f>"ACRE/"&amp;ONSV_AUX_2022!A1&amp;""</f>
        <v>ACRE/2022</v>
      </c>
      <c r="B25" s="101"/>
      <c r="C25" s="101"/>
      <c r="D25" s="101"/>
      <c r="E25" s="101"/>
      <c r="F25" s="101"/>
    </row>
    <row r="26" spans="1:24" s="4" customFormat="1" ht="15.75">
      <c r="A26" s="34"/>
      <c r="B26" s="34"/>
      <c r="C26" s="34"/>
      <c r="D26" s="34"/>
      <c r="E26" s="34"/>
      <c r="F26" s="3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ONSV_AUX_2022!B27</f>
        <v>3642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ONSV_AUX_2022!B28</f>
        <v>138263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ONSV_AUX_2022!B29</f>
        <v>30126</v>
      </c>
      <c r="J31" s="9"/>
      <c r="K31" s="2" t="s">
        <v>122</v>
      </c>
      <c r="L31" s="63">
        <f>I38+I41+I42+I47</f>
        <v>138351</v>
      </c>
      <c r="N31" s="30" t="s">
        <v>123</v>
      </c>
      <c r="O31" s="63">
        <f>J38+J47</f>
        <v>101967.29572608799</v>
      </c>
      <c r="P31" s="67"/>
      <c r="Q31" s="68" t="s">
        <v>124</v>
      </c>
      <c r="R31" s="63">
        <f>J41+J42</f>
        <v>36191.704273912008</v>
      </c>
      <c r="S31" s="69"/>
      <c r="T31" s="68" t="s">
        <v>125</v>
      </c>
      <c r="U31" s="70">
        <f>O35</f>
        <v>1714.6171910575276</v>
      </c>
      <c r="V31" s="51"/>
      <c r="W31" s="68" t="s">
        <v>126</v>
      </c>
      <c r="X31" s="71">
        <f>R37</f>
        <v>2529.6819160090499</v>
      </c>
    </row>
    <row r="32" spans="1:24" ht="15.75">
      <c r="H32" s="38" t="s">
        <v>102</v>
      </c>
      <c r="I32" s="63">
        <f>ONSV_AUX_2022!B30</f>
        <v>192</v>
      </c>
      <c r="J32" s="9"/>
      <c r="K32" s="29"/>
      <c r="L32" s="65"/>
      <c r="M32" s="22"/>
      <c r="N32" s="30" t="s">
        <v>127</v>
      </c>
      <c r="O32" s="72">
        <f>J38/O31</f>
        <v>0.98318463602620731</v>
      </c>
      <c r="P32" s="67"/>
      <c r="Q32" s="73" t="s">
        <v>128</v>
      </c>
      <c r="R32" s="66">
        <f>J41/R31</f>
        <v>0.86598421720655583</v>
      </c>
      <c r="S32" s="74"/>
      <c r="T32" s="68" t="s">
        <v>129</v>
      </c>
      <c r="U32" s="70">
        <f>I47-J47</f>
        <v>2.3828089424723657</v>
      </c>
      <c r="V32" s="51"/>
      <c r="W32" s="68" t="s">
        <v>130</v>
      </c>
      <c r="X32" s="71">
        <f>I42-J42</f>
        <v>6.7404211028469945</v>
      </c>
    </row>
    <row r="33" spans="8:24" ht="15.75">
      <c r="H33" s="38" t="s">
        <v>16</v>
      </c>
      <c r="I33" s="63">
        <f>ONSV_AUX_2022!B31</f>
        <v>21</v>
      </c>
      <c r="J33" s="9"/>
      <c r="K33" s="2" t="s">
        <v>131</v>
      </c>
      <c r="L33" s="66">
        <f>I38/L31</f>
        <v>0.72563263004965628</v>
      </c>
      <c r="M33" s="22"/>
      <c r="N33" s="30" t="s">
        <v>132</v>
      </c>
      <c r="O33" s="72">
        <f>J47/O31</f>
        <v>1.6815363973792713E-2</v>
      </c>
      <c r="P33" s="67"/>
      <c r="Q33" s="73" t="s">
        <v>133</v>
      </c>
      <c r="R33" s="66">
        <f>J42/R31</f>
        <v>0.13401578279344406</v>
      </c>
      <c r="S33" s="74"/>
      <c r="T33" s="68" t="s">
        <v>134</v>
      </c>
      <c r="U33" s="75">
        <f>O37</f>
        <v>0</v>
      </c>
      <c r="V33" s="76"/>
      <c r="W33" s="68" t="s">
        <v>135</v>
      </c>
      <c r="X33" s="75">
        <f>R40</f>
        <v>2320.5776628881031</v>
      </c>
    </row>
    <row r="34" spans="8:24" ht="15.75">
      <c r="H34" s="38" t="s">
        <v>94</v>
      </c>
      <c r="I34" s="63">
        <f>ONSV_AUX_2022!B32</f>
        <v>147661</v>
      </c>
      <c r="J34" s="10"/>
      <c r="K34" s="2" t="s">
        <v>2</v>
      </c>
      <c r="L34" s="66">
        <f>I41/L31</f>
        <v>0.22685054679763789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3.5106359910662015E-2</v>
      </c>
      <c r="M35" s="22"/>
      <c r="N35" s="30" t="s">
        <v>136</v>
      </c>
      <c r="O35" s="63">
        <f>IF(O33*I30&gt;J47,J47,O33*I30)</f>
        <v>1714.6171910575276</v>
      </c>
      <c r="P35" s="79"/>
      <c r="Q35" s="68" t="s">
        <v>137</v>
      </c>
      <c r="R35" s="63">
        <f>I31-I39-I40-I43-I46</f>
        <v>18876</v>
      </c>
      <c r="S35" s="80"/>
      <c r="T35" s="68" t="s">
        <v>138</v>
      </c>
      <c r="U35" s="70">
        <f>O43</f>
        <v>96589.678535030471</v>
      </c>
      <c r="V35" s="79"/>
      <c r="W35" s="68" t="s">
        <v>139</v>
      </c>
      <c r="X35" s="70">
        <f>I39</f>
        <v>8101</v>
      </c>
    </row>
    <row r="36" spans="8:24" ht="15.75">
      <c r="H36" s="26" t="s">
        <v>140</v>
      </c>
      <c r="K36" s="2" t="s">
        <v>0</v>
      </c>
      <c r="L36" s="66">
        <f>I47/L31</f>
        <v>1.2410463242043788E-2</v>
      </c>
      <c r="O36" s="51"/>
      <c r="P36" s="79"/>
      <c r="Q36" s="68" t="s">
        <v>141</v>
      </c>
      <c r="R36" s="63">
        <f>R32*R35</f>
        <v>16346.318083990947</v>
      </c>
      <c r="S36" s="51"/>
      <c r="T36" s="68" t="s">
        <v>142</v>
      </c>
      <c r="U36" s="70">
        <f>O41</f>
        <v>3642</v>
      </c>
      <c r="V36" s="69"/>
      <c r="W36" s="68" t="s">
        <v>143</v>
      </c>
      <c r="X36" s="70">
        <f>I40</f>
        <v>1293</v>
      </c>
    </row>
    <row r="37" spans="8:24" ht="15.75">
      <c r="K37" s="11"/>
      <c r="L37" s="11"/>
      <c r="M37" s="11"/>
      <c r="N37" s="30" t="s">
        <v>144</v>
      </c>
      <c r="O37" s="63">
        <f>J47-O35</f>
        <v>0</v>
      </c>
      <c r="P37" s="79"/>
      <c r="Q37" s="68" t="s">
        <v>126</v>
      </c>
      <c r="R37" s="63">
        <f>R33*R35</f>
        <v>2529.6819160090499</v>
      </c>
      <c r="S37" s="51"/>
      <c r="T37" s="68" t="s">
        <v>145</v>
      </c>
      <c r="U37" s="70">
        <f>O42</f>
        <v>21</v>
      </c>
      <c r="V37" s="74"/>
      <c r="W37" s="51"/>
      <c r="X37" s="65"/>
    </row>
    <row r="38" spans="8:24" ht="15.75">
      <c r="H38" s="39" t="s">
        <v>104</v>
      </c>
      <c r="I38" s="63">
        <f>ONSV_AUX_2022!B56</f>
        <v>100392</v>
      </c>
      <c r="J38" s="64">
        <f>I38-(L33*I32)</f>
        <v>100252.67853503047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139.32146496952919</v>
      </c>
      <c r="V38" s="74"/>
      <c r="W38" s="68" t="s">
        <v>147</v>
      </c>
      <c r="X38" s="70">
        <f>I46</f>
        <v>1416</v>
      </c>
    </row>
    <row r="39" spans="8:24" ht="15.75">
      <c r="H39" s="39" t="s">
        <v>105</v>
      </c>
      <c r="I39" s="63">
        <f>ONSV_AUX_2022!B57</f>
        <v>8101</v>
      </c>
      <c r="J39" s="10">
        <f>I39</f>
        <v>8101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14995.126611023905</v>
      </c>
      <c r="S39" s="51"/>
      <c r="T39" s="68" t="s">
        <v>150</v>
      </c>
      <c r="U39" s="75">
        <f>O44</f>
        <v>0</v>
      </c>
      <c r="V39" s="51"/>
      <c r="W39" s="68" t="s">
        <v>151</v>
      </c>
      <c r="X39" s="70">
        <f>I43</f>
        <v>440</v>
      </c>
    </row>
    <row r="40" spans="8:24" ht="15.75">
      <c r="H40" s="39" t="s">
        <v>106</v>
      </c>
      <c r="I40" s="63">
        <f>ONSV_AUX_2022!B58</f>
        <v>1293</v>
      </c>
      <c r="J40" s="10">
        <f>I40</f>
        <v>1293</v>
      </c>
      <c r="K40" s="11"/>
      <c r="L40" s="11"/>
      <c r="M40" s="11"/>
      <c r="O40" s="76"/>
      <c r="P40" s="79"/>
      <c r="Q40" s="68" t="s">
        <v>135</v>
      </c>
      <c r="R40" s="63">
        <f>J42-R37</f>
        <v>2320.5776628881031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ONSV_AUX_2022!B59</f>
        <v>31385</v>
      </c>
      <c r="J41" s="64">
        <f>I41-(L34*I32)</f>
        <v>31341.444695014852</v>
      </c>
      <c r="K41" s="11"/>
      <c r="L41" s="11"/>
      <c r="M41" s="11"/>
      <c r="N41" s="30" t="s">
        <v>142</v>
      </c>
      <c r="O41" s="63">
        <f>I29</f>
        <v>3642</v>
      </c>
      <c r="P41" s="79"/>
      <c r="Q41" s="51"/>
      <c r="R41" s="51"/>
      <c r="S41" s="80"/>
      <c r="T41" s="68" t="s">
        <v>141</v>
      </c>
      <c r="U41" s="71">
        <f>R36</f>
        <v>16346.318083990947</v>
      </c>
      <c r="V41" s="51"/>
      <c r="W41" s="68" t="s">
        <v>152</v>
      </c>
      <c r="X41" s="70">
        <f>I44</f>
        <v>137900</v>
      </c>
    </row>
    <row r="42" spans="8:24" ht="15.75">
      <c r="H42" s="39" t="s">
        <v>108</v>
      </c>
      <c r="I42" s="63">
        <f>ONSV_AUX_2022!B60</f>
        <v>4857</v>
      </c>
      <c r="J42" s="64">
        <f>I42-(L35*I32)</f>
        <v>4850.259578897153</v>
      </c>
      <c r="K42" s="11"/>
      <c r="L42" s="11"/>
      <c r="M42" s="11"/>
      <c r="N42" s="30" t="s">
        <v>145</v>
      </c>
      <c r="O42" s="63">
        <f>I33</f>
        <v>21</v>
      </c>
      <c r="P42" s="79"/>
      <c r="Q42" s="51"/>
      <c r="R42" s="51"/>
      <c r="S42" s="51"/>
      <c r="T42" s="68" t="s">
        <v>153</v>
      </c>
      <c r="U42" s="71">
        <f>I41-J41</f>
        <v>43.555304985147814</v>
      </c>
      <c r="V42" s="51"/>
      <c r="W42" s="68" t="s">
        <v>154</v>
      </c>
      <c r="X42" s="70">
        <f>I45</f>
        <v>32446</v>
      </c>
    </row>
    <row r="43" spans="8:24" ht="15.75">
      <c r="H43" s="39" t="s">
        <v>109</v>
      </c>
      <c r="I43" s="63">
        <f>ONSV_AUX_2022!B61</f>
        <v>440</v>
      </c>
      <c r="J43" s="10">
        <f>I43</f>
        <v>440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96589.678535030471</v>
      </c>
      <c r="P43" s="79"/>
      <c r="Q43" s="51"/>
      <c r="R43" s="81"/>
      <c r="S43" s="51"/>
      <c r="T43" s="68" t="s">
        <v>149</v>
      </c>
      <c r="U43" s="75">
        <f>R39</f>
        <v>14995.126611023905</v>
      </c>
      <c r="V43" s="51"/>
      <c r="W43" s="51"/>
      <c r="X43" s="51"/>
    </row>
    <row r="44" spans="8:24" ht="15.75">
      <c r="H44" s="39" t="s">
        <v>110</v>
      </c>
      <c r="I44" s="63">
        <f>ONSV_AUX_2022!B62</f>
        <v>137900</v>
      </c>
      <c r="J44" s="10">
        <f t="shared" ref="J44:J46" si="1">I44</f>
        <v>137900</v>
      </c>
      <c r="K44" s="11"/>
      <c r="L44" s="11"/>
      <c r="M44" s="11"/>
      <c r="N44" s="30" t="s">
        <v>150</v>
      </c>
      <c r="O44" s="63">
        <f>IF((J38-O41-O43-O42)&lt;0,0,(J38-O41-O43-O42))</f>
        <v>0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ONSV_AUX_2022!B63</f>
        <v>32446</v>
      </c>
      <c r="J45" s="10">
        <f t="shared" si="1"/>
        <v>32446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319947</v>
      </c>
    </row>
    <row r="46" spans="8:24" ht="15.75">
      <c r="H46" s="39" t="s">
        <v>112</v>
      </c>
      <c r="I46" s="63">
        <f>ONSV_AUX_2022!B64</f>
        <v>1416</v>
      </c>
      <c r="J46" s="10">
        <f t="shared" si="1"/>
        <v>1416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ONSV_AUX_2022!B65</f>
        <v>1717</v>
      </c>
      <c r="J47" s="64">
        <f>I47-(L36*I32)</f>
        <v>1714.6171910575276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3" customFormat="1" ht="15.75">
      <c r="A50" s="100" t="str">
        <f>"ACRE/"&amp;ONSV_AUX_2021!A1&amp;""</f>
        <v>ACRE/2021</v>
      </c>
      <c r="B50" s="101"/>
      <c r="C50" s="101"/>
      <c r="D50" s="101"/>
      <c r="E50" s="101"/>
      <c r="F50" s="101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ONSV_AUX_2021!B27</f>
        <v>3635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ONSV_AUX_2021!B28</f>
        <v>129102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ONSV_AUX_2021!B29</f>
        <v>28973</v>
      </c>
      <c r="J56" s="9"/>
      <c r="K56" s="2" t="s">
        <v>122</v>
      </c>
      <c r="L56" s="63">
        <f>I63+I66+I67+I72</f>
        <v>134102</v>
      </c>
      <c r="N56" s="30" t="s">
        <v>123</v>
      </c>
      <c r="O56" s="63">
        <f>J63+J72</f>
        <v>99430.774246469111</v>
      </c>
      <c r="P56" s="67"/>
      <c r="Q56" s="68" t="s">
        <v>124</v>
      </c>
      <c r="R56" s="63">
        <f>J66+J67</f>
        <v>34540.225753530896</v>
      </c>
      <c r="S56" s="69"/>
      <c r="T56" s="68" t="s">
        <v>125</v>
      </c>
      <c r="U56" s="70">
        <f>O60</f>
        <v>1558.4760853678542</v>
      </c>
      <c r="V56" s="51"/>
      <c r="W56" s="68" t="s">
        <v>126</v>
      </c>
      <c r="X56" s="71">
        <f>R62</f>
        <v>2405.0358072540057</v>
      </c>
    </row>
    <row r="57" spans="1:24" ht="15.75">
      <c r="H57" s="38" t="s">
        <v>102</v>
      </c>
      <c r="I57" s="63">
        <f>ONSV_AUX_2021!B30</f>
        <v>131</v>
      </c>
      <c r="J57" s="9"/>
      <c r="K57" s="29"/>
      <c r="L57" s="65"/>
      <c r="M57" s="22"/>
      <c r="N57" s="30" t="s">
        <v>127</v>
      </c>
      <c r="O57" s="72">
        <f>J63/O56</f>
        <v>0.98432601880877735</v>
      </c>
      <c r="P57" s="67"/>
      <c r="Q57" s="73" t="s">
        <v>128</v>
      </c>
      <c r="R57" s="66">
        <f>J66/R56</f>
        <v>0.86643142245618088</v>
      </c>
      <c r="S57" s="74"/>
      <c r="T57" s="68" t="s">
        <v>129</v>
      </c>
      <c r="U57" s="70">
        <f>I72-J72</f>
        <v>1.5239146321457611</v>
      </c>
      <c r="V57" s="51"/>
      <c r="W57" s="68" t="s">
        <v>130</v>
      </c>
      <c r="X57" s="71">
        <f>I67-J67</f>
        <v>4.5111780584929875</v>
      </c>
    </row>
    <row r="58" spans="1:24" ht="15.75">
      <c r="H58" s="38" t="s">
        <v>16</v>
      </c>
      <c r="I58" s="63">
        <f>ONSV_AUX_2021!B31</f>
        <v>22</v>
      </c>
      <c r="J58" s="9"/>
      <c r="K58" s="2" t="s">
        <v>131</v>
      </c>
      <c r="L58" s="66">
        <f>I63/L56</f>
        <v>0.73054838854006654</v>
      </c>
      <c r="M58" s="22"/>
      <c r="N58" s="30" t="s">
        <v>132</v>
      </c>
      <c r="O58" s="72">
        <f>J72/O56</f>
        <v>1.5673981191222569E-2</v>
      </c>
      <c r="P58" s="67"/>
      <c r="Q58" s="73" t="s">
        <v>133</v>
      </c>
      <c r="R58" s="66">
        <f>J67/R56</f>
        <v>0.13356857754381904</v>
      </c>
      <c r="S58" s="74"/>
      <c r="T58" s="68" t="s">
        <v>134</v>
      </c>
      <c r="U58" s="75">
        <f>O62</f>
        <v>0</v>
      </c>
      <c r="V58" s="76"/>
      <c r="W58" s="68" t="s">
        <v>135</v>
      </c>
      <c r="X58" s="75">
        <f>R65</f>
        <v>2208.4530146875013</v>
      </c>
    </row>
    <row r="59" spans="1:24" ht="15.75">
      <c r="H59" s="38" t="s">
        <v>94</v>
      </c>
      <c r="I59" s="63">
        <f>ONSV_AUX_2021!B32</f>
        <v>144499</v>
      </c>
      <c r="J59" s="10"/>
      <c r="K59" s="2" t="s">
        <v>2</v>
      </c>
      <c r="L59" s="66">
        <f>I66/L56</f>
        <v>0.22338220160773142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3.4436473728952588E-2</v>
      </c>
      <c r="M60" s="22"/>
      <c r="N60" s="30" t="s">
        <v>136</v>
      </c>
      <c r="O60" s="63">
        <f>IF(O58*I55&gt;J72,J72,O58*I55)</f>
        <v>1558.4760853678542</v>
      </c>
      <c r="P60" s="79"/>
      <c r="Q60" s="68" t="s">
        <v>137</v>
      </c>
      <c r="R60" s="63">
        <f>I56-I64-I65-I68-I71</f>
        <v>18006</v>
      </c>
      <c r="S60" s="80"/>
      <c r="T60" s="68" t="s">
        <v>138</v>
      </c>
      <c r="U60" s="70">
        <f>O68</f>
        <v>94215.298161101251</v>
      </c>
      <c r="V60" s="79"/>
      <c r="W60" s="68" t="s">
        <v>139</v>
      </c>
      <c r="X60" s="70">
        <f>I64</f>
        <v>7968</v>
      </c>
    </row>
    <row r="61" spans="1:24" ht="15.75">
      <c r="H61" s="26" t="s">
        <v>140</v>
      </c>
      <c r="K61" s="2" t="s">
        <v>0</v>
      </c>
      <c r="L61" s="66">
        <f>I72/L56</f>
        <v>1.1632936123249466E-2</v>
      </c>
      <c r="O61" s="51"/>
      <c r="P61" s="79"/>
      <c r="Q61" s="68" t="s">
        <v>141</v>
      </c>
      <c r="R61" s="63">
        <f>R57*R60</f>
        <v>15600.964192745992</v>
      </c>
      <c r="S61" s="51"/>
      <c r="T61" s="68" t="s">
        <v>142</v>
      </c>
      <c r="U61" s="70">
        <f>O66</f>
        <v>3635</v>
      </c>
      <c r="V61" s="69"/>
      <c r="W61" s="68" t="s">
        <v>143</v>
      </c>
      <c r="X61" s="70">
        <f>I65</f>
        <v>1227</v>
      </c>
    </row>
    <row r="62" spans="1:24" ht="15.75">
      <c r="K62" s="11"/>
      <c r="L62" s="11"/>
      <c r="M62" s="11"/>
      <c r="N62" s="30" t="s">
        <v>144</v>
      </c>
      <c r="O62" s="63">
        <f>J72-O60</f>
        <v>0</v>
      </c>
      <c r="P62" s="79"/>
      <c r="Q62" s="68" t="s">
        <v>126</v>
      </c>
      <c r="R62" s="63">
        <f>R58*R60</f>
        <v>2405.0358072540057</v>
      </c>
      <c r="S62" s="51"/>
      <c r="T62" s="68" t="s">
        <v>145</v>
      </c>
      <c r="U62" s="70">
        <f>O67</f>
        <v>22</v>
      </c>
      <c r="V62" s="74"/>
      <c r="W62" s="51"/>
      <c r="X62" s="65"/>
    </row>
    <row r="63" spans="1:24" ht="15.75">
      <c r="H63" s="39" t="s">
        <v>104</v>
      </c>
      <c r="I63" s="63">
        <f>ONSV_AUX_2021!B56</f>
        <v>97968</v>
      </c>
      <c r="J63" s="64">
        <f>I63-(L58*I57)</f>
        <v>97872.298161101251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95.701838898748974</v>
      </c>
      <c r="V63" s="74"/>
      <c r="W63" s="68" t="s">
        <v>147</v>
      </c>
      <c r="X63" s="70">
        <f>I71</f>
        <v>1353</v>
      </c>
    </row>
    <row r="64" spans="1:24" ht="15.75">
      <c r="H64" s="39" t="s">
        <v>105</v>
      </c>
      <c r="I64" s="63">
        <f>ONSV_AUX_2021!B57</f>
        <v>7968</v>
      </c>
      <c r="J64" s="10">
        <f>I64</f>
        <v>7968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14325.772738843396</v>
      </c>
      <c r="S64" s="51"/>
      <c r="T64" s="68" t="s">
        <v>150</v>
      </c>
      <c r="U64" s="75">
        <f>O69</f>
        <v>0</v>
      </c>
      <c r="V64" s="51"/>
      <c r="W64" s="68" t="s">
        <v>151</v>
      </c>
      <c r="X64" s="70">
        <f>I68</f>
        <v>419</v>
      </c>
    </row>
    <row r="65" spans="1:25" ht="15.75">
      <c r="H65" s="39" t="s">
        <v>106</v>
      </c>
      <c r="I65" s="63">
        <f>ONSV_AUX_2021!B58</f>
        <v>1227</v>
      </c>
      <c r="J65" s="10">
        <f>I65</f>
        <v>1227</v>
      </c>
      <c r="K65" s="11"/>
      <c r="L65" s="11"/>
      <c r="M65" s="11"/>
      <c r="O65" s="76"/>
      <c r="P65" s="79"/>
      <c r="Q65" s="68" t="s">
        <v>135</v>
      </c>
      <c r="R65" s="63">
        <f>J67-R62</f>
        <v>2208.4530146875013</v>
      </c>
      <c r="S65" s="51"/>
      <c r="T65" s="51"/>
      <c r="U65" s="65"/>
      <c r="V65" s="80"/>
      <c r="W65" s="51"/>
      <c r="X65" s="65"/>
    </row>
    <row r="66" spans="1:25" ht="15.75">
      <c r="H66" s="39" t="s">
        <v>107</v>
      </c>
      <c r="I66" s="63">
        <f>ONSV_AUX_2021!B59</f>
        <v>29956</v>
      </c>
      <c r="J66" s="64">
        <f>I66-(L59*I57)</f>
        <v>29926.736931589388</v>
      </c>
      <c r="K66" s="11"/>
      <c r="L66" s="11"/>
      <c r="M66" s="11"/>
      <c r="N66" s="30" t="s">
        <v>142</v>
      </c>
      <c r="O66" s="63">
        <f>I54</f>
        <v>3635</v>
      </c>
      <c r="P66" s="79"/>
      <c r="Q66" s="51"/>
      <c r="R66" s="51"/>
      <c r="S66" s="80"/>
      <c r="T66" s="68" t="s">
        <v>141</v>
      </c>
      <c r="U66" s="71">
        <f>R61</f>
        <v>15600.964192745992</v>
      </c>
      <c r="V66" s="51"/>
      <c r="W66" s="68" t="s">
        <v>152</v>
      </c>
      <c r="X66" s="70">
        <f>I69</f>
        <v>131069</v>
      </c>
    </row>
    <row r="67" spans="1:25" ht="15.75">
      <c r="H67" s="39" t="s">
        <v>108</v>
      </c>
      <c r="I67" s="63">
        <f>ONSV_AUX_2021!B60</f>
        <v>4618</v>
      </c>
      <c r="J67" s="64">
        <f>I67-(L60*I57)</f>
        <v>4613.488821941507</v>
      </c>
      <c r="K67" s="11"/>
      <c r="L67" s="11"/>
      <c r="M67" s="11"/>
      <c r="N67" s="30" t="s">
        <v>145</v>
      </c>
      <c r="O67" s="63">
        <f>I58</f>
        <v>22</v>
      </c>
      <c r="P67" s="79"/>
      <c r="Q67" s="51"/>
      <c r="R67" s="51"/>
      <c r="S67" s="51"/>
      <c r="T67" s="68" t="s">
        <v>153</v>
      </c>
      <c r="U67" s="71">
        <f>I66-J66</f>
        <v>29.263068410611595</v>
      </c>
      <c r="V67" s="51"/>
      <c r="W67" s="68" t="s">
        <v>154</v>
      </c>
      <c r="X67" s="70">
        <f>I70</f>
        <v>30361</v>
      </c>
    </row>
    <row r="68" spans="1:25" ht="15.75">
      <c r="H68" s="39" t="s">
        <v>109</v>
      </c>
      <c r="I68" s="63">
        <f>ONSV_AUX_2021!B61</f>
        <v>419</v>
      </c>
      <c r="J68" s="10">
        <f>I68</f>
        <v>419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94215.298161101251</v>
      </c>
      <c r="P68" s="79"/>
      <c r="Q68" s="51"/>
      <c r="R68" s="81"/>
      <c r="S68" s="51"/>
      <c r="T68" s="68" t="s">
        <v>149</v>
      </c>
      <c r="U68" s="75">
        <f>R64</f>
        <v>14325.772738843396</v>
      </c>
      <c r="V68" s="51"/>
      <c r="W68" s="51"/>
      <c r="X68" s="51"/>
    </row>
    <row r="69" spans="1:25" ht="15.75">
      <c r="H69" s="39" t="s">
        <v>110</v>
      </c>
      <c r="I69" s="63">
        <f>ONSV_AUX_2021!B62</f>
        <v>131069</v>
      </c>
      <c r="J69" s="10">
        <f t="shared" ref="J69:J71" si="2">I69</f>
        <v>131069</v>
      </c>
      <c r="K69" s="11"/>
      <c r="L69" s="11"/>
      <c r="M69" s="11"/>
      <c r="N69" s="30" t="s">
        <v>150</v>
      </c>
      <c r="O69" s="63">
        <f>IF((J63-O66-O68-O67)&lt;0,0,(J63-O66-O68-O67))</f>
        <v>0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5" ht="15.75">
      <c r="H70" s="39" t="s">
        <v>111</v>
      </c>
      <c r="I70" s="63">
        <f>ONSV_AUX_2021!B63</f>
        <v>30361</v>
      </c>
      <c r="J70" s="10">
        <f t="shared" si="2"/>
        <v>30361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306499</v>
      </c>
    </row>
    <row r="71" spans="1:25" ht="15.75">
      <c r="H71" s="39" t="s">
        <v>112</v>
      </c>
      <c r="I71" s="63">
        <f>ONSV_AUX_2021!B64</f>
        <v>1353</v>
      </c>
      <c r="J71" s="10">
        <f t="shared" si="2"/>
        <v>1353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5" ht="15.75">
      <c r="H72" s="39" t="s">
        <v>113</v>
      </c>
      <c r="I72" s="63">
        <f>ONSV_AUX_2021!B65</f>
        <v>1560</v>
      </c>
      <c r="J72" s="64">
        <f>I72-(L61*I57)</f>
        <v>1558.4760853678542</v>
      </c>
      <c r="K72" s="12"/>
      <c r="L72" s="12"/>
      <c r="M72" s="12"/>
      <c r="N72" s="12"/>
      <c r="O72" s="12"/>
      <c r="P72" s="12"/>
      <c r="Q72" s="4"/>
      <c r="R72" s="4"/>
    </row>
    <row r="75" spans="1:25" s="33" customFormat="1" ht="15.75">
      <c r="A75" s="100" t="str">
        <f>"ACRE/"&amp;ONSV_AUX_2020!A1&amp;""</f>
        <v>ACRE/2020</v>
      </c>
      <c r="B75" s="101"/>
      <c r="C75" s="101"/>
      <c r="D75" s="101"/>
      <c r="E75" s="101"/>
      <c r="F75" s="101"/>
    </row>
    <row r="76" spans="1:25"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>
      <c r="H77" s="25" t="s">
        <v>117</v>
      </c>
      <c r="P77" s="9"/>
    </row>
    <row r="78" spans="1:25" ht="15.75">
      <c r="J78" s="9"/>
      <c r="M78" s="27"/>
      <c r="P78" s="9"/>
    </row>
    <row r="79" spans="1:25" ht="15.75">
      <c r="H79" s="38" t="s">
        <v>81</v>
      </c>
      <c r="I79" s="63">
        <f>ONSV_AUX_2020!B27</f>
        <v>3625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5" ht="15.75">
      <c r="H80" s="38" t="s">
        <v>84</v>
      </c>
      <c r="I80" s="63">
        <f>ONSV_AUX_2020!B28</f>
        <v>118953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ONSV_AUX_2020!B29</f>
        <v>27395</v>
      </c>
      <c r="J81" s="9"/>
      <c r="K81" s="2" t="s">
        <v>122</v>
      </c>
      <c r="L81" s="63">
        <f>I88+I91+I92+I97</f>
        <v>127821</v>
      </c>
      <c r="N81" s="30" t="s">
        <v>123</v>
      </c>
      <c r="O81" s="63">
        <f>J88+J97</f>
        <v>94711.427230267334</v>
      </c>
      <c r="P81" s="67"/>
      <c r="Q81" s="68" t="s">
        <v>124</v>
      </c>
      <c r="R81" s="63">
        <f>J91+J92</f>
        <v>33030.572769732673</v>
      </c>
      <c r="S81" s="69"/>
      <c r="T81" s="68" t="s">
        <v>125</v>
      </c>
      <c r="U81" s="70">
        <f>O85</f>
        <v>1415.1248386415377</v>
      </c>
      <c r="V81" s="51"/>
      <c r="W81" s="68" t="s">
        <v>126</v>
      </c>
      <c r="X81" s="71">
        <f>R87</f>
        <v>2324.3085534477023</v>
      </c>
    </row>
    <row r="82" spans="8:24" ht="15.75">
      <c r="H82" s="38" t="s">
        <v>102</v>
      </c>
      <c r="I82" s="63">
        <f>ONSV_AUX_2020!B30</f>
        <v>79</v>
      </c>
      <c r="J82" s="9"/>
      <c r="K82" s="29"/>
      <c r="L82" s="65"/>
      <c r="M82" s="22"/>
      <c r="N82" s="30" t="s">
        <v>127</v>
      </c>
      <c r="O82" s="72">
        <f>J88/O81</f>
        <v>0.98505856283634063</v>
      </c>
      <c r="P82" s="67"/>
      <c r="Q82" s="73" t="s">
        <v>128</v>
      </c>
      <c r="R82" s="66">
        <f>J91/R81</f>
        <v>0.86472421409337086</v>
      </c>
      <c r="S82" s="74"/>
      <c r="T82" s="68" t="s">
        <v>129</v>
      </c>
      <c r="U82" s="70">
        <f>I97-J97</f>
        <v>0.87516135846226462</v>
      </c>
      <c r="V82" s="51"/>
      <c r="W82" s="68" t="s">
        <v>130</v>
      </c>
      <c r="X82" s="71">
        <f>I92-J92</f>
        <v>2.7633096283079794</v>
      </c>
    </row>
    <row r="83" spans="8:24" ht="15.75">
      <c r="H83" s="38" t="s">
        <v>16</v>
      </c>
      <c r="I83" s="63">
        <f>ONSV_AUX_2020!B31</f>
        <v>16</v>
      </c>
      <c r="J83" s="9"/>
      <c r="K83" s="2" t="s">
        <v>131</v>
      </c>
      <c r="L83" s="66">
        <f>I88/L81</f>
        <v>0.73034947309127607</v>
      </c>
      <c r="M83" s="22"/>
      <c r="N83" s="30" t="s">
        <v>132</v>
      </c>
      <c r="O83" s="72">
        <f>J97/O81</f>
        <v>1.4941437163659385E-2</v>
      </c>
      <c r="P83" s="67"/>
      <c r="Q83" s="73" t="s">
        <v>133</v>
      </c>
      <c r="R83" s="66">
        <f>J92/R81</f>
        <v>0.13527578590662917</v>
      </c>
      <c r="S83" s="74"/>
      <c r="T83" s="68" t="s">
        <v>134</v>
      </c>
      <c r="U83" s="75">
        <f>O87</f>
        <v>0</v>
      </c>
      <c r="V83" s="76"/>
      <c r="W83" s="68" t="s">
        <v>135</v>
      </c>
      <c r="X83" s="75">
        <f>R90</f>
        <v>2143.9281369239898</v>
      </c>
    </row>
    <row r="84" spans="8:24" ht="15.75">
      <c r="H84" s="38" t="s">
        <v>94</v>
      </c>
      <c r="I84" s="63">
        <f>ONSV_AUX_2020!B32</f>
        <v>142055</v>
      </c>
      <c r="J84" s="10"/>
      <c r="K84" s="2" t="s">
        <v>2</v>
      </c>
      <c r="L84" s="66">
        <f>I91/L81</f>
        <v>0.22359393213947629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3.4978602889978956E-2</v>
      </c>
      <c r="M85" s="22"/>
      <c r="N85" s="30" t="s">
        <v>136</v>
      </c>
      <c r="O85" s="63">
        <f>IF(O83*I80&gt;J97,J97,O83*I80)</f>
        <v>1415.1248386415377</v>
      </c>
      <c r="P85" s="79"/>
      <c r="Q85" s="68" t="s">
        <v>137</v>
      </c>
      <c r="R85" s="63">
        <f>I81-I89-I90-I93-I96</f>
        <v>17182</v>
      </c>
      <c r="S85" s="80"/>
      <c r="T85" s="68" t="s">
        <v>138</v>
      </c>
      <c r="U85" s="70">
        <f>O93</f>
        <v>89655.302391625795</v>
      </c>
      <c r="V85" s="79"/>
      <c r="W85" s="68" t="s">
        <v>139</v>
      </c>
      <c r="X85" s="70">
        <f>I89</f>
        <v>7522</v>
      </c>
    </row>
    <row r="86" spans="8:24" ht="15.75">
      <c r="H86" s="26" t="s">
        <v>140</v>
      </c>
      <c r="K86" s="2" t="s">
        <v>0</v>
      </c>
      <c r="L86" s="66">
        <f>I97/L81</f>
        <v>1.1077991879268665E-2</v>
      </c>
      <c r="O86" s="51"/>
      <c r="P86" s="79"/>
      <c r="Q86" s="68" t="s">
        <v>141</v>
      </c>
      <c r="R86" s="63">
        <f>R82*R85</f>
        <v>14857.691446552299</v>
      </c>
      <c r="S86" s="51"/>
      <c r="T86" s="68" t="s">
        <v>142</v>
      </c>
      <c r="U86" s="70">
        <f>O91</f>
        <v>3625</v>
      </c>
      <c r="V86" s="69"/>
      <c r="W86" s="68" t="s">
        <v>143</v>
      </c>
      <c r="X86" s="70">
        <f>I90</f>
        <v>1059</v>
      </c>
    </row>
    <row r="87" spans="8:24" ht="15.75">
      <c r="K87" s="11"/>
      <c r="L87" s="11"/>
      <c r="M87" s="11"/>
      <c r="N87" s="30" t="s">
        <v>144</v>
      </c>
      <c r="O87" s="63">
        <f>J97-O85</f>
        <v>0</v>
      </c>
      <c r="P87" s="79"/>
      <c r="Q87" s="68" t="s">
        <v>126</v>
      </c>
      <c r="R87" s="63">
        <f>R83*R85</f>
        <v>2324.3085534477023</v>
      </c>
      <c r="S87" s="51"/>
      <c r="T87" s="68" t="s">
        <v>145</v>
      </c>
      <c r="U87" s="70">
        <f>O92</f>
        <v>16</v>
      </c>
      <c r="V87" s="74"/>
      <c r="W87" s="51"/>
      <c r="X87" s="65"/>
    </row>
    <row r="88" spans="8:24" ht="15.75">
      <c r="H88" s="39" t="s">
        <v>104</v>
      </c>
      <c r="I88" s="63">
        <f>ONSV_AUX_2020!B56</f>
        <v>93354</v>
      </c>
      <c r="J88" s="64">
        <f>I88-(L83*I82)</f>
        <v>93296.302391625795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57.697608374204719</v>
      </c>
      <c r="V88" s="74"/>
      <c r="W88" s="68" t="s">
        <v>147</v>
      </c>
      <c r="X88" s="70">
        <f>I96</f>
        <v>1247</v>
      </c>
    </row>
    <row r="89" spans="8:24" ht="15.75">
      <c r="H89" s="39" t="s">
        <v>105</v>
      </c>
      <c r="I89" s="63">
        <f>ONSV_AUX_2020!B57</f>
        <v>7522</v>
      </c>
      <c r="J89" s="10">
        <f>I89</f>
        <v>7522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13704.644632808684</v>
      </c>
      <c r="S89" s="51"/>
      <c r="T89" s="68" t="s">
        <v>150</v>
      </c>
      <c r="U89" s="75">
        <f>O94</f>
        <v>0</v>
      </c>
      <c r="V89" s="51"/>
      <c r="W89" s="68" t="s">
        <v>151</v>
      </c>
      <c r="X89" s="70">
        <f>I93</f>
        <v>385</v>
      </c>
    </row>
    <row r="90" spans="8:24" ht="15.75">
      <c r="H90" s="39" t="s">
        <v>106</v>
      </c>
      <c r="I90" s="63">
        <f>ONSV_AUX_2020!B58</f>
        <v>1059</v>
      </c>
      <c r="J90" s="10">
        <f>I90</f>
        <v>1059</v>
      </c>
      <c r="K90" s="11"/>
      <c r="L90" s="11"/>
      <c r="M90" s="11"/>
      <c r="O90" s="76"/>
      <c r="P90" s="79"/>
      <c r="Q90" s="68" t="s">
        <v>135</v>
      </c>
      <c r="R90" s="63">
        <f>J92-R87</f>
        <v>2143.9281369239898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ONSV_AUX_2020!B59</f>
        <v>28580</v>
      </c>
      <c r="J91" s="64">
        <f>I91-(L84*I82)</f>
        <v>28562.336079360983</v>
      </c>
      <c r="K91" s="11"/>
      <c r="L91" s="11"/>
      <c r="M91" s="11"/>
      <c r="N91" s="30" t="s">
        <v>142</v>
      </c>
      <c r="O91" s="63">
        <f>I79</f>
        <v>3625</v>
      </c>
      <c r="P91" s="79"/>
      <c r="Q91" s="51"/>
      <c r="R91" s="51"/>
      <c r="S91" s="80"/>
      <c r="T91" s="68" t="s">
        <v>141</v>
      </c>
      <c r="U91" s="71">
        <f>R86</f>
        <v>14857.691446552299</v>
      </c>
      <c r="V91" s="51"/>
      <c r="W91" s="68" t="s">
        <v>152</v>
      </c>
      <c r="X91" s="70">
        <f>I94</f>
        <v>125641</v>
      </c>
    </row>
    <row r="92" spans="8:24" ht="15.75">
      <c r="H92" s="39" t="s">
        <v>108</v>
      </c>
      <c r="I92" s="63">
        <f>ONSV_AUX_2020!B60</f>
        <v>4471</v>
      </c>
      <c r="J92" s="64">
        <f>I92-(L85*I82)</f>
        <v>4468.236690371692</v>
      </c>
      <c r="K92" s="11"/>
      <c r="L92" s="11"/>
      <c r="M92" s="11"/>
      <c r="N92" s="30" t="s">
        <v>145</v>
      </c>
      <c r="O92" s="63">
        <f>I83</f>
        <v>16</v>
      </c>
      <c r="P92" s="79"/>
      <c r="Q92" s="51"/>
      <c r="R92" s="51"/>
      <c r="S92" s="51"/>
      <c r="T92" s="68" t="s">
        <v>153</v>
      </c>
      <c r="U92" s="71">
        <f>I91-J91</f>
        <v>17.663920639017306</v>
      </c>
      <c r="V92" s="51"/>
      <c r="W92" s="68" t="s">
        <v>154</v>
      </c>
      <c r="X92" s="70">
        <f>I95</f>
        <v>28573</v>
      </c>
    </row>
    <row r="93" spans="8:24" ht="15.75">
      <c r="H93" s="39" t="s">
        <v>109</v>
      </c>
      <c r="I93" s="63">
        <f>ONSV_AUX_2020!B61</f>
        <v>385</v>
      </c>
      <c r="J93" s="10">
        <f>I93</f>
        <v>385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89655.302391625795</v>
      </c>
      <c r="P93" s="79"/>
      <c r="Q93" s="51"/>
      <c r="R93" s="81"/>
      <c r="S93" s="51"/>
      <c r="T93" s="68" t="s">
        <v>149</v>
      </c>
      <c r="U93" s="75">
        <f>R89</f>
        <v>13704.644632808684</v>
      </c>
      <c r="V93" s="51"/>
      <c r="W93" s="51"/>
      <c r="X93" s="51"/>
    </row>
    <row r="94" spans="8:24" ht="15.75">
      <c r="H94" s="39" t="s">
        <v>110</v>
      </c>
      <c r="I94" s="63">
        <f>ONSV_AUX_2020!B62</f>
        <v>125641</v>
      </c>
      <c r="J94" s="10">
        <f t="shared" ref="J94:J96" si="3">I94</f>
        <v>125641</v>
      </c>
      <c r="K94" s="11"/>
      <c r="L94" s="11"/>
      <c r="M94" s="11"/>
      <c r="N94" s="30" t="s">
        <v>150</v>
      </c>
      <c r="O94" s="63">
        <f>IF((J88-O91-O93-O92)&lt;0,0,(J88-O91-O93-O92))</f>
        <v>0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ONSV_AUX_2020!B63</f>
        <v>28573</v>
      </c>
      <c r="J95" s="10">
        <f t="shared" si="3"/>
        <v>28573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292248</v>
      </c>
    </row>
    <row r="96" spans="8:24" ht="15.75">
      <c r="H96" s="39" t="s">
        <v>112</v>
      </c>
      <c r="I96" s="63">
        <f>ONSV_AUX_2020!B64</f>
        <v>1247</v>
      </c>
      <c r="J96" s="10">
        <f t="shared" si="3"/>
        <v>1247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5" ht="15.75">
      <c r="H97" s="39" t="s">
        <v>113</v>
      </c>
      <c r="I97" s="63">
        <f>ONSV_AUX_2020!B65</f>
        <v>1416</v>
      </c>
      <c r="J97" s="64">
        <f>I97-(L86*I82)</f>
        <v>1415.1248386415377</v>
      </c>
      <c r="K97" s="12"/>
      <c r="L97" s="12"/>
      <c r="M97" s="12"/>
      <c r="N97" s="12"/>
      <c r="O97" s="12"/>
      <c r="P97" s="12"/>
      <c r="Q97" s="4"/>
      <c r="R97" s="4"/>
    </row>
    <row r="98" spans="1:25" ht="15.75">
      <c r="H98" s="41"/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5" ht="15.75">
      <c r="H99" s="41"/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5" s="33" customFormat="1" ht="15.75">
      <c r="A100" s="100" t="str">
        <f>"ACRE/"&amp;ONSV_AUX_2019!A1&amp;""</f>
        <v>ACRE/2019</v>
      </c>
      <c r="B100" s="101"/>
      <c r="C100" s="101"/>
      <c r="D100" s="101"/>
      <c r="E100" s="101"/>
      <c r="F100" s="101"/>
    </row>
    <row r="101" spans="1:25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5" ht="15.75">
      <c r="J103" s="9"/>
      <c r="M103" s="27"/>
      <c r="N103" s="9"/>
      <c r="O103" s="9"/>
      <c r="P103" s="9"/>
      <c r="Q103" s="11"/>
      <c r="R103" s="11"/>
      <c r="S103" s="11"/>
    </row>
    <row r="104" spans="1:25" ht="15.75">
      <c r="H104" s="38" t="s">
        <v>81</v>
      </c>
      <c r="I104" s="63">
        <f>ONSV_AUX_2019!B27</f>
        <v>3617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5" ht="15.75">
      <c r="H105" s="38" t="s">
        <v>84</v>
      </c>
      <c r="I105" s="63">
        <f>ONSV_AUX_2019!B28</f>
        <v>110139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5" ht="15.75">
      <c r="H106" s="38" t="s">
        <v>85</v>
      </c>
      <c r="I106" s="63">
        <f>ONSV_AUX_2019!B29</f>
        <v>26234</v>
      </c>
      <c r="J106" s="9"/>
      <c r="K106" s="2" t="s">
        <v>122</v>
      </c>
      <c r="L106" s="63">
        <f>I113+I116+I117+I122</f>
        <v>122315</v>
      </c>
      <c r="N106" s="30" t="s">
        <v>123</v>
      </c>
      <c r="O106" s="63">
        <f>J113+J122</f>
        <v>90585.589780484821</v>
      </c>
      <c r="P106" s="67"/>
      <c r="Q106" s="68" t="s">
        <v>124</v>
      </c>
      <c r="R106" s="63">
        <f>J116+J117</f>
        <v>31692.410219515186</v>
      </c>
      <c r="S106" s="69"/>
      <c r="T106" s="68" t="s">
        <v>125</v>
      </c>
      <c r="U106" s="70">
        <f>O110</f>
        <v>1343.5934431590565</v>
      </c>
      <c r="V106" s="51"/>
      <c r="W106" s="68" t="s">
        <v>126</v>
      </c>
      <c r="X106" s="71">
        <f>R112</f>
        <v>2265.8494732193553</v>
      </c>
    </row>
    <row r="107" spans="1:25" ht="15.75">
      <c r="H107" s="38" t="s">
        <v>102</v>
      </c>
      <c r="I107" s="63">
        <f>ONSV_AUX_2019!B30</f>
        <v>37</v>
      </c>
      <c r="J107" s="9"/>
      <c r="K107" s="29"/>
      <c r="L107" s="65"/>
      <c r="M107" s="22"/>
      <c r="N107" s="30" t="s">
        <v>127</v>
      </c>
      <c r="O107" s="72">
        <f>J113/O106</f>
        <v>0.98516769117014114</v>
      </c>
      <c r="P107" s="67"/>
      <c r="Q107" s="73" t="s">
        <v>128</v>
      </c>
      <c r="R107" s="66">
        <f>J116/R106</f>
        <v>0.86209071982840202</v>
      </c>
      <c r="S107" s="74"/>
      <c r="T107" s="68" t="s">
        <v>129</v>
      </c>
      <c r="U107" s="70">
        <f>I122-J122</f>
        <v>0.40655684094349454</v>
      </c>
      <c r="V107" s="51"/>
      <c r="W107" s="68" t="s">
        <v>130</v>
      </c>
      <c r="X107" s="71">
        <f>I117-J117</f>
        <v>1.3225197236642998</v>
      </c>
    </row>
    <row r="108" spans="1:25" ht="15.75">
      <c r="H108" s="38" t="s">
        <v>16</v>
      </c>
      <c r="I108" s="63">
        <f>ONSV_AUX_2019!B31</f>
        <v>14</v>
      </c>
      <c r="J108" s="9"/>
      <c r="K108" s="2" t="s">
        <v>131</v>
      </c>
      <c r="L108" s="66">
        <f>I113/L106</f>
        <v>0.72982872092547935</v>
      </c>
      <c r="M108" s="22"/>
      <c r="N108" s="30" t="s">
        <v>132</v>
      </c>
      <c r="O108" s="72">
        <f>J122/O106</f>
        <v>1.4832308829858849E-2</v>
      </c>
      <c r="P108" s="67"/>
      <c r="Q108" s="73" t="s">
        <v>133</v>
      </c>
      <c r="R108" s="66">
        <f>J117/R106</f>
        <v>0.13790928017159801</v>
      </c>
      <c r="S108" s="74"/>
      <c r="T108" s="68" t="s">
        <v>134</v>
      </c>
      <c r="U108" s="75">
        <f>O112</f>
        <v>0</v>
      </c>
      <c r="V108" s="76"/>
      <c r="W108" s="68" t="s">
        <v>135</v>
      </c>
      <c r="X108" s="75">
        <f>R115</f>
        <v>2104.8280070569804</v>
      </c>
    </row>
    <row r="109" spans="1:25" ht="15.75">
      <c r="H109" s="38" t="s">
        <v>94</v>
      </c>
      <c r="I109" s="63">
        <f>ONSV_AUX_2019!B32</f>
        <v>139516</v>
      </c>
      <c r="J109" s="10"/>
      <c r="K109" s="2" t="s">
        <v>2</v>
      </c>
      <c r="L109" s="66">
        <f>I116/L106</f>
        <v>0.22343948003106734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5" ht="15.75">
      <c r="K110" s="2" t="s">
        <v>3</v>
      </c>
      <c r="L110" s="66">
        <f>I117/L106</f>
        <v>3.5743776315251607E-2</v>
      </c>
      <c r="M110" s="22"/>
      <c r="N110" s="30" t="s">
        <v>136</v>
      </c>
      <c r="O110" s="63">
        <f>IF(O108*I105&gt;J122,J122,O108*I105)</f>
        <v>1343.5934431590565</v>
      </c>
      <c r="P110" s="79"/>
      <c r="Q110" s="68" t="s">
        <v>137</v>
      </c>
      <c r="R110" s="63">
        <f>I106-I114-I115-I118-I121</f>
        <v>16430</v>
      </c>
      <c r="S110" s="80"/>
      <c r="T110" s="68" t="s">
        <v>138</v>
      </c>
      <c r="U110" s="70">
        <f>O118</f>
        <v>85610.996337325763</v>
      </c>
      <c r="V110" s="79"/>
      <c r="W110" s="68" t="s">
        <v>139</v>
      </c>
      <c r="X110" s="70">
        <f>I114</f>
        <v>7295</v>
      </c>
    </row>
    <row r="111" spans="1:25" ht="15.75">
      <c r="H111" s="26" t="s">
        <v>140</v>
      </c>
      <c r="K111" s="2" t="s">
        <v>0</v>
      </c>
      <c r="L111" s="66">
        <f>I122/L106</f>
        <v>1.0988022728201773E-2</v>
      </c>
      <c r="O111" s="51"/>
      <c r="P111" s="79"/>
      <c r="Q111" s="68" t="s">
        <v>141</v>
      </c>
      <c r="R111" s="63">
        <f>R107*R110</f>
        <v>14164.150526780646</v>
      </c>
      <c r="S111" s="51"/>
      <c r="T111" s="68" t="s">
        <v>142</v>
      </c>
      <c r="U111" s="70">
        <f>O116</f>
        <v>3617</v>
      </c>
      <c r="V111" s="69"/>
      <c r="W111" s="68" t="s">
        <v>143</v>
      </c>
      <c r="X111" s="70">
        <f>I115</f>
        <v>942</v>
      </c>
    </row>
    <row r="112" spans="1:25" ht="15.75">
      <c r="K112" s="11"/>
      <c r="L112" s="11"/>
      <c r="M112" s="11"/>
      <c r="N112" s="30" t="s">
        <v>144</v>
      </c>
      <c r="O112" s="63">
        <f>J122-O110</f>
        <v>0</v>
      </c>
      <c r="P112" s="79"/>
      <c r="Q112" s="68" t="s">
        <v>126</v>
      </c>
      <c r="R112" s="63">
        <f>R108*R110</f>
        <v>2265.8494732193553</v>
      </c>
      <c r="S112" s="51"/>
      <c r="T112" s="68" t="s">
        <v>145</v>
      </c>
      <c r="U112" s="70">
        <f>O117</f>
        <v>14</v>
      </c>
      <c r="V112" s="74"/>
      <c r="W112" s="51"/>
      <c r="X112" s="65"/>
    </row>
    <row r="113" spans="8:24" ht="15.75">
      <c r="H113" s="39" t="s">
        <v>104</v>
      </c>
      <c r="I113" s="63">
        <f>ONSV_AUX_2019!B56</f>
        <v>89269</v>
      </c>
      <c r="J113" s="64">
        <f>I113-(L108*I107)</f>
        <v>89241.996337325763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27.003662674236693</v>
      </c>
      <c r="V113" s="74"/>
      <c r="W113" s="68" t="s">
        <v>147</v>
      </c>
      <c r="X113" s="70">
        <f>I121</f>
        <v>1197</v>
      </c>
    </row>
    <row r="114" spans="8:24" ht="15.75">
      <c r="H114" s="39" t="s">
        <v>105</v>
      </c>
      <c r="I114" s="63">
        <f>ONSV_AUX_2019!B57</f>
        <v>7295</v>
      </c>
      <c r="J114" s="10">
        <f>I114</f>
        <v>7295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13157.582212458205</v>
      </c>
      <c r="S114" s="51"/>
      <c r="T114" s="68" t="s">
        <v>150</v>
      </c>
      <c r="U114" s="75">
        <f>O119</f>
        <v>0</v>
      </c>
      <c r="V114" s="51"/>
      <c r="W114" s="68" t="s">
        <v>151</v>
      </c>
      <c r="X114" s="70">
        <f>I118</f>
        <v>370</v>
      </c>
    </row>
    <row r="115" spans="8:24" ht="15.75">
      <c r="H115" s="39" t="s">
        <v>106</v>
      </c>
      <c r="I115" s="63">
        <f>ONSV_AUX_2019!B58</f>
        <v>942</v>
      </c>
      <c r="J115" s="10">
        <f>I115</f>
        <v>942</v>
      </c>
      <c r="K115" s="11"/>
      <c r="L115" s="11"/>
      <c r="M115" s="11"/>
      <c r="O115" s="76"/>
      <c r="P115" s="79"/>
      <c r="Q115" s="68" t="s">
        <v>135</v>
      </c>
      <c r="R115" s="63">
        <f>J117-R112</f>
        <v>2104.8280070569804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ONSV_AUX_2019!B59</f>
        <v>27330</v>
      </c>
      <c r="J116" s="64">
        <f>I116-(L109*I107)</f>
        <v>27321.732739238851</v>
      </c>
      <c r="K116" s="11"/>
      <c r="L116" s="11"/>
      <c r="M116" s="11"/>
      <c r="N116" s="30" t="s">
        <v>142</v>
      </c>
      <c r="O116" s="63">
        <f>I104</f>
        <v>3617</v>
      </c>
      <c r="P116" s="79"/>
      <c r="Q116" s="51"/>
      <c r="R116" s="51"/>
      <c r="S116" s="80"/>
      <c r="T116" s="68" t="s">
        <v>141</v>
      </c>
      <c r="U116" s="71">
        <f>R111</f>
        <v>14164.150526780646</v>
      </c>
      <c r="V116" s="51"/>
      <c r="W116" s="68" t="s">
        <v>152</v>
      </c>
      <c r="X116" s="70">
        <f>I119</f>
        <v>120785</v>
      </c>
    </row>
    <row r="117" spans="8:24" ht="15.75">
      <c r="H117" s="39" t="s">
        <v>108</v>
      </c>
      <c r="I117" s="63">
        <f>ONSV_AUX_2019!B60</f>
        <v>4372</v>
      </c>
      <c r="J117" s="64">
        <f>I117-(L110*I107)</f>
        <v>4370.6774802763357</v>
      </c>
      <c r="K117" s="11"/>
      <c r="L117" s="11"/>
      <c r="M117" s="11"/>
      <c r="N117" s="30" t="s">
        <v>145</v>
      </c>
      <c r="O117" s="63">
        <f>I108</f>
        <v>14</v>
      </c>
      <c r="P117" s="79"/>
      <c r="Q117" s="51"/>
      <c r="R117" s="51"/>
      <c r="S117" s="51"/>
      <c r="T117" s="68" t="s">
        <v>153</v>
      </c>
      <c r="U117" s="71">
        <f>I116-J116</f>
        <v>8.2672607611493731</v>
      </c>
      <c r="V117" s="51"/>
      <c r="W117" s="68" t="s">
        <v>154</v>
      </c>
      <c r="X117" s="70">
        <f>I120</f>
        <v>26743</v>
      </c>
    </row>
    <row r="118" spans="8:24" ht="15.75">
      <c r="H118" s="39" t="s">
        <v>109</v>
      </c>
      <c r="I118" s="63">
        <f>ONSV_AUX_2019!B61</f>
        <v>370</v>
      </c>
      <c r="J118" s="10">
        <f>I118</f>
        <v>370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85610.996337325763</v>
      </c>
      <c r="P118" s="79"/>
      <c r="Q118" s="51"/>
      <c r="R118" s="81"/>
      <c r="S118" s="51"/>
      <c r="T118" s="68" t="s">
        <v>149</v>
      </c>
      <c r="U118" s="75">
        <f>R114</f>
        <v>13157.582212458205</v>
      </c>
      <c r="V118" s="51"/>
      <c r="W118" s="51"/>
      <c r="X118" s="51"/>
    </row>
    <row r="119" spans="8:24" ht="15.75">
      <c r="H119" s="39" t="s">
        <v>110</v>
      </c>
      <c r="I119" s="63">
        <f>ONSV_AUX_2019!B62</f>
        <v>120785</v>
      </c>
      <c r="J119" s="10">
        <f t="shared" ref="J119:J121" si="4">I119</f>
        <v>120785</v>
      </c>
      <c r="K119" s="11"/>
      <c r="L119" s="11"/>
      <c r="M119" s="11"/>
      <c r="N119" s="30" t="s">
        <v>150</v>
      </c>
      <c r="O119" s="63">
        <f>IF((J113-O116-O118-O117)&lt;0,0,(J113-O116-O118-O117))</f>
        <v>0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ONSV_AUX_2019!B63</f>
        <v>26743</v>
      </c>
      <c r="J120" s="10">
        <f t="shared" si="4"/>
        <v>26743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279647</v>
      </c>
    </row>
    <row r="121" spans="8:24" ht="15.75">
      <c r="H121" s="39" t="s">
        <v>112</v>
      </c>
      <c r="I121" s="63">
        <f>ONSV_AUX_2019!B64</f>
        <v>1197</v>
      </c>
      <c r="J121" s="10">
        <f t="shared" si="4"/>
        <v>1197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ONSV_AUX_2019!B65</f>
        <v>1344</v>
      </c>
      <c r="J122" s="64">
        <f>I122-(L111*I107)</f>
        <v>1343.5934431590565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K104:L104"/>
    <mergeCell ref="K29:L29"/>
    <mergeCell ref="K54:L54"/>
    <mergeCell ref="A50:F50"/>
    <mergeCell ref="T27:X27"/>
    <mergeCell ref="T52:X52"/>
    <mergeCell ref="A75:F75"/>
    <mergeCell ref="K79:L79"/>
    <mergeCell ref="A1:F1"/>
    <mergeCell ref="Q4:R4"/>
    <mergeCell ref="T4:X4"/>
    <mergeCell ref="K5:L5"/>
    <mergeCell ref="A100:F100"/>
    <mergeCell ref="A25:F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Y122"/>
  <sheetViews>
    <sheetView showGridLines="0" topLeftCell="A91" zoomScale="90" zoomScaleNormal="90" workbookViewId="0">
      <selection activeCell="A2" sqref="A2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</cols>
  <sheetData>
    <row r="1" spans="1:24" s="33" customFormat="1" ht="15.75">
      <c r="A1" s="100" t="str">
        <f>"ALAGOAS/"&amp;ONSV_AUX_2023!A1&amp;""</f>
        <v>ALAGOAS/2023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ONSV_AUX_2023!C27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ONSV_AUX_2023!C28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ONSV_AUX_2023!C29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ONSV_AUX_2023!C30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ONSV_AUX_2023!C31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ONSV_AUX_2023!C32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ONSV_AUX_2023!C56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ONSV_AUX_2023!C57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ONSV_AUX_2023!C58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ONSV_AUX_2023!C59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ONSV_AUX_2023!C60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ONSV_AUX_2023!C61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ONSV_AUX_2023!C62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ONSV_AUX_2023!C63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ONSV_AUX_2023!C64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ONSV_AUX_2023!C65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3" customFormat="1" ht="15.75">
      <c r="A25" s="100" t="str">
        <f>"ALAGOAS/"&amp;ONSV_AUX_2022!A1&amp;""</f>
        <v>ALAGOAS/2022</v>
      </c>
      <c r="B25" s="101"/>
      <c r="C25" s="101"/>
      <c r="D25" s="101"/>
      <c r="E25" s="101"/>
      <c r="F25" s="101"/>
    </row>
    <row r="26" spans="1:24" s="4" customFormat="1" ht="15.75">
      <c r="A26" s="34"/>
      <c r="B26" s="34"/>
      <c r="C26" s="34"/>
      <c r="D26" s="34"/>
      <c r="E26" s="34"/>
      <c r="F26" s="3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ONSV_AUX_2022!C27</f>
        <v>24326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ONSV_AUX_2022!C28</f>
        <v>454951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ONSV_AUX_2022!C29</f>
        <v>77620</v>
      </c>
      <c r="J31" s="9"/>
      <c r="K31" s="2" t="s">
        <v>122</v>
      </c>
      <c r="L31" s="63">
        <f>I38+I41+I42+I47</f>
        <v>511659</v>
      </c>
      <c r="N31" s="30" t="s">
        <v>123</v>
      </c>
      <c r="O31" s="63">
        <f>J38+J47</f>
        <v>420062.89040943282</v>
      </c>
      <c r="P31" s="67"/>
      <c r="Q31" s="68" t="s">
        <v>124</v>
      </c>
      <c r="R31" s="63">
        <f>J41+J42</f>
        <v>90775.109590567154</v>
      </c>
      <c r="S31" s="69"/>
      <c r="T31" s="68" t="s">
        <v>125</v>
      </c>
      <c r="U31" s="70">
        <f>O35</f>
        <v>10075.806535211928</v>
      </c>
      <c r="V31" s="51"/>
      <c r="W31" s="68" t="s">
        <v>126</v>
      </c>
      <c r="X31" s="71">
        <f>R37</f>
        <v>9426.6401381419018</v>
      </c>
    </row>
    <row r="32" spans="1:24" ht="15.75">
      <c r="H32" s="38" t="s">
        <v>102</v>
      </c>
      <c r="I32" s="63">
        <f>ONSV_AUX_2022!C30</f>
        <v>821</v>
      </c>
      <c r="J32" s="9"/>
      <c r="K32" s="29"/>
      <c r="L32" s="65"/>
      <c r="M32" s="22"/>
      <c r="N32" s="30" t="s">
        <v>127</v>
      </c>
      <c r="O32" s="72">
        <f>J38/O31</f>
        <v>0.97601357614477424</v>
      </c>
      <c r="P32" s="67"/>
      <c r="Q32" s="73" t="s">
        <v>128</v>
      </c>
      <c r="R32" s="66">
        <f>J41/R31</f>
        <v>0.71317957347587468</v>
      </c>
      <c r="S32" s="74"/>
      <c r="T32" s="68" t="s">
        <v>129</v>
      </c>
      <c r="U32" s="70">
        <f>I47-J47</f>
        <v>16.193464788071651</v>
      </c>
      <c r="V32" s="51"/>
      <c r="W32" s="68" t="s">
        <v>130</v>
      </c>
      <c r="X32" s="71">
        <f>I42-J42</f>
        <v>41.844349459308432</v>
      </c>
    </row>
    <row r="33" spans="8:24" ht="15.75">
      <c r="H33" s="38" t="s">
        <v>16</v>
      </c>
      <c r="I33" s="63">
        <f>ONSV_AUX_2022!C31</f>
        <v>24776</v>
      </c>
      <c r="J33" s="9"/>
      <c r="K33" s="2" t="s">
        <v>131</v>
      </c>
      <c r="L33" s="66">
        <f>I38/L31</f>
        <v>0.80257749790387733</v>
      </c>
      <c r="M33" s="22"/>
      <c r="N33" s="30" t="s">
        <v>132</v>
      </c>
      <c r="O33" s="72">
        <f>J47/O31</f>
        <v>2.398642385522582E-2</v>
      </c>
      <c r="P33" s="67"/>
      <c r="Q33" s="73" t="s">
        <v>133</v>
      </c>
      <c r="R33" s="66">
        <f>J42/R31</f>
        <v>0.28682042652412532</v>
      </c>
      <c r="S33" s="74"/>
      <c r="T33" s="68" t="s">
        <v>134</v>
      </c>
      <c r="U33" s="75">
        <f>O37</f>
        <v>0</v>
      </c>
      <c r="V33" s="76"/>
      <c r="W33" s="68" t="s">
        <v>135</v>
      </c>
      <c r="X33" s="75">
        <f>R40</f>
        <v>16609.51551239879</v>
      </c>
    </row>
    <row r="34" spans="8:24" ht="15.75">
      <c r="H34" s="38" t="s">
        <v>94</v>
      </c>
      <c r="I34" s="63">
        <f>ONSV_AUX_2022!C32</f>
        <v>391781</v>
      </c>
      <c r="J34" s="10"/>
      <c r="K34" s="2" t="s">
        <v>2</v>
      </c>
      <c r="L34" s="66">
        <f>I41/L31</f>
        <v>0.12673088912732894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5.0967538927293374E-2</v>
      </c>
      <c r="M35" s="22"/>
      <c r="N35" s="30" t="s">
        <v>136</v>
      </c>
      <c r="O35" s="63">
        <f>IF(O33*I30&gt;J47,J47,O33*I30)</f>
        <v>10075.806535211928</v>
      </c>
      <c r="P35" s="79"/>
      <c r="Q35" s="68" t="s">
        <v>137</v>
      </c>
      <c r="R35" s="63">
        <f>I31-I39-I40-I43-I46</f>
        <v>32866</v>
      </c>
      <c r="S35" s="80"/>
      <c r="T35" s="68" t="s">
        <v>138</v>
      </c>
      <c r="U35" s="70">
        <f>O43</f>
        <v>360885.0838742209</v>
      </c>
      <c r="V35" s="79"/>
      <c r="W35" s="68" t="s">
        <v>139</v>
      </c>
      <c r="X35" s="70">
        <f>I39</f>
        <v>24672</v>
      </c>
    </row>
    <row r="36" spans="8:24" ht="15.75">
      <c r="H36" s="26" t="s">
        <v>140</v>
      </c>
      <c r="K36" s="2" t="s">
        <v>0</v>
      </c>
      <c r="L36" s="66">
        <f>I47/L31</f>
        <v>1.9724074041500297E-2</v>
      </c>
      <c r="O36" s="51"/>
      <c r="P36" s="79"/>
      <c r="Q36" s="68" t="s">
        <v>141</v>
      </c>
      <c r="R36" s="63">
        <f>R32*R35</f>
        <v>23439.359861858098</v>
      </c>
      <c r="S36" s="51"/>
      <c r="T36" s="68" t="s">
        <v>142</v>
      </c>
      <c r="U36" s="70">
        <f>O41</f>
        <v>24326</v>
      </c>
      <c r="V36" s="69"/>
      <c r="W36" s="68" t="s">
        <v>143</v>
      </c>
      <c r="X36" s="70">
        <f>I40</f>
        <v>3086</v>
      </c>
    </row>
    <row r="37" spans="8:24" ht="15.75">
      <c r="K37" s="11"/>
      <c r="L37" s="11"/>
      <c r="M37" s="11"/>
      <c r="N37" s="30" t="s">
        <v>144</v>
      </c>
      <c r="O37" s="63">
        <f>J47-O35</f>
        <v>0</v>
      </c>
      <c r="P37" s="79"/>
      <c r="Q37" s="68" t="s">
        <v>126</v>
      </c>
      <c r="R37" s="63">
        <f>R33*R35</f>
        <v>9426.6401381419018</v>
      </c>
      <c r="S37" s="51"/>
      <c r="T37" s="68" t="s">
        <v>145</v>
      </c>
      <c r="U37" s="70">
        <f>O42</f>
        <v>24776</v>
      </c>
      <c r="V37" s="74"/>
      <c r="W37" s="51"/>
      <c r="X37" s="65"/>
    </row>
    <row r="38" spans="8:24" ht="15.75">
      <c r="H38" s="39" t="s">
        <v>104</v>
      </c>
      <c r="I38" s="63">
        <f>ONSV_AUX_2022!C56</f>
        <v>410646</v>
      </c>
      <c r="J38" s="64">
        <f>I38-(L33*I32)</f>
        <v>409987.0838742209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658.91612577909837</v>
      </c>
      <c r="V38" s="74"/>
      <c r="W38" s="68" t="s">
        <v>147</v>
      </c>
      <c r="X38" s="70">
        <f>I46</f>
        <v>9548</v>
      </c>
    </row>
    <row r="39" spans="8:24" ht="15.75">
      <c r="H39" s="39" t="s">
        <v>105</v>
      </c>
      <c r="I39" s="63">
        <f>ONSV_AUX_2022!C57</f>
        <v>24672</v>
      </c>
      <c r="J39" s="10">
        <f>I39</f>
        <v>24672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41299.59407816836</v>
      </c>
      <c r="S39" s="51"/>
      <c r="T39" s="68" t="s">
        <v>150</v>
      </c>
      <c r="U39" s="75">
        <f>O44</f>
        <v>0</v>
      </c>
      <c r="V39" s="51"/>
      <c r="W39" s="68" t="s">
        <v>151</v>
      </c>
      <c r="X39" s="70">
        <f>I43</f>
        <v>7448</v>
      </c>
    </row>
    <row r="40" spans="8:24" ht="15.75">
      <c r="H40" s="39" t="s">
        <v>106</v>
      </c>
      <c r="I40" s="63">
        <f>ONSV_AUX_2022!C58</f>
        <v>3086</v>
      </c>
      <c r="J40" s="10">
        <f>I40</f>
        <v>3086</v>
      </c>
      <c r="K40" s="11"/>
      <c r="L40" s="11"/>
      <c r="M40" s="11"/>
      <c r="O40" s="76"/>
      <c r="P40" s="79"/>
      <c r="Q40" s="68" t="s">
        <v>135</v>
      </c>
      <c r="R40" s="63">
        <f>J42-R37</f>
        <v>16609.51551239879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ONSV_AUX_2022!C59</f>
        <v>64843</v>
      </c>
      <c r="J41" s="64">
        <f>I41-(L34*I32)</f>
        <v>64738.953940026462</v>
      </c>
      <c r="K41" s="11"/>
      <c r="L41" s="11"/>
      <c r="M41" s="11"/>
      <c r="N41" s="30" t="s">
        <v>142</v>
      </c>
      <c r="O41" s="63">
        <f>I29</f>
        <v>24326</v>
      </c>
      <c r="P41" s="79"/>
      <c r="Q41" s="51"/>
      <c r="R41" s="51"/>
      <c r="S41" s="80"/>
      <c r="T41" s="68" t="s">
        <v>141</v>
      </c>
      <c r="U41" s="71">
        <f>R36</f>
        <v>23439.359861858098</v>
      </c>
      <c r="V41" s="51"/>
      <c r="W41" s="68" t="s">
        <v>152</v>
      </c>
      <c r="X41" s="70">
        <f>I44</f>
        <v>355764</v>
      </c>
    </row>
    <row r="42" spans="8:24" ht="15.75">
      <c r="H42" s="39" t="s">
        <v>108</v>
      </c>
      <c r="I42" s="63">
        <f>ONSV_AUX_2022!C60</f>
        <v>26078</v>
      </c>
      <c r="J42" s="64">
        <f>I42-(L35*I32)</f>
        <v>26036.155650540692</v>
      </c>
      <c r="K42" s="11"/>
      <c r="L42" s="11"/>
      <c r="M42" s="11"/>
      <c r="N42" s="30" t="s">
        <v>145</v>
      </c>
      <c r="O42" s="63">
        <f>I33</f>
        <v>24776</v>
      </c>
      <c r="P42" s="79"/>
      <c r="Q42" s="51"/>
      <c r="R42" s="51"/>
      <c r="S42" s="51"/>
      <c r="T42" s="68" t="s">
        <v>153</v>
      </c>
      <c r="U42" s="71">
        <f>I41-J41</f>
        <v>104.04605997353792</v>
      </c>
      <c r="V42" s="51"/>
      <c r="W42" s="68" t="s">
        <v>154</v>
      </c>
      <c r="X42" s="70">
        <f>I45</f>
        <v>50567</v>
      </c>
    </row>
    <row r="43" spans="8:24" ht="15.75">
      <c r="H43" s="39" t="s">
        <v>109</v>
      </c>
      <c r="I43" s="63">
        <f>ONSV_AUX_2022!C61</f>
        <v>7448</v>
      </c>
      <c r="J43" s="10">
        <f>I43</f>
        <v>7448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360885.0838742209</v>
      </c>
      <c r="P43" s="79"/>
      <c r="Q43" s="51"/>
      <c r="R43" s="81"/>
      <c r="S43" s="51"/>
      <c r="T43" s="68" t="s">
        <v>149</v>
      </c>
      <c r="U43" s="75">
        <f>R39</f>
        <v>41299.59407816836</v>
      </c>
      <c r="V43" s="51"/>
      <c r="W43" s="51"/>
      <c r="X43" s="51"/>
    </row>
    <row r="44" spans="8:24" ht="15.75">
      <c r="H44" s="39" t="s">
        <v>110</v>
      </c>
      <c r="I44" s="63">
        <f>ONSV_AUX_2022!C62</f>
        <v>355764</v>
      </c>
      <c r="J44" s="10">
        <f t="shared" ref="J44:J46" si="1">I44</f>
        <v>355764</v>
      </c>
      <c r="K44" s="11"/>
      <c r="L44" s="11"/>
      <c r="M44" s="11"/>
      <c r="N44" s="30" t="s">
        <v>150</v>
      </c>
      <c r="O44" s="63">
        <f>IF((J38-O41-O43-O42)&lt;0,0,(J38-O41-O43-O42))</f>
        <v>0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ONSV_AUX_2022!C63</f>
        <v>50567</v>
      </c>
      <c r="J45" s="10">
        <f t="shared" si="1"/>
        <v>50567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962744</v>
      </c>
    </row>
    <row r="46" spans="8:24" ht="15.75">
      <c r="H46" s="39" t="s">
        <v>112</v>
      </c>
      <c r="I46" s="63">
        <f>ONSV_AUX_2022!C64</f>
        <v>9548</v>
      </c>
      <c r="J46" s="10">
        <f t="shared" si="1"/>
        <v>9548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ONSV_AUX_2022!C65</f>
        <v>10092</v>
      </c>
      <c r="J47" s="64">
        <f>I47-(L36*I32)</f>
        <v>10075.806535211928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3" customFormat="1" ht="15.75">
      <c r="A50" s="100" t="str">
        <f>"ALAGOAS/"&amp;ONSV_AUX_2021!A1&amp;""</f>
        <v>ALAGOAS/2021</v>
      </c>
      <c r="B50" s="101"/>
      <c r="C50" s="101"/>
      <c r="D50" s="101"/>
      <c r="E50" s="101"/>
      <c r="F50" s="101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ONSV_AUX_2021!C27</f>
        <v>24262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ONSV_AUX_2021!C28</f>
        <v>427065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ONSV_AUX_2021!C29</f>
        <v>73571</v>
      </c>
      <c r="J56" s="9"/>
      <c r="K56" s="2" t="s">
        <v>122</v>
      </c>
      <c r="L56" s="63">
        <f>I63+I66+I67+I72</f>
        <v>493935</v>
      </c>
      <c r="N56" s="30" t="s">
        <v>123</v>
      </c>
      <c r="O56" s="63">
        <f>J63+J72</f>
        <v>406674.3272130948</v>
      </c>
      <c r="P56" s="67"/>
      <c r="Q56" s="68" t="s">
        <v>124</v>
      </c>
      <c r="R56" s="63">
        <f>J66+J67</f>
        <v>86849.672786905168</v>
      </c>
      <c r="S56" s="69"/>
      <c r="T56" s="68" t="s">
        <v>125</v>
      </c>
      <c r="U56" s="70">
        <f>O60</f>
        <v>8534.8922591029186</v>
      </c>
      <c r="V56" s="51"/>
      <c r="W56" s="68" t="s">
        <v>126</v>
      </c>
      <c r="X56" s="71">
        <f>R62</f>
        <v>8848.0982950231246</v>
      </c>
    </row>
    <row r="57" spans="1:24" ht="15.75">
      <c r="H57" s="38" t="s">
        <v>102</v>
      </c>
      <c r="I57" s="63">
        <f>ONSV_AUX_2021!C30</f>
        <v>411</v>
      </c>
      <c r="J57" s="9"/>
      <c r="K57" s="29"/>
      <c r="L57" s="65"/>
      <c r="M57" s="22"/>
      <c r="N57" s="30" t="s">
        <v>127</v>
      </c>
      <c r="O57" s="72">
        <f>J63/O56</f>
        <v>0.97901295536014821</v>
      </c>
      <c r="P57" s="67"/>
      <c r="Q57" s="73" t="s">
        <v>128</v>
      </c>
      <c r="R57" s="66">
        <f>J66/R56</f>
        <v>0.71698764409470561</v>
      </c>
      <c r="S57" s="74"/>
      <c r="T57" s="68" t="s">
        <v>129</v>
      </c>
      <c r="U57" s="70">
        <f>I72-J72</f>
        <v>7.1077408970813849</v>
      </c>
      <c r="V57" s="51"/>
      <c r="W57" s="68" t="s">
        <v>130</v>
      </c>
      <c r="X57" s="71">
        <f>I67-J67</f>
        <v>20.469494974033296</v>
      </c>
    </row>
    <row r="58" spans="1:24" ht="15.75">
      <c r="H58" s="38" t="s">
        <v>16</v>
      </c>
      <c r="I58" s="63">
        <f>ONSV_AUX_2021!C31</f>
        <v>23693</v>
      </c>
      <c r="J58" s="9"/>
      <c r="K58" s="2" t="s">
        <v>131</v>
      </c>
      <c r="L58" s="66">
        <f>I63/L56</f>
        <v>0.80672760585907055</v>
      </c>
      <c r="M58" s="22"/>
      <c r="N58" s="30" t="s">
        <v>132</v>
      </c>
      <c r="O58" s="72">
        <f>J72/O56</f>
        <v>2.09870446398518E-2</v>
      </c>
      <c r="P58" s="67"/>
      <c r="Q58" s="73" t="s">
        <v>133</v>
      </c>
      <c r="R58" s="66">
        <f>J67/R56</f>
        <v>0.28301235590529439</v>
      </c>
      <c r="S58" s="74"/>
      <c r="T58" s="68" t="s">
        <v>134</v>
      </c>
      <c r="U58" s="75">
        <f>O62</f>
        <v>0</v>
      </c>
      <c r="V58" s="76"/>
      <c r="W58" s="68" t="s">
        <v>135</v>
      </c>
      <c r="X58" s="75">
        <f>R65</f>
        <v>15731.432210002842</v>
      </c>
    </row>
    <row r="59" spans="1:24" ht="15.75">
      <c r="H59" s="38" t="s">
        <v>94</v>
      </c>
      <c r="I59" s="63">
        <f>ONSV_AUX_2021!C32</f>
        <v>377312</v>
      </c>
      <c r="J59" s="10"/>
      <c r="K59" s="2" t="s">
        <v>2</v>
      </c>
      <c r="L59" s="66">
        <f>I66/L56</f>
        <v>0.12617449664429531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4.9804124024416169E-2</v>
      </c>
      <c r="M60" s="22"/>
      <c r="N60" s="30" t="s">
        <v>136</v>
      </c>
      <c r="O60" s="63">
        <f>IF(O58*I55&gt;J72,J72,O58*I55)</f>
        <v>8534.8922591029186</v>
      </c>
      <c r="P60" s="79"/>
      <c r="Q60" s="68" t="s">
        <v>137</v>
      </c>
      <c r="R60" s="63">
        <f>I56-I64-I65-I68-I71</f>
        <v>31264</v>
      </c>
      <c r="S60" s="80"/>
      <c r="T60" s="68" t="s">
        <v>138</v>
      </c>
      <c r="U60" s="70">
        <f>O68</f>
        <v>350184.43495399191</v>
      </c>
      <c r="V60" s="79"/>
      <c r="W60" s="68" t="s">
        <v>139</v>
      </c>
      <c r="X60" s="70">
        <f>I64</f>
        <v>23311</v>
      </c>
    </row>
    <row r="61" spans="1:24" ht="15.75">
      <c r="H61" s="26" t="s">
        <v>140</v>
      </c>
      <c r="K61" s="2" t="s">
        <v>0</v>
      </c>
      <c r="L61" s="66">
        <f>I72/L56</f>
        <v>1.7293773472218003E-2</v>
      </c>
      <c r="O61" s="51"/>
      <c r="P61" s="79"/>
      <c r="Q61" s="68" t="s">
        <v>141</v>
      </c>
      <c r="R61" s="63">
        <f>R57*R60</f>
        <v>22415.901704976877</v>
      </c>
      <c r="S61" s="51"/>
      <c r="T61" s="68" t="s">
        <v>142</v>
      </c>
      <c r="U61" s="70">
        <f>O66</f>
        <v>24262</v>
      </c>
      <c r="V61" s="69"/>
      <c r="W61" s="68" t="s">
        <v>143</v>
      </c>
      <c r="X61" s="70">
        <f>I65</f>
        <v>2925</v>
      </c>
    </row>
    <row r="62" spans="1:24" ht="15.75">
      <c r="K62" s="11"/>
      <c r="L62" s="11"/>
      <c r="M62" s="11"/>
      <c r="N62" s="30" t="s">
        <v>144</v>
      </c>
      <c r="O62" s="63">
        <f>J72-O60</f>
        <v>0</v>
      </c>
      <c r="P62" s="79"/>
      <c r="Q62" s="68" t="s">
        <v>126</v>
      </c>
      <c r="R62" s="63">
        <f>R58*R60</f>
        <v>8848.0982950231246</v>
      </c>
      <c r="S62" s="51"/>
      <c r="T62" s="68" t="s">
        <v>145</v>
      </c>
      <c r="U62" s="70">
        <f>O67</f>
        <v>23693</v>
      </c>
      <c r="V62" s="74"/>
      <c r="W62" s="51"/>
      <c r="X62" s="65"/>
    </row>
    <row r="63" spans="1:24" ht="15.75">
      <c r="H63" s="39" t="s">
        <v>104</v>
      </c>
      <c r="I63" s="63">
        <f>ONSV_AUX_2021!C56</f>
        <v>398471</v>
      </c>
      <c r="J63" s="64">
        <f>I63-(L58*I57)</f>
        <v>398139.43495399191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331.56504600809421</v>
      </c>
      <c r="V63" s="74"/>
      <c r="W63" s="68" t="s">
        <v>147</v>
      </c>
      <c r="X63" s="70">
        <f>I71</f>
        <v>8883</v>
      </c>
    </row>
    <row r="64" spans="1:24" ht="15.75">
      <c r="H64" s="39" t="s">
        <v>105</v>
      </c>
      <c r="I64" s="63">
        <f>ONSV_AUX_2021!C57</f>
        <v>23311</v>
      </c>
      <c r="J64" s="10">
        <f>I64</f>
        <v>23311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39854.240576902317</v>
      </c>
      <c r="S64" s="51"/>
      <c r="T64" s="68" t="s">
        <v>150</v>
      </c>
      <c r="U64" s="75">
        <f>O69</f>
        <v>0</v>
      </c>
      <c r="V64" s="51"/>
      <c r="W64" s="68" t="s">
        <v>151</v>
      </c>
      <c r="X64" s="70">
        <f>I68</f>
        <v>7188</v>
      </c>
    </row>
    <row r="65" spans="1:24" ht="15.75">
      <c r="H65" s="39" t="s">
        <v>106</v>
      </c>
      <c r="I65" s="63">
        <f>ONSV_AUX_2021!C58</f>
        <v>2925</v>
      </c>
      <c r="J65" s="10">
        <f>I65</f>
        <v>2925</v>
      </c>
      <c r="K65" s="11"/>
      <c r="L65" s="11"/>
      <c r="M65" s="11"/>
      <c r="O65" s="76"/>
      <c r="P65" s="79"/>
      <c r="Q65" s="68" t="s">
        <v>135</v>
      </c>
      <c r="R65" s="63">
        <f>J67-R62</f>
        <v>15731.432210002842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ONSV_AUX_2021!C59</f>
        <v>62322</v>
      </c>
      <c r="J66" s="64">
        <f>I66-(L59*I57)</f>
        <v>62270.142281879198</v>
      </c>
      <c r="K66" s="11"/>
      <c r="L66" s="11"/>
      <c r="M66" s="11"/>
      <c r="N66" s="30" t="s">
        <v>142</v>
      </c>
      <c r="O66" s="63">
        <f>I54</f>
        <v>24262</v>
      </c>
      <c r="P66" s="79"/>
      <c r="Q66" s="51"/>
      <c r="R66" s="51"/>
      <c r="S66" s="80"/>
      <c r="T66" s="68" t="s">
        <v>141</v>
      </c>
      <c r="U66" s="71">
        <f>R61</f>
        <v>22415.901704976877</v>
      </c>
      <c r="V66" s="51"/>
      <c r="W66" s="68" t="s">
        <v>152</v>
      </c>
      <c r="X66" s="70">
        <f>I69</f>
        <v>332856</v>
      </c>
    </row>
    <row r="67" spans="1:24" ht="15.75">
      <c r="H67" s="39" t="s">
        <v>108</v>
      </c>
      <c r="I67" s="63">
        <f>ONSV_AUX_2021!C60</f>
        <v>24600</v>
      </c>
      <c r="J67" s="64">
        <f>I67-(L60*I57)</f>
        <v>24579.530505025967</v>
      </c>
      <c r="K67" s="11"/>
      <c r="L67" s="11"/>
      <c r="M67" s="11"/>
      <c r="N67" s="30" t="s">
        <v>145</v>
      </c>
      <c r="O67" s="63">
        <f>I58</f>
        <v>23693</v>
      </c>
      <c r="P67" s="79"/>
      <c r="Q67" s="51"/>
      <c r="R67" s="51"/>
      <c r="S67" s="51"/>
      <c r="T67" s="68" t="s">
        <v>153</v>
      </c>
      <c r="U67" s="71">
        <f>I66-J66</f>
        <v>51.857718120802019</v>
      </c>
      <c r="V67" s="51"/>
      <c r="W67" s="68" t="s">
        <v>154</v>
      </c>
      <c r="X67" s="70">
        <f>I70</f>
        <v>46900</v>
      </c>
    </row>
    <row r="68" spans="1:24" ht="15.75">
      <c r="H68" s="39" t="s">
        <v>109</v>
      </c>
      <c r="I68" s="63">
        <f>ONSV_AUX_2021!C61</f>
        <v>7188</v>
      </c>
      <c r="J68" s="10">
        <f>I68</f>
        <v>7188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350184.43495399191</v>
      </c>
      <c r="P68" s="79"/>
      <c r="Q68" s="51"/>
      <c r="R68" s="81"/>
      <c r="S68" s="51"/>
      <c r="T68" s="68" t="s">
        <v>149</v>
      </c>
      <c r="U68" s="75">
        <f>R64</f>
        <v>39854.240576902317</v>
      </c>
      <c r="V68" s="51"/>
      <c r="W68" s="51"/>
      <c r="X68" s="51"/>
    </row>
    <row r="69" spans="1:24" ht="15.75">
      <c r="H69" s="39" t="s">
        <v>110</v>
      </c>
      <c r="I69" s="63">
        <f>ONSV_AUX_2021!C62</f>
        <v>332856</v>
      </c>
      <c r="J69" s="10">
        <f t="shared" ref="J69:J71" si="2">I69</f>
        <v>332856</v>
      </c>
      <c r="K69" s="11"/>
      <c r="L69" s="11"/>
      <c r="M69" s="11"/>
      <c r="N69" s="30" t="s">
        <v>150</v>
      </c>
      <c r="O69" s="63">
        <f>IF((J63-O66-O68-O67)&lt;0,0,(J63-O66-O68-O67))</f>
        <v>0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ONSV_AUX_2021!C63</f>
        <v>46900</v>
      </c>
      <c r="J70" s="10">
        <f t="shared" si="2"/>
        <v>46900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915998</v>
      </c>
    </row>
    <row r="71" spans="1:24" ht="15.75">
      <c r="H71" s="39" t="s">
        <v>112</v>
      </c>
      <c r="I71" s="63">
        <f>ONSV_AUX_2021!C64</f>
        <v>8883</v>
      </c>
      <c r="J71" s="10">
        <f t="shared" si="2"/>
        <v>8883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ONSV_AUX_2021!C65</f>
        <v>8542</v>
      </c>
      <c r="J72" s="64">
        <f>I72-(L61*I57)</f>
        <v>8534.8922591029186</v>
      </c>
      <c r="K72" s="12"/>
      <c r="L72" s="12"/>
      <c r="M72" s="12"/>
      <c r="N72" s="12"/>
      <c r="O72" s="12"/>
      <c r="P72" s="12"/>
      <c r="Q72" s="4"/>
      <c r="R72" s="4"/>
    </row>
    <row r="73" spans="1:24" ht="15.75">
      <c r="H73" s="7"/>
    </row>
    <row r="75" spans="1:24" s="33" customFormat="1" ht="15.75">
      <c r="A75" s="100" t="str">
        <f>"ALAGOAS/"&amp;ONSV_AUX_2020!A1&amp;""</f>
        <v>ALAGOAS/2020</v>
      </c>
      <c r="B75" s="101"/>
      <c r="C75" s="101"/>
      <c r="D75" s="101"/>
      <c r="E75" s="101"/>
      <c r="F75" s="101"/>
    </row>
    <row r="76" spans="1:24" s="4" customFormat="1" ht="15.75">
      <c r="A76" s="34"/>
      <c r="B76" s="34"/>
      <c r="C76" s="34"/>
      <c r="D76" s="34"/>
      <c r="E76" s="34"/>
      <c r="F76" s="34"/>
    </row>
    <row r="77" spans="1:24" ht="15.75">
      <c r="A77" s="12"/>
      <c r="H77" s="25" t="s">
        <v>117</v>
      </c>
      <c r="P77" s="9"/>
    </row>
    <row r="78" spans="1:24" ht="15.75">
      <c r="B78" s="5"/>
      <c r="J78" s="9"/>
      <c r="M78" s="27"/>
      <c r="P78" s="9"/>
    </row>
    <row r="79" spans="1:24" ht="15.75">
      <c r="H79" s="38" t="s">
        <v>81</v>
      </c>
      <c r="I79" s="63">
        <f>ONSV_AUX_2020!C27</f>
        <v>24203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ONSV_AUX_2020!C28</f>
        <v>395268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ONSV_AUX_2020!C29</f>
        <v>70420</v>
      </c>
      <c r="J81" s="9"/>
      <c r="K81" s="2" t="s">
        <v>122</v>
      </c>
      <c r="L81" s="63">
        <f>I88+I91+I92+I97</f>
        <v>469998</v>
      </c>
      <c r="N81" s="30" t="s">
        <v>123</v>
      </c>
      <c r="O81" s="63">
        <f>J88+J97</f>
        <v>387308.07041944854</v>
      </c>
      <c r="P81" s="67"/>
      <c r="Q81" s="68" t="s">
        <v>124</v>
      </c>
      <c r="R81" s="63">
        <f>J91+J92</f>
        <v>82552.929580551398</v>
      </c>
      <c r="S81" s="69"/>
      <c r="T81" s="68" t="s">
        <v>125</v>
      </c>
      <c r="U81" s="70">
        <f>O85</f>
        <v>7174.9079719488172</v>
      </c>
      <c r="V81" s="51"/>
      <c r="W81" s="68" t="s">
        <v>126</v>
      </c>
      <c r="X81" s="71">
        <f>R87</f>
        <v>8364.3162139578835</v>
      </c>
    </row>
    <row r="82" spans="8:24" ht="15.75">
      <c r="H82" s="38" t="s">
        <v>102</v>
      </c>
      <c r="I82" s="63">
        <f>ONSV_AUX_2020!C30</f>
        <v>137</v>
      </c>
      <c r="J82" s="9"/>
      <c r="K82" s="29"/>
      <c r="L82" s="65"/>
      <c r="M82" s="22"/>
      <c r="N82" s="30" t="s">
        <v>127</v>
      </c>
      <c r="O82" s="72">
        <f>J88/O81</f>
        <v>0.98147493295407329</v>
      </c>
      <c r="P82" s="67"/>
      <c r="Q82" s="73" t="s">
        <v>128</v>
      </c>
      <c r="R82" s="66">
        <f>J91/R81</f>
        <v>0.71820240502803445</v>
      </c>
      <c r="S82" s="74"/>
      <c r="T82" s="68" t="s">
        <v>129</v>
      </c>
      <c r="U82" s="70">
        <f>I97-J97</f>
        <v>2.0920280511827514</v>
      </c>
      <c r="V82" s="51"/>
      <c r="W82" s="68" t="s">
        <v>130</v>
      </c>
      <c r="X82" s="71">
        <f>I92-J92</f>
        <v>6.7829863105798722</v>
      </c>
    </row>
    <row r="83" spans="8:24" ht="15.75">
      <c r="H83" s="38" t="s">
        <v>16</v>
      </c>
      <c r="I83" s="63">
        <f>ONSV_AUX_2020!C31</f>
        <v>23129</v>
      </c>
      <c r="J83" s="9"/>
      <c r="K83" s="2" t="s">
        <v>131</v>
      </c>
      <c r="L83" s="66">
        <f>I88/L81</f>
        <v>0.80903322992863802</v>
      </c>
      <c r="M83" s="22"/>
      <c r="N83" s="30" t="s">
        <v>132</v>
      </c>
      <c r="O83" s="72">
        <f>J97/O81</f>
        <v>1.8525067045926786E-2</v>
      </c>
      <c r="P83" s="67"/>
      <c r="Q83" s="73" t="s">
        <v>133</v>
      </c>
      <c r="R83" s="66">
        <f>J92/R81</f>
        <v>0.2817975949719656</v>
      </c>
      <c r="S83" s="74"/>
      <c r="T83" s="68" t="s">
        <v>134</v>
      </c>
      <c r="U83" s="75">
        <f>O87</f>
        <v>0</v>
      </c>
      <c r="V83" s="76"/>
      <c r="W83" s="68" t="s">
        <v>135</v>
      </c>
      <c r="X83" s="75">
        <f>R90</f>
        <v>14898.900799731537</v>
      </c>
    </row>
    <row r="84" spans="8:24" ht="15.75">
      <c r="H84" s="38" t="s">
        <v>94</v>
      </c>
      <c r="I84" s="63">
        <f>ONSV_AUX_2020!C32</f>
        <v>363747</v>
      </c>
      <c r="J84" s="10"/>
      <c r="K84" s="2" t="s">
        <v>2</v>
      </c>
      <c r="L84" s="66">
        <f>I91/L81</f>
        <v>0.12618564334316315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4.9510848982336098E-2</v>
      </c>
      <c r="M85" s="22"/>
      <c r="N85" s="30" t="s">
        <v>136</v>
      </c>
      <c r="O85" s="63">
        <f>IF(O83*I80&gt;J97,J97,O83*I80)</f>
        <v>7174.9079719488172</v>
      </c>
      <c r="P85" s="79"/>
      <c r="Q85" s="68" t="s">
        <v>137</v>
      </c>
      <c r="R85" s="63">
        <f>I81-I89-I90-I93-I96</f>
        <v>29682</v>
      </c>
      <c r="S85" s="80"/>
      <c r="T85" s="68" t="s">
        <v>138</v>
      </c>
      <c r="U85" s="70">
        <f>O93</f>
        <v>332801.16244749975</v>
      </c>
      <c r="V85" s="79"/>
      <c r="W85" s="68" t="s">
        <v>139</v>
      </c>
      <c r="X85" s="70">
        <f>I89</f>
        <v>22533</v>
      </c>
    </row>
    <row r="86" spans="8:24" ht="15.75">
      <c r="H86" s="26" t="s">
        <v>140</v>
      </c>
      <c r="K86" s="2" t="s">
        <v>0</v>
      </c>
      <c r="L86" s="66">
        <f>I97/L81</f>
        <v>1.5270277745862749E-2</v>
      </c>
      <c r="O86" s="51"/>
      <c r="P86" s="79"/>
      <c r="Q86" s="68" t="s">
        <v>141</v>
      </c>
      <c r="R86" s="63">
        <f>R82*R85</f>
        <v>21317.683786042118</v>
      </c>
      <c r="S86" s="51"/>
      <c r="T86" s="68" t="s">
        <v>142</v>
      </c>
      <c r="U86" s="70">
        <f>O91</f>
        <v>24203</v>
      </c>
      <c r="V86" s="69"/>
      <c r="W86" s="68" t="s">
        <v>143</v>
      </c>
      <c r="X86" s="70">
        <f>I90</f>
        <v>2688</v>
      </c>
    </row>
    <row r="87" spans="8:24" ht="15.75">
      <c r="K87" s="11"/>
      <c r="L87" s="11"/>
      <c r="M87" s="11"/>
      <c r="N87" s="30" t="s">
        <v>144</v>
      </c>
      <c r="O87" s="63">
        <f>J97-O85</f>
        <v>0</v>
      </c>
      <c r="P87" s="79"/>
      <c r="Q87" s="68" t="s">
        <v>126</v>
      </c>
      <c r="R87" s="63">
        <f>R83*R85</f>
        <v>8364.3162139578835</v>
      </c>
      <c r="S87" s="51"/>
      <c r="T87" s="68" t="s">
        <v>145</v>
      </c>
      <c r="U87" s="70">
        <f>O92</f>
        <v>23129</v>
      </c>
      <c r="V87" s="74"/>
      <c r="W87" s="51"/>
      <c r="X87" s="65"/>
    </row>
    <row r="88" spans="8:24" ht="15.75">
      <c r="H88" s="39" t="s">
        <v>104</v>
      </c>
      <c r="I88" s="63">
        <f>ONSV_AUX_2020!C56</f>
        <v>380244</v>
      </c>
      <c r="J88" s="64">
        <f>I88-(L83*I82)</f>
        <v>380133.16244749975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110.83755250024842</v>
      </c>
      <c r="V88" s="74"/>
      <c r="W88" s="68" t="s">
        <v>147</v>
      </c>
      <c r="X88" s="70">
        <f>I96</f>
        <v>8456</v>
      </c>
    </row>
    <row r="89" spans="8:24" ht="15.75">
      <c r="H89" s="39" t="s">
        <v>105</v>
      </c>
      <c r="I89" s="63">
        <f>ONSV_AUX_2020!C57</f>
        <v>22533</v>
      </c>
      <c r="J89" s="10">
        <f>I89</f>
        <v>22533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37972.028780819863</v>
      </c>
      <c r="S89" s="51"/>
      <c r="T89" s="68" t="s">
        <v>150</v>
      </c>
      <c r="U89" s="75">
        <f>O94</f>
        <v>0</v>
      </c>
      <c r="V89" s="51"/>
      <c r="W89" s="68" t="s">
        <v>151</v>
      </c>
      <c r="X89" s="70">
        <f>I93</f>
        <v>7061</v>
      </c>
    </row>
    <row r="90" spans="8:24" ht="15.75">
      <c r="H90" s="39" t="s">
        <v>106</v>
      </c>
      <c r="I90" s="63">
        <f>ONSV_AUX_2020!C58</f>
        <v>2688</v>
      </c>
      <c r="J90" s="10">
        <f>I90</f>
        <v>2688</v>
      </c>
      <c r="K90" s="11"/>
      <c r="L90" s="11"/>
      <c r="M90" s="11"/>
      <c r="O90" s="76"/>
      <c r="P90" s="79"/>
      <c r="Q90" s="68" t="s">
        <v>135</v>
      </c>
      <c r="R90" s="63">
        <f>J92-R87</f>
        <v>14898.900799731537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ONSV_AUX_2020!C59</f>
        <v>59307</v>
      </c>
      <c r="J91" s="64">
        <f>I91-(L84*I82)</f>
        <v>59289.712566861985</v>
      </c>
      <c r="K91" s="11"/>
      <c r="L91" s="11"/>
      <c r="M91" s="11"/>
      <c r="N91" s="30" t="s">
        <v>142</v>
      </c>
      <c r="O91" s="63">
        <f>I79</f>
        <v>24203</v>
      </c>
      <c r="P91" s="79"/>
      <c r="Q91" s="51"/>
      <c r="R91" s="51"/>
      <c r="S91" s="80"/>
      <c r="T91" s="68" t="s">
        <v>141</v>
      </c>
      <c r="U91" s="71">
        <f>R86</f>
        <v>21317.683786042118</v>
      </c>
      <c r="V91" s="51"/>
      <c r="W91" s="68" t="s">
        <v>152</v>
      </c>
      <c r="X91" s="70">
        <f>I94</f>
        <v>313707</v>
      </c>
    </row>
    <row r="92" spans="8:24" ht="15.75">
      <c r="H92" s="39" t="s">
        <v>108</v>
      </c>
      <c r="I92" s="63">
        <f>ONSV_AUX_2020!C60</f>
        <v>23270</v>
      </c>
      <c r="J92" s="64">
        <f>I92-(L85*I82)</f>
        <v>23263.21701368942</v>
      </c>
      <c r="K92" s="11"/>
      <c r="L92" s="11"/>
      <c r="M92" s="11"/>
      <c r="N92" s="30" t="s">
        <v>145</v>
      </c>
      <c r="O92" s="63">
        <f>I83</f>
        <v>23129</v>
      </c>
      <c r="P92" s="79"/>
      <c r="Q92" s="51"/>
      <c r="R92" s="51"/>
      <c r="S92" s="51"/>
      <c r="T92" s="68" t="s">
        <v>153</v>
      </c>
      <c r="U92" s="71">
        <f>I91-J91</f>
        <v>17.287433138015331</v>
      </c>
      <c r="V92" s="51"/>
      <c r="W92" s="68" t="s">
        <v>154</v>
      </c>
      <c r="X92" s="70">
        <f>I95</f>
        <v>43857</v>
      </c>
    </row>
    <row r="93" spans="8:24" ht="15.75">
      <c r="H93" s="39" t="s">
        <v>109</v>
      </c>
      <c r="I93" s="63">
        <f>ONSV_AUX_2020!C61</f>
        <v>7061</v>
      </c>
      <c r="J93" s="10">
        <f>I93</f>
        <v>7061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332801.16244749975</v>
      </c>
      <c r="P93" s="79"/>
      <c r="Q93" s="51"/>
      <c r="R93" s="81"/>
      <c r="S93" s="51"/>
      <c r="T93" s="68" t="s">
        <v>149</v>
      </c>
      <c r="U93" s="75">
        <f>R89</f>
        <v>37972.028780819863</v>
      </c>
      <c r="V93" s="51"/>
      <c r="W93" s="51"/>
      <c r="X93" s="51"/>
    </row>
    <row r="94" spans="8:24" ht="15.75">
      <c r="H94" s="39" t="s">
        <v>110</v>
      </c>
      <c r="I94" s="63">
        <f>ONSV_AUX_2020!C62</f>
        <v>313707</v>
      </c>
      <c r="J94" s="10">
        <f t="shared" ref="J94:J96" si="3">I94</f>
        <v>313707</v>
      </c>
      <c r="K94" s="11"/>
      <c r="L94" s="11"/>
      <c r="M94" s="11"/>
      <c r="N94" s="30" t="s">
        <v>150</v>
      </c>
      <c r="O94" s="63">
        <f>IF((J88-O91-O93-O92)&lt;0,0,(J88-O91-O93-O92))</f>
        <v>0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ONSV_AUX_2020!C63</f>
        <v>43857</v>
      </c>
      <c r="J95" s="10">
        <f t="shared" si="3"/>
        <v>43857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868300</v>
      </c>
    </row>
    <row r="96" spans="8:24" ht="15.75">
      <c r="H96" s="39" t="s">
        <v>112</v>
      </c>
      <c r="I96" s="63">
        <f>ONSV_AUX_2020!C64</f>
        <v>8456</v>
      </c>
      <c r="J96" s="10">
        <f t="shared" si="3"/>
        <v>8456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5" ht="15.75">
      <c r="H97" s="39" t="s">
        <v>113</v>
      </c>
      <c r="I97" s="63">
        <f>ONSV_AUX_2020!C65</f>
        <v>7177</v>
      </c>
      <c r="J97" s="64">
        <f>I97-(L86*I82)</f>
        <v>7174.9079719488172</v>
      </c>
      <c r="K97" s="12"/>
      <c r="L97" s="12"/>
      <c r="M97" s="12"/>
      <c r="N97" s="12"/>
      <c r="O97" s="12"/>
      <c r="P97" s="12"/>
      <c r="Q97" s="4"/>
      <c r="R97" s="4"/>
    </row>
    <row r="98" spans="1:25" ht="15.75">
      <c r="H98" s="41"/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5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5" s="33" customFormat="1" ht="15.75">
      <c r="A100" s="100" t="str">
        <f>"ALAGOAS/"&amp;ONSV_AUX_2019!A1&amp;""</f>
        <v>ALAGOAS/2019</v>
      </c>
      <c r="B100" s="101"/>
      <c r="C100" s="101"/>
      <c r="D100" s="101"/>
      <c r="E100" s="101"/>
      <c r="F100" s="101"/>
    </row>
    <row r="101" spans="1:25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5" ht="15.75">
      <c r="J103" s="9"/>
      <c r="M103" s="27"/>
      <c r="N103" s="9"/>
      <c r="O103" s="9"/>
      <c r="P103" s="9"/>
      <c r="Q103" s="11"/>
      <c r="R103" s="11"/>
      <c r="S103" s="11"/>
    </row>
    <row r="104" spans="1:25" ht="15.75">
      <c r="H104" s="38" t="s">
        <v>81</v>
      </c>
      <c r="I104" s="63">
        <f>ONSV_AUX_2019!C27</f>
        <v>24171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5" ht="15.75">
      <c r="H105" s="38" t="s">
        <v>84</v>
      </c>
      <c r="I105" s="63">
        <f>ONSV_AUX_2019!C28</f>
        <v>370312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5" ht="15.75">
      <c r="H106" s="38" t="s">
        <v>85</v>
      </c>
      <c r="I106" s="63">
        <f>ONSV_AUX_2019!C29</f>
        <v>67410</v>
      </c>
      <c r="J106" s="9"/>
      <c r="K106" s="2" t="s">
        <v>122</v>
      </c>
      <c r="L106" s="63">
        <f>I113+I116+I117+I122</f>
        <v>450389</v>
      </c>
      <c r="N106" s="30" t="s">
        <v>123</v>
      </c>
      <c r="O106" s="63">
        <f>J113+J122</f>
        <v>371397.0125158474</v>
      </c>
      <c r="P106" s="67"/>
      <c r="Q106" s="68" t="s">
        <v>124</v>
      </c>
      <c r="R106" s="63">
        <f>J116+J117</f>
        <v>78951.987484152589</v>
      </c>
      <c r="S106" s="69"/>
      <c r="T106" s="68" t="s">
        <v>125</v>
      </c>
      <c r="U106" s="70">
        <f>O110</f>
        <v>6479.4380852381337</v>
      </c>
      <c r="V106" s="51"/>
      <c r="W106" s="68" t="s">
        <v>126</v>
      </c>
      <c r="X106" s="71">
        <f>R112</f>
        <v>7934.9681226965895</v>
      </c>
    </row>
    <row r="107" spans="1:25" ht="15.75">
      <c r="H107" s="38" t="s">
        <v>102</v>
      </c>
      <c r="I107" s="63">
        <f>ONSV_AUX_2019!C30</f>
        <v>40</v>
      </c>
      <c r="J107" s="9"/>
      <c r="K107" s="29"/>
      <c r="L107" s="65"/>
      <c r="M107" s="22"/>
      <c r="N107" s="30" t="s">
        <v>127</v>
      </c>
      <c r="O107" s="72">
        <f>J113/O106</f>
        <v>0.98250275960477074</v>
      </c>
      <c r="P107" s="67"/>
      <c r="Q107" s="73" t="s">
        <v>128</v>
      </c>
      <c r="R107" s="66">
        <f>J116/R106</f>
        <v>0.71699236312516623</v>
      </c>
      <c r="S107" s="74"/>
      <c r="T107" s="68" t="s">
        <v>129</v>
      </c>
      <c r="U107" s="70">
        <f>I122-J122</f>
        <v>0.57718994025162829</v>
      </c>
      <c r="V107" s="51"/>
      <c r="W107" s="68" t="s">
        <v>130</v>
      </c>
      <c r="X107" s="71">
        <f>I117-J117</f>
        <v>1.9845955385244451</v>
      </c>
    </row>
    <row r="108" spans="1:25" ht="15.75">
      <c r="H108" s="38" t="s">
        <v>16</v>
      </c>
      <c r="I108" s="63">
        <f>ONSV_AUX_2019!C31</f>
        <v>22321</v>
      </c>
      <c r="J108" s="9"/>
      <c r="K108" s="2" t="s">
        <v>131</v>
      </c>
      <c r="L108" s="66">
        <f>I113/L106</f>
        <v>0.81025735530841114</v>
      </c>
      <c r="M108" s="22"/>
      <c r="N108" s="30" t="s">
        <v>132</v>
      </c>
      <c r="O108" s="72">
        <f>J122/O106</f>
        <v>1.7497240395229249E-2</v>
      </c>
      <c r="P108" s="67"/>
      <c r="Q108" s="73" t="s">
        <v>133</v>
      </c>
      <c r="R108" s="66">
        <f>J117/R106</f>
        <v>0.28300763687483377</v>
      </c>
      <c r="S108" s="74"/>
      <c r="T108" s="68" t="s">
        <v>134</v>
      </c>
      <c r="U108" s="75">
        <f>O112</f>
        <v>18.984724821614691</v>
      </c>
      <c r="V108" s="76"/>
      <c r="W108" s="68" t="s">
        <v>135</v>
      </c>
      <c r="X108" s="75">
        <f>R115</f>
        <v>14409.047281764886</v>
      </c>
    </row>
    <row r="109" spans="1:25" ht="15.75">
      <c r="H109" s="38" t="s">
        <v>94</v>
      </c>
      <c r="I109" s="63">
        <f>ONSV_AUX_2019!C32</f>
        <v>352641</v>
      </c>
      <c r="J109" s="10"/>
      <c r="K109" s="2" t="s">
        <v>2</v>
      </c>
      <c r="L109" s="66">
        <f>I116/L106</f>
        <v>0.12569800772221346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5" ht="15.75">
      <c r="K110" s="2" t="s">
        <v>3</v>
      </c>
      <c r="L110" s="66">
        <f>I117/L106</f>
        <v>4.9614888463084136E-2</v>
      </c>
      <c r="M110" s="22"/>
      <c r="N110" s="30" t="s">
        <v>136</v>
      </c>
      <c r="O110" s="63">
        <f>IF(O108*I105&gt;J122,J122,O108*I105)</f>
        <v>6479.4380852381337</v>
      </c>
      <c r="P110" s="79"/>
      <c r="Q110" s="68" t="s">
        <v>137</v>
      </c>
      <c r="R110" s="63">
        <f>I106-I114-I115-I118-I121</f>
        <v>28038</v>
      </c>
      <c r="S110" s="80"/>
      <c r="T110" s="68" t="s">
        <v>138</v>
      </c>
      <c r="U110" s="70">
        <f>O118</f>
        <v>318406.58970578766</v>
      </c>
      <c r="V110" s="79"/>
      <c r="W110" s="68" t="s">
        <v>139</v>
      </c>
      <c r="X110" s="70">
        <f>I114</f>
        <v>21919</v>
      </c>
    </row>
    <row r="111" spans="1:25" ht="15.75">
      <c r="H111" s="26" t="s">
        <v>140</v>
      </c>
      <c r="K111" s="2" t="s">
        <v>0</v>
      </c>
      <c r="L111" s="66">
        <f>I122/L106</f>
        <v>1.4429748506291229E-2</v>
      </c>
      <c r="O111" s="51"/>
      <c r="P111" s="79"/>
      <c r="Q111" s="68" t="s">
        <v>141</v>
      </c>
      <c r="R111" s="63">
        <f>R107*R110</f>
        <v>20103.031877303412</v>
      </c>
      <c r="S111" s="51"/>
      <c r="T111" s="68" t="s">
        <v>142</v>
      </c>
      <c r="U111" s="70">
        <f>O116</f>
        <v>24171</v>
      </c>
      <c r="V111" s="69"/>
      <c r="W111" s="68" t="s">
        <v>143</v>
      </c>
      <c r="X111" s="70">
        <f>I115</f>
        <v>2551</v>
      </c>
    </row>
    <row r="112" spans="1:25" ht="15.75">
      <c r="K112" s="11"/>
      <c r="L112" s="11"/>
      <c r="M112" s="11"/>
      <c r="N112" s="30" t="s">
        <v>144</v>
      </c>
      <c r="O112" s="63">
        <f>J122-O110</f>
        <v>18.984724821614691</v>
      </c>
      <c r="P112" s="79"/>
      <c r="Q112" s="68" t="s">
        <v>126</v>
      </c>
      <c r="R112" s="63">
        <f>R108*R110</f>
        <v>7934.9681226965895</v>
      </c>
      <c r="S112" s="51"/>
      <c r="T112" s="68" t="s">
        <v>145</v>
      </c>
      <c r="U112" s="70">
        <f>O117</f>
        <v>22321</v>
      </c>
      <c r="V112" s="74"/>
      <c r="W112" s="51"/>
      <c r="X112" s="65"/>
    </row>
    <row r="113" spans="8:24" ht="15.75">
      <c r="H113" s="39" t="s">
        <v>104</v>
      </c>
      <c r="I113" s="63">
        <f>ONSV_AUX_2019!C56</f>
        <v>364931</v>
      </c>
      <c r="J113" s="64">
        <f>I113-(L108*I107)</f>
        <v>364898.58970578766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32.410294212342706</v>
      </c>
      <c r="V113" s="74"/>
      <c r="W113" s="68" t="s">
        <v>147</v>
      </c>
      <c r="X113" s="70">
        <f>I121</f>
        <v>7988</v>
      </c>
    </row>
    <row r="114" spans="8:24" ht="15.75">
      <c r="H114" s="39" t="s">
        <v>105</v>
      </c>
      <c r="I114" s="63">
        <f>ONSV_AUX_2019!C57</f>
        <v>21919</v>
      </c>
      <c r="J114" s="10">
        <f>I114</f>
        <v>21919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36504.940202387705</v>
      </c>
      <c r="S114" s="51"/>
      <c r="T114" s="68" t="s">
        <v>150</v>
      </c>
      <c r="U114" s="75">
        <f>O119</f>
        <v>0</v>
      </c>
      <c r="V114" s="51"/>
      <c r="W114" s="68" t="s">
        <v>151</v>
      </c>
      <c r="X114" s="70">
        <f>I118</f>
        <v>6914</v>
      </c>
    </row>
    <row r="115" spans="8:24" ht="15.75">
      <c r="H115" s="39" t="s">
        <v>106</v>
      </c>
      <c r="I115" s="63">
        <f>ONSV_AUX_2019!C58</f>
        <v>2551</v>
      </c>
      <c r="J115" s="10">
        <f>I115</f>
        <v>2551</v>
      </c>
      <c r="K115" s="11"/>
      <c r="L115" s="11"/>
      <c r="M115" s="11"/>
      <c r="O115" s="76"/>
      <c r="P115" s="79"/>
      <c r="Q115" s="68" t="s">
        <v>135</v>
      </c>
      <c r="R115" s="63">
        <f>J117-R112</f>
        <v>14409.047281764886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ONSV_AUX_2019!C59</f>
        <v>56613</v>
      </c>
      <c r="J116" s="64">
        <f>I116-(L109*I107)</f>
        <v>56607.972079691113</v>
      </c>
      <c r="K116" s="11"/>
      <c r="L116" s="11"/>
      <c r="M116" s="11"/>
      <c r="N116" s="30" t="s">
        <v>142</v>
      </c>
      <c r="O116" s="63">
        <f>I104</f>
        <v>24171</v>
      </c>
      <c r="P116" s="79"/>
      <c r="Q116" s="51"/>
      <c r="R116" s="51"/>
      <c r="S116" s="80"/>
      <c r="T116" s="68" t="s">
        <v>141</v>
      </c>
      <c r="U116" s="71">
        <f>R111</f>
        <v>20103.031877303412</v>
      </c>
      <c r="V116" s="51"/>
      <c r="W116" s="68" t="s">
        <v>152</v>
      </c>
      <c r="X116" s="70">
        <f>I119</f>
        <v>298554</v>
      </c>
    </row>
    <row r="117" spans="8:24" ht="15.75">
      <c r="H117" s="39" t="s">
        <v>108</v>
      </c>
      <c r="I117" s="63">
        <f>ONSV_AUX_2019!C60</f>
        <v>22346</v>
      </c>
      <c r="J117" s="64">
        <f>I117-(L110*I107)</f>
        <v>22344.015404461476</v>
      </c>
      <c r="K117" s="11"/>
      <c r="L117" s="11"/>
      <c r="M117" s="11"/>
      <c r="N117" s="30" t="s">
        <v>145</v>
      </c>
      <c r="O117" s="63">
        <f>I108</f>
        <v>22321</v>
      </c>
      <c r="P117" s="79"/>
      <c r="Q117" s="51"/>
      <c r="R117" s="51"/>
      <c r="S117" s="51"/>
      <c r="T117" s="68" t="s">
        <v>153</v>
      </c>
      <c r="U117" s="71">
        <f>I116-J116</f>
        <v>5.027920308886678</v>
      </c>
      <c r="V117" s="51"/>
      <c r="W117" s="68" t="s">
        <v>154</v>
      </c>
      <c r="X117" s="70">
        <f>I120</f>
        <v>41775</v>
      </c>
    </row>
    <row r="118" spans="8:24" ht="15.75">
      <c r="H118" s="39" t="s">
        <v>109</v>
      </c>
      <c r="I118" s="63">
        <f>ONSV_AUX_2019!C61</f>
        <v>6914</v>
      </c>
      <c r="J118" s="10">
        <f>I118</f>
        <v>6914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318406.58970578766</v>
      </c>
      <c r="P118" s="79"/>
      <c r="Q118" s="51"/>
      <c r="R118" s="81"/>
      <c r="S118" s="51"/>
      <c r="T118" s="68" t="s">
        <v>149</v>
      </c>
      <c r="U118" s="75">
        <f>R114</f>
        <v>36504.940202387705</v>
      </c>
      <c r="V118" s="51"/>
      <c r="W118" s="51"/>
      <c r="X118" s="51"/>
    </row>
    <row r="119" spans="8:24" ht="15.75">
      <c r="H119" s="39" t="s">
        <v>110</v>
      </c>
      <c r="I119" s="63">
        <f>ONSV_AUX_2019!C62</f>
        <v>298554</v>
      </c>
      <c r="J119" s="10">
        <f t="shared" ref="J119:J121" si="4">I119</f>
        <v>298554</v>
      </c>
      <c r="K119" s="11"/>
      <c r="L119" s="11"/>
      <c r="M119" s="11"/>
      <c r="N119" s="30" t="s">
        <v>150</v>
      </c>
      <c r="O119" s="63">
        <f>IF((J113-O116-O118-O117)&lt;0,0,(J113-O116-O118-O117))</f>
        <v>0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ONSV_AUX_2019!C63</f>
        <v>41775</v>
      </c>
      <c r="J120" s="10">
        <f t="shared" si="4"/>
        <v>41775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830090</v>
      </c>
    </row>
    <row r="121" spans="8:24" ht="15.75">
      <c r="H121" s="39" t="s">
        <v>112</v>
      </c>
      <c r="I121" s="63">
        <f>ONSV_AUX_2019!C64</f>
        <v>7988</v>
      </c>
      <c r="J121" s="10">
        <f t="shared" si="4"/>
        <v>7988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ONSV_AUX_2019!C65</f>
        <v>6499</v>
      </c>
      <c r="J122" s="64">
        <f>I122-(L111*I107)</f>
        <v>6498.4228100597484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00:F100"/>
    <mergeCell ref="K104:L104"/>
    <mergeCell ref="K54:L54"/>
    <mergeCell ref="A75:F75"/>
    <mergeCell ref="K79:L79"/>
    <mergeCell ref="K29:L29"/>
    <mergeCell ref="A25:F25"/>
    <mergeCell ref="A50:F50"/>
    <mergeCell ref="T52:X52"/>
    <mergeCell ref="A1:F1"/>
    <mergeCell ref="Q4:R4"/>
    <mergeCell ref="T4:X4"/>
    <mergeCell ref="K5:L5"/>
    <mergeCell ref="T27:X2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X122"/>
  <sheetViews>
    <sheetView showGridLines="0" zoomScale="90" zoomScaleNormal="90" workbookViewId="0">
      <selection activeCell="A101" sqref="A101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</cols>
  <sheetData>
    <row r="1" spans="1:24" s="33" customFormat="1" ht="15.75">
      <c r="A1" s="100" t="str">
        <f>"AMAPÁ/"&amp;ONSV_AUX_2023!A1&amp;""</f>
        <v>AMAPÁ/2023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ONSV_AUX_2023!D27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ONSV_AUX_2023!D28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ONSV_AUX_2023!D29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ONSV_AUX_2023!D30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ONSV_AUX_2023!D31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ONSV_AUX_2023!D32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ONSV_AUX_2023!D56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ONSV_AUX_2023!D57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ONSV_AUX_2023!D58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ONSV_AUX_2023!D59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ONSV_AUX_2023!D60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ONSV_AUX_2023!D61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ONSV_AUX_2023!D62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ONSV_AUX_2023!D63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ONSV_AUX_2023!D64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ONSV_AUX_2023!D65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3" customFormat="1" ht="15.75">
      <c r="A25" s="100" t="str">
        <f>"AMAPÁ/"&amp;ONSV_AUX_2021!A1&amp;""</f>
        <v>AMAPÁ/2021</v>
      </c>
      <c r="B25" s="101"/>
      <c r="C25" s="101"/>
      <c r="D25" s="101"/>
      <c r="E25" s="101"/>
      <c r="F25" s="101"/>
    </row>
    <row r="26" spans="1:24" ht="15.75">
      <c r="A26" s="1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ONSV_AUX_2022!D27</f>
        <v>1456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ONSV_AUX_2022!D28</f>
        <v>116063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ONSV_AUX_2022!D29</f>
        <v>16107</v>
      </c>
      <c r="J31" s="9"/>
      <c r="K31" s="2" t="s">
        <v>122</v>
      </c>
      <c r="L31" s="63">
        <f>I38+I41+I42+I47</f>
        <v>127961</v>
      </c>
      <c r="N31" s="30" t="s">
        <v>123</v>
      </c>
      <c r="O31" s="63">
        <f>J38+J47</f>
        <v>96452.642766155317</v>
      </c>
      <c r="P31" s="67"/>
      <c r="Q31" s="68" t="s">
        <v>124</v>
      </c>
      <c r="R31" s="63">
        <f>J41+J42</f>
        <v>31330.357233844687</v>
      </c>
      <c r="S31" s="69"/>
      <c r="T31" s="68" t="s">
        <v>125</v>
      </c>
      <c r="U31" s="70">
        <f>O35</f>
        <v>1370.0914809981166</v>
      </c>
      <c r="V31" s="51"/>
      <c r="W31" s="68" t="s">
        <v>126</v>
      </c>
      <c r="X31" s="71">
        <f>R37</f>
        <v>1509.8716134378785</v>
      </c>
    </row>
    <row r="32" spans="1:24" ht="15.75">
      <c r="H32" s="38" t="s">
        <v>102</v>
      </c>
      <c r="I32" s="63">
        <f>ONSV_AUX_2022!D30</f>
        <v>178</v>
      </c>
      <c r="J32" s="9"/>
      <c r="K32" s="29"/>
      <c r="L32" s="65"/>
      <c r="M32" s="22"/>
      <c r="N32" s="30" t="s">
        <v>127</v>
      </c>
      <c r="O32" s="72">
        <f>J38/O31</f>
        <v>0.98579518982885894</v>
      </c>
      <c r="P32" s="67"/>
      <c r="Q32" s="73" t="s">
        <v>128</v>
      </c>
      <c r="R32" s="66">
        <f>J41/R31</f>
        <v>0.83126155415312042</v>
      </c>
      <c r="S32" s="74"/>
      <c r="T32" s="68" t="s">
        <v>129</v>
      </c>
      <c r="U32" s="70">
        <f>I47-J47</f>
        <v>1.9085190018834055</v>
      </c>
      <c r="V32" s="51"/>
      <c r="W32" s="68" t="s">
        <v>130</v>
      </c>
      <c r="X32" s="71">
        <f>I42-J42</f>
        <v>7.3642125335063611</v>
      </c>
    </row>
    <row r="33" spans="8:24" ht="15.75">
      <c r="H33" s="38" t="s">
        <v>16</v>
      </c>
      <c r="I33" s="63">
        <f>ONSV_AUX_2022!D31</f>
        <v>18</v>
      </c>
      <c r="J33" s="9"/>
      <c r="K33" s="2" t="s">
        <v>131</v>
      </c>
      <c r="L33" s="66">
        <f>I38/L31</f>
        <v>0.7440939036112566</v>
      </c>
      <c r="M33" s="22"/>
      <c r="N33" s="30" t="s">
        <v>132</v>
      </c>
      <c r="O33" s="72">
        <f>J47/O31</f>
        <v>1.4204810171141042E-2</v>
      </c>
      <c r="P33" s="67"/>
      <c r="Q33" s="73" t="s">
        <v>133</v>
      </c>
      <c r="R33" s="66">
        <f>J42/R31</f>
        <v>0.16873844584687958</v>
      </c>
      <c r="S33" s="74"/>
      <c r="T33" s="68" t="s">
        <v>134</v>
      </c>
      <c r="U33" s="75">
        <f>O37</f>
        <v>0</v>
      </c>
      <c r="V33" s="76"/>
      <c r="W33" s="68" t="s">
        <v>135</v>
      </c>
      <c r="X33" s="75">
        <f>R40</f>
        <v>3776.7641740286153</v>
      </c>
    </row>
    <row r="34" spans="8:24" ht="15.75">
      <c r="H34" s="38" t="s">
        <v>94</v>
      </c>
      <c r="I34" s="63">
        <f>ONSV_AUX_2022!D32</f>
        <v>90576</v>
      </c>
      <c r="J34" s="10"/>
      <c r="K34" s="2" t="s">
        <v>2</v>
      </c>
      <c r="L34" s="66">
        <f>I41/L31</f>
        <v>0.20381209899891373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4.1371980525316307E-2</v>
      </c>
      <c r="M35" s="22"/>
      <c r="N35" s="30" t="s">
        <v>136</v>
      </c>
      <c r="O35" s="63">
        <f>IF(O33*I30&gt;J47,J47,O33*I30)</f>
        <v>1370.0914809981166</v>
      </c>
      <c r="P35" s="79"/>
      <c r="Q35" s="68" t="s">
        <v>137</v>
      </c>
      <c r="R35" s="63">
        <f>I31-I39-I40-I43-I46</f>
        <v>8948</v>
      </c>
      <c r="S35" s="80"/>
      <c r="T35" s="68" t="s">
        <v>138</v>
      </c>
      <c r="U35" s="70">
        <f>O43</f>
        <v>93608.551285157198</v>
      </c>
      <c r="V35" s="79"/>
      <c r="W35" s="68" t="s">
        <v>139</v>
      </c>
      <c r="X35" s="70">
        <f>I39</f>
        <v>4602</v>
      </c>
    </row>
    <row r="36" spans="8:24" ht="15.75">
      <c r="H36" s="26" t="s">
        <v>140</v>
      </c>
      <c r="K36" s="2" t="s">
        <v>0</v>
      </c>
      <c r="L36" s="66">
        <f>I47/L31</f>
        <v>1.0722016864513406E-2</v>
      </c>
      <c r="O36" s="51"/>
      <c r="P36" s="79"/>
      <c r="Q36" s="68" t="s">
        <v>141</v>
      </c>
      <c r="R36" s="63">
        <f>R32*R35</f>
        <v>7438.1283865621217</v>
      </c>
      <c r="S36" s="51"/>
      <c r="T36" s="68" t="s">
        <v>142</v>
      </c>
      <c r="U36" s="70">
        <f>O41</f>
        <v>1456</v>
      </c>
      <c r="V36" s="69"/>
      <c r="W36" s="68" t="s">
        <v>143</v>
      </c>
      <c r="X36" s="70">
        <f>I40</f>
        <v>529</v>
      </c>
    </row>
    <row r="37" spans="8:24" ht="15.75">
      <c r="K37" s="11"/>
      <c r="L37" s="11"/>
      <c r="M37" s="11"/>
      <c r="N37" s="30" t="s">
        <v>144</v>
      </c>
      <c r="O37" s="63">
        <f>J47-O35</f>
        <v>0</v>
      </c>
      <c r="P37" s="79"/>
      <c r="Q37" s="68" t="s">
        <v>126</v>
      </c>
      <c r="R37" s="63">
        <f>R33*R35</f>
        <v>1509.8716134378785</v>
      </c>
      <c r="S37" s="51"/>
      <c r="T37" s="68" t="s">
        <v>145</v>
      </c>
      <c r="U37" s="70">
        <f>O42</f>
        <v>18</v>
      </c>
      <c r="V37" s="74"/>
      <c r="W37" s="51"/>
      <c r="X37" s="65"/>
    </row>
    <row r="38" spans="8:24" ht="15.75">
      <c r="H38" s="39" t="s">
        <v>104</v>
      </c>
      <c r="I38" s="63">
        <f>ONSV_AUX_2022!D56</f>
        <v>95215</v>
      </c>
      <c r="J38" s="64">
        <f>I38-(L33*I32)</f>
        <v>95082.551285157198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132.44871484280156</v>
      </c>
      <c r="V38" s="74"/>
      <c r="W38" s="68" t="s">
        <v>147</v>
      </c>
      <c r="X38" s="70">
        <f>I46</f>
        <v>1510</v>
      </c>
    </row>
    <row r="39" spans="8:24" ht="15.75">
      <c r="H39" s="39" t="s">
        <v>105</v>
      </c>
      <c r="I39" s="63">
        <f>ONSV_AUX_2022!D57</f>
        <v>4602</v>
      </c>
      <c r="J39" s="10">
        <f>I39</f>
        <v>4602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18605.59305981607</v>
      </c>
      <c r="S39" s="51"/>
      <c r="T39" s="68" t="s">
        <v>150</v>
      </c>
      <c r="U39" s="75">
        <f>O44</f>
        <v>0</v>
      </c>
      <c r="V39" s="51"/>
      <c r="W39" s="68" t="s">
        <v>151</v>
      </c>
      <c r="X39" s="70">
        <f>I43</f>
        <v>518</v>
      </c>
    </row>
    <row r="40" spans="8:24" ht="15.75">
      <c r="H40" s="39" t="s">
        <v>106</v>
      </c>
      <c r="I40" s="63">
        <f>ONSV_AUX_2022!D58</f>
        <v>529</v>
      </c>
      <c r="J40" s="10">
        <f>I40</f>
        <v>529</v>
      </c>
      <c r="K40" s="11"/>
      <c r="L40" s="11"/>
      <c r="M40" s="11"/>
      <c r="O40" s="76"/>
      <c r="P40" s="79"/>
      <c r="Q40" s="68" t="s">
        <v>135</v>
      </c>
      <c r="R40" s="63">
        <f>J42-R37</f>
        <v>3776.7641740286153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ONSV_AUX_2022!D59</f>
        <v>26080</v>
      </c>
      <c r="J41" s="64">
        <f>I41-(L34*I32)</f>
        <v>26043.721446378193</v>
      </c>
      <c r="K41" s="11"/>
      <c r="L41" s="11"/>
      <c r="M41" s="11"/>
      <c r="N41" s="30" t="s">
        <v>142</v>
      </c>
      <c r="O41" s="63">
        <f>I29</f>
        <v>1456</v>
      </c>
      <c r="P41" s="79"/>
      <c r="Q41" s="51"/>
      <c r="R41" s="51"/>
      <c r="S41" s="80"/>
      <c r="T41" s="68" t="s">
        <v>141</v>
      </c>
      <c r="U41" s="71">
        <f>R36</f>
        <v>7438.1283865621217</v>
      </c>
      <c r="V41" s="51"/>
      <c r="W41" s="68" t="s">
        <v>152</v>
      </c>
      <c r="X41" s="70">
        <f>I44</f>
        <v>73566</v>
      </c>
    </row>
    <row r="42" spans="8:24" ht="15.75">
      <c r="H42" s="39" t="s">
        <v>108</v>
      </c>
      <c r="I42" s="63">
        <f>ONSV_AUX_2022!D60</f>
        <v>5294</v>
      </c>
      <c r="J42" s="64">
        <f>I42-(L35*I32)</f>
        <v>5286.6357874664936</v>
      </c>
      <c r="K42" s="11"/>
      <c r="L42" s="11"/>
      <c r="M42" s="11"/>
      <c r="N42" s="30" t="s">
        <v>145</v>
      </c>
      <c r="O42" s="63">
        <f>I33</f>
        <v>18</v>
      </c>
      <c r="P42" s="79"/>
      <c r="Q42" s="51"/>
      <c r="R42" s="51"/>
      <c r="S42" s="51"/>
      <c r="T42" s="68" t="s">
        <v>153</v>
      </c>
      <c r="U42" s="71">
        <f>I41-J41</f>
        <v>36.278553621807077</v>
      </c>
      <c r="V42" s="51"/>
      <c r="W42" s="68" t="s">
        <v>154</v>
      </c>
      <c r="X42" s="70">
        <f>I45</f>
        <v>15198</v>
      </c>
    </row>
    <row r="43" spans="8:24" ht="15.75">
      <c r="H43" s="39" t="s">
        <v>109</v>
      </c>
      <c r="I43" s="63">
        <f>ONSV_AUX_2022!D61</f>
        <v>518</v>
      </c>
      <c r="J43" s="10">
        <f>I43</f>
        <v>518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93608.551285157198</v>
      </c>
      <c r="P43" s="79"/>
      <c r="Q43" s="51"/>
      <c r="R43" s="81"/>
      <c r="S43" s="51"/>
      <c r="T43" s="68" t="s">
        <v>149</v>
      </c>
      <c r="U43" s="75">
        <f>R39</f>
        <v>18605.59305981607</v>
      </c>
      <c r="V43" s="51"/>
      <c r="W43" s="51"/>
      <c r="X43" s="51"/>
    </row>
    <row r="44" spans="8:24" ht="15.75">
      <c r="H44" s="39" t="s">
        <v>110</v>
      </c>
      <c r="I44" s="63">
        <f>ONSV_AUX_2022!D62</f>
        <v>73566</v>
      </c>
      <c r="J44" s="10">
        <f t="shared" ref="J44:J46" si="1">I44</f>
        <v>73566</v>
      </c>
      <c r="K44" s="11"/>
      <c r="L44" s="11"/>
      <c r="M44" s="11"/>
      <c r="N44" s="30" t="s">
        <v>150</v>
      </c>
      <c r="O44" s="63">
        <f>IF((J38-O41-O43-O42)&lt;0,0,(J38-O41-O43-O42))</f>
        <v>0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ONSV_AUX_2022!D63</f>
        <v>15198</v>
      </c>
      <c r="J45" s="10">
        <f t="shared" si="1"/>
        <v>15198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223884</v>
      </c>
    </row>
    <row r="46" spans="8:24" ht="15.75">
      <c r="H46" s="39" t="s">
        <v>112</v>
      </c>
      <c r="I46" s="63">
        <f>ONSV_AUX_2022!D64</f>
        <v>1510</v>
      </c>
      <c r="J46" s="10">
        <f t="shared" si="1"/>
        <v>1510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ONSV_AUX_2022!D65</f>
        <v>1372</v>
      </c>
      <c r="J47" s="64">
        <f>I47-(L36*I32)</f>
        <v>1370.0914809981166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3" customFormat="1" ht="15.75">
      <c r="A50" s="100" t="str">
        <f>"AMAPÁ/"&amp;ONSV_AUX_2021!A1&amp;""</f>
        <v>AMAPÁ/2021</v>
      </c>
      <c r="B50" s="101"/>
      <c r="C50" s="101"/>
      <c r="D50" s="101"/>
      <c r="E50" s="101"/>
      <c r="F50" s="101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ONSV_AUX_2021!D27</f>
        <v>1452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ONSV_AUX_2021!D28</f>
        <v>110693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ONSV_AUX_2021!D29</f>
        <v>15118</v>
      </c>
      <c r="J56" s="9"/>
      <c r="K56" s="2" t="s">
        <v>122</v>
      </c>
      <c r="L56" s="63">
        <f>I63+I66+I67+I72</f>
        <v>123793</v>
      </c>
      <c r="N56" s="30" t="s">
        <v>123</v>
      </c>
      <c r="O56" s="63">
        <f>J63+J72</f>
        <v>93791.379544885407</v>
      </c>
      <c r="P56" s="67"/>
      <c r="Q56" s="68" t="s">
        <v>124</v>
      </c>
      <c r="R56" s="63">
        <f>J66+J67</f>
        <v>29896.620455114589</v>
      </c>
      <c r="S56" s="69"/>
      <c r="T56" s="68" t="s">
        <v>125</v>
      </c>
      <c r="U56" s="70">
        <f>O60</f>
        <v>1153.0211885970934</v>
      </c>
      <c r="V56" s="51"/>
      <c r="W56" s="68" t="s">
        <v>126</v>
      </c>
      <c r="X56" s="71">
        <f>R62</f>
        <v>1415.9371699752689</v>
      </c>
    </row>
    <row r="57" spans="1:24" ht="15.75">
      <c r="H57" s="38" t="s">
        <v>102</v>
      </c>
      <c r="I57" s="63">
        <f>ONSV_AUX_2021!D30</f>
        <v>105</v>
      </c>
      <c r="J57" s="9"/>
      <c r="K57" s="29"/>
      <c r="L57" s="65"/>
      <c r="M57" s="22"/>
      <c r="N57" s="30" t="s">
        <v>127</v>
      </c>
      <c r="O57" s="72">
        <f>J63/O56</f>
        <v>0.98770653343418091</v>
      </c>
      <c r="P57" s="67"/>
      <c r="Q57" s="73" t="s">
        <v>128</v>
      </c>
      <c r="R57" s="66">
        <f>J66/R56</f>
        <v>0.8293229062228461</v>
      </c>
      <c r="S57" s="74"/>
      <c r="T57" s="68" t="s">
        <v>129</v>
      </c>
      <c r="U57" s="70">
        <f>I72-J72</f>
        <v>0.97881140290655821</v>
      </c>
      <c r="V57" s="51"/>
      <c r="W57" s="68" t="s">
        <v>130</v>
      </c>
      <c r="X57" s="71">
        <f>I67-J67</f>
        <v>4.3317069624290525</v>
      </c>
    </row>
    <row r="58" spans="1:24" ht="15.75">
      <c r="H58" s="38" t="s">
        <v>16</v>
      </c>
      <c r="I58" s="63">
        <f>ONSV_AUX_2021!D31</f>
        <v>18</v>
      </c>
      <c r="J58" s="9"/>
      <c r="K58" s="2" t="s">
        <v>131</v>
      </c>
      <c r="L58" s="66">
        <f>I63/L56</f>
        <v>0.74896803534933321</v>
      </c>
      <c r="M58" s="22"/>
      <c r="N58" s="30" t="s">
        <v>132</v>
      </c>
      <c r="O58" s="72">
        <f>J72/O56</f>
        <v>1.2293466565819049E-2</v>
      </c>
      <c r="P58" s="67"/>
      <c r="Q58" s="73" t="s">
        <v>133</v>
      </c>
      <c r="R58" s="66">
        <f>J67/R56</f>
        <v>0.17067709377715393</v>
      </c>
      <c r="S58" s="74"/>
      <c r="T58" s="68" t="s">
        <v>134</v>
      </c>
      <c r="U58" s="75">
        <f>O62</f>
        <v>0</v>
      </c>
      <c r="V58" s="76"/>
      <c r="W58" s="68" t="s">
        <v>135</v>
      </c>
      <c r="X58" s="75">
        <f>R65</f>
        <v>3686.7311230623018</v>
      </c>
    </row>
    <row r="59" spans="1:24" ht="15.75">
      <c r="H59" s="38" t="s">
        <v>94</v>
      </c>
      <c r="I59" s="63">
        <f>ONSV_AUX_2021!D32</f>
        <v>89110</v>
      </c>
      <c r="J59" s="10"/>
      <c r="K59" s="2" t="s">
        <v>2</v>
      </c>
      <c r="L59" s="66">
        <f>I66/L56</f>
        <v>0.20045559926651749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4.1254352023135397E-2</v>
      </c>
      <c r="M60" s="22"/>
      <c r="N60" s="30" t="s">
        <v>136</v>
      </c>
      <c r="O60" s="63">
        <f>IF(O58*I55&gt;J72,J72,O58*I55)</f>
        <v>1153.0211885970934</v>
      </c>
      <c r="P60" s="79"/>
      <c r="Q60" s="68" t="s">
        <v>137</v>
      </c>
      <c r="R60" s="63">
        <f>I56-I64-I65-I68-I71</f>
        <v>8296</v>
      </c>
      <c r="S60" s="80"/>
      <c r="T60" s="68" t="s">
        <v>138</v>
      </c>
      <c r="U60" s="70">
        <f>O68</f>
        <v>91168.358356288314</v>
      </c>
      <c r="V60" s="79"/>
      <c r="W60" s="68" t="s">
        <v>139</v>
      </c>
      <c r="X60" s="70">
        <f>I64</f>
        <v>4430</v>
      </c>
    </row>
    <row r="61" spans="1:24" ht="15.75">
      <c r="H61" s="26" t="s">
        <v>140</v>
      </c>
      <c r="K61" s="2" t="s">
        <v>0</v>
      </c>
      <c r="L61" s="66">
        <f>I72/L56</f>
        <v>9.3220133610139502E-3</v>
      </c>
      <c r="O61" s="51"/>
      <c r="P61" s="79"/>
      <c r="Q61" s="68" t="s">
        <v>141</v>
      </c>
      <c r="R61" s="63">
        <f>R57*R60</f>
        <v>6880.0628300247308</v>
      </c>
      <c r="S61" s="51"/>
      <c r="T61" s="68" t="s">
        <v>142</v>
      </c>
      <c r="U61" s="70">
        <f>O66</f>
        <v>1452</v>
      </c>
      <c r="V61" s="69"/>
      <c r="W61" s="68" t="s">
        <v>143</v>
      </c>
      <c r="X61" s="70">
        <f>I65</f>
        <v>439</v>
      </c>
    </row>
    <row r="62" spans="1:24" ht="15.75">
      <c r="K62" s="11"/>
      <c r="L62" s="11"/>
      <c r="M62" s="11"/>
      <c r="N62" s="30" t="s">
        <v>144</v>
      </c>
      <c r="O62" s="63">
        <f>J72-O60</f>
        <v>0</v>
      </c>
      <c r="P62" s="79"/>
      <c r="Q62" s="68" t="s">
        <v>126</v>
      </c>
      <c r="R62" s="63">
        <f>R58*R60</f>
        <v>1415.9371699752689</v>
      </c>
      <c r="S62" s="51"/>
      <c r="T62" s="68" t="s">
        <v>145</v>
      </c>
      <c r="U62" s="70">
        <f>O67</f>
        <v>18</v>
      </c>
      <c r="V62" s="74"/>
      <c r="W62" s="51"/>
      <c r="X62" s="65"/>
    </row>
    <row r="63" spans="1:24" ht="15.75">
      <c r="H63" s="39" t="s">
        <v>104</v>
      </c>
      <c r="I63" s="63">
        <f>ONSV_AUX_2021!D56</f>
        <v>92717</v>
      </c>
      <c r="J63" s="64">
        <f>I63-(L58*I57)</f>
        <v>92638.358356288314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78.641643711685902</v>
      </c>
      <c r="V63" s="74"/>
      <c r="W63" s="68" t="s">
        <v>147</v>
      </c>
      <c r="X63" s="70">
        <f>I71</f>
        <v>1460</v>
      </c>
    </row>
    <row r="64" spans="1:24" ht="15.75">
      <c r="H64" s="39" t="s">
        <v>105</v>
      </c>
      <c r="I64" s="63">
        <f>ONSV_AUX_2021!D57</f>
        <v>4430</v>
      </c>
      <c r="J64" s="10">
        <f>I64</f>
        <v>4430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17913.889332052288</v>
      </c>
      <c r="S64" s="51"/>
      <c r="T64" s="68" t="s">
        <v>150</v>
      </c>
      <c r="U64" s="75">
        <f>O69</f>
        <v>0</v>
      </c>
      <c r="V64" s="51"/>
      <c r="W64" s="68" t="s">
        <v>151</v>
      </c>
      <c r="X64" s="70">
        <f>I68</f>
        <v>493</v>
      </c>
    </row>
    <row r="65" spans="1:24" ht="15.75">
      <c r="H65" s="39" t="s">
        <v>106</v>
      </c>
      <c r="I65" s="63">
        <f>ONSV_AUX_2021!D58</f>
        <v>439</v>
      </c>
      <c r="J65" s="10">
        <f>I65</f>
        <v>439</v>
      </c>
      <c r="K65" s="11"/>
      <c r="L65" s="11"/>
      <c r="M65" s="11"/>
      <c r="O65" s="76"/>
      <c r="P65" s="79"/>
      <c r="Q65" s="68" t="s">
        <v>135</v>
      </c>
      <c r="R65" s="63">
        <f>J67-R62</f>
        <v>3686.7311230623018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ONSV_AUX_2021!D59</f>
        <v>24815</v>
      </c>
      <c r="J66" s="64">
        <f>I66-(L59*I57)</f>
        <v>24793.952162077017</v>
      </c>
      <c r="K66" s="11"/>
      <c r="L66" s="11"/>
      <c r="M66" s="11"/>
      <c r="N66" s="30" t="s">
        <v>142</v>
      </c>
      <c r="O66" s="63">
        <f>I54</f>
        <v>1452</v>
      </c>
      <c r="P66" s="79"/>
      <c r="Q66" s="51"/>
      <c r="R66" s="51"/>
      <c r="S66" s="80"/>
      <c r="T66" s="68" t="s">
        <v>141</v>
      </c>
      <c r="U66" s="71">
        <f>R61</f>
        <v>6880.0628300247308</v>
      </c>
      <c r="V66" s="51"/>
      <c r="W66" s="68" t="s">
        <v>152</v>
      </c>
      <c r="X66" s="70">
        <f>I69</f>
        <v>70951</v>
      </c>
    </row>
    <row r="67" spans="1:24" ht="15.75">
      <c r="H67" s="39" t="s">
        <v>108</v>
      </c>
      <c r="I67" s="63">
        <f>ONSV_AUX_2021!D60</f>
        <v>5107</v>
      </c>
      <c r="J67" s="64">
        <f>I67-(L60*I57)</f>
        <v>5102.6682930375709</v>
      </c>
      <c r="K67" s="11"/>
      <c r="L67" s="11"/>
      <c r="M67" s="11"/>
      <c r="N67" s="30" t="s">
        <v>145</v>
      </c>
      <c r="O67" s="63">
        <f>I58</f>
        <v>18</v>
      </c>
      <c r="P67" s="79"/>
      <c r="Q67" s="51"/>
      <c r="R67" s="51"/>
      <c r="S67" s="51"/>
      <c r="T67" s="68" t="s">
        <v>153</v>
      </c>
      <c r="U67" s="71">
        <f>I66-J66</f>
        <v>21.04783792298258</v>
      </c>
      <c r="V67" s="51"/>
      <c r="W67" s="68" t="s">
        <v>154</v>
      </c>
      <c r="X67" s="70">
        <f>I70</f>
        <v>14366</v>
      </c>
    </row>
    <row r="68" spans="1:24" ht="15.75">
      <c r="H68" s="39" t="s">
        <v>109</v>
      </c>
      <c r="I68" s="63">
        <f>ONSV_AUX_2021!D61</f>
        <v>493</v>
      </c>
      <c r="J68" s="10">
        <f>I68</f>
        <v>493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91168.358356288314</v>
      </c>
      <c r="P68" s="79"/>
      <c r="Q68" s="51"/>
      <c r="R68" s="81"/>
      <c r="S68" s="51"/>
      <c r="T68" s="68" t="s">
        <v>149</v>
      </c>
      <c r="U68" s="75">
        <f>R64</f>
        <v>17913.889332052288</v>
      </c>
      <c r="V68" s="51"/>
      <c r="W68" s="51"/>
      <c r="X68" s="51"/>
    </row>
    <row r="69" spans="1:24" ht="15.75">
      <c r="H69" s="39" t="s">
        <v>110</v>
      </c>
      <c r="I69" s="63">
        <f>ONSV_AUX_2021!D62</f>
        <v>70951</v>
      </c>
      <c r="J69" s="10">
        <f t="shared" ref="J69:J71" si="2">I69</f>
        <v>70951</v>
      </c>
      <c r="K69" s="11"/>
      <c r="L69" s="11"/>
      <c r="M69" s="11"/>
      <c r="N69" s="30" t="s">
        <v>150</v>
      </c>
      <c r="O69" s="63">
        <f>IF((J63-O66-O68-O67)&lt;0,0,(J63-O66-O68-O67))</f>
        <v>0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ONSV_AUX_2021!D63</f>
        <v>14366</v>
      </c>
      <c r="J70" s="10">
        <f t="shared" si="2"/>
        <v>14366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215932</v>
      </c>
    </row>
    <row r="71" spans="1:24" ht="15.75">
      <c r="H71" s="39" t="s">
        <v>112</v>
      </c>
      <c r="I71" s="63">
        <f>ONSV_AUX_2021!D64</f>
        <v>1460</v>
      </c>
      <c r="J71" s="10">
        <f t="shared" si="2"/>
        <v>1460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ONSV_AUX_2021!D65</f>
        <v>1154</v>
      </c>
      <c r="J72" s="64">
        <f>I72-(L61*I57)</f>
        <v>1153.0211885970934</v>
      </c>
      <c r="K72" s="12"/>
      <c r="L72" s="12"/>
      <c r="M72" s="12"/>
      <c r="N72" s="12"/>
      <c r="O72" s="12"/>
      <c r="P72" s="12"/>
      <c r="Q72" s="4"/>
      <c r="R72" s="4"/>
    </row>
    <row r="75" spans="1:24" s="33" customFormat="1" ht="15.75">
      <c r="A75" s="100" t="str">
        <f>"AMAPÁ/"&amp;ONSV_AUX_2022!A1&amp;""</f>
        <v>AMAPÁ/2022</v>
      </c>
      <c r="B75" s="101"/>
      <c r="C75" s="101"/>
      <c r="D75" s="101"/>
      <c r="E75" s="101"/>
      <c r="F75" s="10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ONSV_AUX_2020!D27</f>
        <v>1445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ONSV_AUX_2020!D28</f>
        <v>102058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ONSV_AUX_2020!D29</f>
        <v>14290</v>
      </c>
      <c r="J81" s="9"/>
      <c r="K81" s="2" t="s">
        <v>122</v>
      </c>
      <c r="L81" s="63">
        <f>I88+I91+I92+I97</f>
        <v>116561</v>
      </c>
      <c r="N81" s="30" t="s">
        <v>123</v>
      </c>
      <c r="O81" s="63">
        <f>J88+J97</f>
        <v>88440.805552457517</v>
      </c>
      <c r="P81" s="67"/>
      <c r="Q81" s="68" t="s">
        <v>124</v>
      </c>
      <c r="R81" s="63">
        <f>J91+J92</f>
        <v>28071.194447542486</v>
      </c>
      <c r="S81" s="69"/>
      <c r="T81" s="68" t="s">
        <v>125</v>
      </c>
      <c r="U81" s="70">
        <f>O85</f>
        <v>1078.546409176311</v>
      </c>
      <c r="V81" s="51"/>
      <c r="W81" s="68" t="s">
        <v>126</v>
      </c>
      <c r="X81" s="71">
        <f>R87</f>
        <v>1327.2327030587899</v>
      </c>
    </row>
    <row r="82" spans="8:24" ht="15.75">
      <c r="H82" s="38" t="s">
        <v>102</v>
      </c>
      <c r="I82" s="63">
        <f>ONSV_AUX_2020!D30</f>
        <v>49</v>
      </c>
      <c r="J82" s="9"/>
      <c r="K82" s="29"/>
      <c r="L82" s="65"/>
      <c r="M82" s="22"/>
      <c r="N82" s="30" t="s">
        <v>127</v>
      </c>
      <c r="O82" s="72">
        <f>J88/O81</f>
        <v>0.98780487804878048</v>
      </c>
      <c r="P82" s="67"/>
      <c r="Q82" s="73" t="s">
        <v>128</v>
      </c>
      <c r="R82" s="66">
        <f>J91/R81</f>
        <v>0.82975465584161234</v>
      </c>
      <c r="S82" s="74"/>
      <c r="T82" s="68" t="s">
        <v>129</v>
      </c>
      <c r="U82" s="70">
        <f>I97-J97</f>
        <v>0.45359082368895542</v>
      </c>
      <c r="V82" s="51"/>
      <c r="W82" s="68" t="s">
        <v>130</v>
      </c>
      <c r="X82" s="71">
        <f>I92-J92</f>
        <v>2.0098403411093386</v>
      </c>
    </row>
    <row r="83" spans="8:24" ht="15.75">
      <c r="H83" s="38" t="s">
        <v>16</v>
      </c>
      <c r="I83" s="63">
        <f>ONSV_AUX_2020!D31</f>
        <v>18</v>
      </c>
      <c r="J83" s="9"/>
      <c r="K83" s="2" t="s">
        <v>131</v>
      </c>
      <c r="L83" s="66">
        <f>I88/L81</f>
        <v>0.74981340242448158</v>
      </c>
      <c r="M83" s="22"/>
      <c r="N83" s="30" t="s">
        <v>132</v>
      </c>
      <c r="O83" s="72">
        <f>J97/O81</f>
        <v>1.2195121951219511E-2</v>
      </c>
      <c r="P83" s="67"/>
      <c r="Q83" s="73" t="s">
        <v>133</v>
      </c>
      <c r="R83" s="66">
        <f>J92/R81</f>
        <v>0.17024534415838763</v>
      </c>
      <c r="S83" s="74"/>
      <c r="T83" s="68" t="s">
        <v>134</v>
      </c>
      <c r="U83" s="75">
        <f>O87</f>
        <v>0</v>
      </c>
      <c r="V83" s="76"/>
      <c r="W83" s="68" t="s">
        <v>135</v>
      </c>
      <c r="X83" s="75">
        <f>R90</f>
        <v>3451.7574566001008</v>
      </c>
    </row>
    <row r="84" spans="8:24" ht="15.75">
      <c r="H84" s="38" t="s">
        <v>94</v>
      </c>
      <c r="I84" s="63">
        <f>ONSV_AUX_2020!D32</f>
        <v>87896</v>
      </c>
      <c r="J84" s="10"/>
      <c r="K84" s="2" t="s">
        <v>2</v>
      </c>
      <c r="L84" s="66">
        <f>I91/L81</f>
        <v>0.19991249217148102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4.1017149818549946E-2</v>
      </c>
      <c r="M85" s="22"/>
      <c r="N85" s="30" t="s">
        <v>136</v>
      </c>
      <c r="O85" s="63">
        <f>IF(O83*I80&gt;J97,J97,O83*I80)</f>
        <v>1078.546409176311</v>
      </c>
      <c r="P85" s="79"/>
      <c r="Q85" s="68" t="s">
        <v>137</v>
      </c>
      <c r="R85" s="63">
        <f>I81-I89-I90-I93-I96</f>
        <v>7796</v>
      </c>
      <c r="S85" s="80"/>
      <c r="T85" s="68" t="s">
        <v>138</v>
      </c>
      <c r="U85" s="70">
        <f>O93</f>
        <v>85899.259143281204</v>
      </c>
      <c r="V85" s="79"/>
      <c r="W85" s="68" t="s">
        <v>139</v>
      </c>
      <c r="X85" s="70">
        <f>I89</f>
        <v>4319</v>
      </c>
    </row>
    <row r="86" spans="8:24" ht="15.75">
      <c r="H86" s="26" t="s">
        <v>140</v>
      </c>
      <c r="K86" s="2" t="s">
        <v>0</v>
      </c>
      <c r="L86" s="66">
        <f>I97/L81</f>
        <v>9.2569555854874266E-3</v>
      </c>
      <c r="O86" s="51"/>
      <c r="P86" s="79"/>
      <c r="Q86" s="68" t="s">
        <v>141</v>
      </c>
      <c r="R86" s="63">
        <f>R82*R85</f>
        <v>6468.7672969412097</v>
      </c>
      <c r="S86" s="51"/>
      <c r="T86" s="68" t="s">
        <v>142</v>
      </c>
      <c r="U86" s="70">
        <f>O91</f>
        <v>1445</v>
      </c>
      <c r="V86" s="69"/>
      <c r="W86" s="68" t="s">
        <v>143</v>
      </c>
      <c r="X86" s="70">
        <f>I90</f>
        <v>397</v>
      </c>
    </row>
    <row r="87" spans="8:24" ht="15.75">
      <c r="K87" s="11"/>
      <c r="L87" s="11"/>
      <c r="M87" s="11"/>
      <c r="N87" s="30" t="s">
        <v>144</v>
      </c>
      <c r="O87" s="63">
        <f>J97-O85</f>
        <v>0</v>
      </c>
      <c r="P87" s="79"/>
      <c r="Q87" s="68" t="s">
        <v>126</v>
      </c>
      <c r="R87" s="63">
        <f>R83*R85</f>
        <v>1327.2327030587899</v>
      </c>
      <c r="S87" s="51"/>
      <c r="T87" s="68" t="s">
        <v>145</v>
      </c>
      <c r="U87" s="70">
        <f>O92</f>
        <v>18</v>
      </c>
      <c r="V87" s="74"/>
      <c r="W87" s="51"/>
      <c r="X87" s="65"/>
    </row>
    <row r="88" spans="8:24" ht="15.75">
      <c r="H88" s="39" t="s">
        <v>104</v>
      </c>
      <c r="I88" s="63">
        <f>ONSV_AUX_2020!D56</f>
        <v>87399</v>
      </c>
      <c r="J88" s="64">
        <f>I88-(L83*I82)</f>
        <v>87362.259143281204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36.74085671879584</v>
      </c>
      <c r="V88" s="74"/>
      <c r="W88" s="68" t="s">
        <v>147</v>
      </c>
      <c r="X88" s="70">
        <f>I96</f>
        <v>1302</v>
      </c>
    </row>
    <row r="89" spans="8:24" ht="15.75">
      <c r="H89" s="39" t="s">
        <v>105</v>
      </c>
      <c r="I89" s="63">
        <f>ONSV_AUX_2020!D57</f>
        <v>4319</v>
      </c>
      <c r="J89" s="10">
        <f>I89</f>
        <v>4319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16823.436990942388</v>
      </c>
      <c r="S89" s="51"/>
      <c r="T89" s="68" t="s">
        <v>150</v>
      </c>
      <c r="U89" s="75">
        <f>O94</f>
        <v>0</v>
      </c>
      <c r="V89" s="51"/>
      <c r="W89" s="68" t="s">
        <v>151</v>
      </c>
      <c r="X89" s="70">
        <f>I93</f>
        <v>476</v>
      </c>
    </row>
    <row r="90" spans="8:24" ht="15.75">
      <c r="H90" s="39" t="s">
        <v>106</v>
      </c>
      <c r="I90" s="63">
        <f>ONSV_AUX_2020!D58</f>
        <v>397</v>
      </c>
      <c r="J90" s="10">
        <f>I90</f>
        <v>397</v>
      </c>
      <c r="K90" s="11"/>
      <c r="L90" s="11"/>
      <c r="M90" s="11"/>
      <c r="O90" s="76"/>
      <c r="P90" s="79"/>
      <c r="Q90" s="68" t="s">
        <v>135</v>
      </c>
      <c r="R90" s="63">
        <f>J92-R87</f>
        <v>3451.7574566001008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ONSV_AUX_2020!D59</f>
        <v>23302</v>
      </c>
      <c r="J91" s="64">
        <f>I91-(L84*I82)</f>
        <v>23292.204287883596</v>
      </c>
      <c r="K91" s="11"/>
      <c r="L91" s="11"/>
      <c r="M91" s="11"/>
      <c r="N91" s="30" t="s">
        <v>142</v>
      </c>
      <c r="O91" s="63">
        <f>I79</f>
        <v>1445</v>
      </c>
      <c r="P91" s="79"/>
      <c r="Q91" s="51"/>
      <c r="R91" s="51"/>
      <c r="S91" s="80"/>
      <c r="T91" s="68" t="s">
        <v>141</v>
      </c>
      <c r="U91" s="71">
        <f>R86</f>
        <v>6468.7672969412097</v>
      </c>
      <c r="V91" s="51"/>
      <c r="W91" s="68" t="s">
        <v>152</v>
      </c>
      <c r="X91" s="70">
        <f>I94</f>
        <v>68427</v>
      </c>
    </row>
    <row r="92" spans="8:24" ht="15.75">
      <c r="H92" s="39" t="s">
        <v>108</v>
      </c>
      <c r="I92" s="63">
        <f>ONSV_AUX_2020!D60</f>
        <v>4781</v>
      </c>
      <c r="J92" s="64">
        <f>I92-(L85*I82)</f>
        <v>4778.9901596588907</v>
      </c>
      <c r="K92" s="11"/>
      <c r="L92" s="11"/>
      <c r="M92" s="11"/>
      <c r="N92" s="30" t="s">
        <v>145</v>
      </c>
      <c r="O92" s="63">
        <f>I83</f>
        <v>18</v>
      </c>
      <c r="P92" s="79"/>
      <c r="Q92" s="51"/>
      <c r="R92" s="51"/>
      <c r="S92" s="51"/>
      <c r="T92" s="68" t="s">
        <v>153</v>
      </c>
      <c r="U92" s="71">
        <f>I91-J91</f>
        <v>9.7957121164035925</v>
      </c>
      <c r="V92" s="51"/>
      <c r="W92" s="68" t="s">
        <v>154</v>
      </c>
      <c r="X92" s="70">
        <f>I95</f>
        <v>13676</v>
      </c>
    </row>
    <row r="93" spans="8:24" ht="15.75">
      <c r="H93" s="39" t="s">
        <v>109</v>
      </c>
      <c r="I93" s="63">
        <f>ONSV_AUX_2020!D61</f>
        <v>476</v>
      </c>
      <c r="J93" s="10">
        <f>I93</f>
        <v>476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85899.259143281204</v>
      </c>
      <c r="P93" s="79"/>
      <c r="Q93" s="51"/>
      <c r="R93" s="81"/>
      <c r="S93" s="51"/>
      <c r="T93" s="68" t="s">
        <v>149</v>
      </c>
      <c r="U93" s="75">
        <f>R89</f>
        <v>16823.436990942388</v>
      </c>
      <c r="V93" s="51"/>
      <c r="W93" s="51"/>
      <c r="X93" s="51"/>
    </row>
    <row r="94" spans="8:24" ht="15.75">
      <c r="H94" s="39" t="s">
        <v>110</v>
      </c>
      <c r="I94" s="63">
        <f>ONSV_AUX_2020!D62</f>
        <v>68427</v>
      </c>
      <c r="J94" s="10">
        <f t="shared" ref="J94:J96" si="3">I94</f>
        <v>68427</v>
      </c>
      <c r="K94" s="11"/>
      <c r="L94" s="11"/>
      <c r="M94" s="11"/>
      <c r="N94" s="30" t="s">
        <v>150</v>
      </c>
      <c r="O94" s="63">
        <f>IF((J88-O91-O93-O92)&lt;0,0,(J88-O91-O93-O92))</f>
        <v>0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ONSV_AUX_2020!D63</f>
        <v>13676</v>
      </c>
      <c r="J95" s="10">
        <f t="shared" si="3"/>
        <v>13676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205158</v>
      </c>
    </row>
    <row r="96" spans="8:24" ht="15.75">
      <c r="H96" s="39" t="s">
        <v>112</v>
      </c>
      <c r="I96" s="63">
        <f>ONSV_AUX_2020!D64</f>
        <v>1302</v>
      </c>
      <c r="J96" s="10">
        <f t="shared" si="3"/>
        <v>1302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ONSV_AUX_2020!D65</f>
        <v>1079</v>
      </c>
      <c r="J97" s="64">
        <f>I97-(L86*I82)</f>
        <v>1078.546409176311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3" customFormat="1" ht="15.75">
      <c r="A100" s="100" t="str">
        <f>"AMAPÁ/"&amp;ONSV_AUX_2023!A1&amp;""</f>
        <v>AMAPÁ/2023</v>
      </c>
      <c r="B100" s="101"/>
      <c r="C100" s="101"/>
      <c r="D100" s="101"/>
      <c r="E100" s="101"/>
      <c r="F100" s="10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ONSV_AUX_2019!D27</f>
        <v>1445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ONSV_AUX_2019!D28</f>
        <v>94833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ONSV_AUX_2019!D29</f>
        <v>13886</v>
      </c>
      <c r="J106" s="9"/>
      <c r="K106" s="2" t="s">
        <v>122</v>
      </c>
      <c r="L106" s="63">
        <f>I113+I116+I117+I122</f>
        <v>110773</v>
      </c>
      <c r="N106" s="30" t="s">
        <v>123</v>
      </c>
      <c r="O106" s="63">
        <f>J113+J122</f>
        <v>83710.859333953224</v>
      </c>
      <c r="P106" s="67"/>
      <c r="Q106" s="68" t="s">
        <v>124</v>
      </c>
      <c r="R106" s="63">
        <f>J116+J117</f>
        <v>27038.14066604678</v>
      </c>
      <c r="S106" s="69"/>
      <c r="T106" s="68" t="s">
        <v>125</v>
      </c>
      <c r="U106" s="70">
        <f>O110</f>
        <v>1054.7714244445849</v>
      </c>
      <c r="V106" s="51"/>
      <c r="W106" s="68" t="s">
        <v>126</v>
      </c>
      <c r="X106" s="71">
        <f>R112</f>
        <v>1297.2299955627866</v>
      </c>
    </row>
    <row r="107" spans="1:24" ht="15.75">
      <c r="H107" s="38" t="s">
        <v>102</v>
      </c>
      <c r="I107" s="63">
        <f>ONSV_AUX_2019!D30</f>
        <v>24</v>
      </c>
      <c r="J107" s="9"/>
      <c r="K107" s="29"/>
      <c r="L107" s="65"/>
      <c r="M107" s="22"/>
      <c r="N107" s="30" t="s">
        <v>127</v>
      </c>
      <c r="O107" s="72">
        <f>J113/O106</f>
        <v>0.98739982562791873</v>
      </c>
      <c r="P107" s="67"/>
      <c r="Q107" s="73" t="s">
        <v>128</v>
      </c>
      <c r="R107" s="66">
        <f>J116/R106</f>
        <v>0.82901937583197749</v>
      </c>
      <c r="S107" s="74"/>
      <c r="T107" s="68" t="s">
        <v>129</v>
      </c>
      <c r="U107" s="70">
        <f>I122-J122</f>
        <v>0.228575555415091</v>
      </c>
      <c r="V107" s="51"/>
      <c r="W107" s="68" t="s">
        <v>130</v>
      </c>
      <c r="X107" s="71">
        <f>I117-J117</f>
        <v>1.0018325765304326</v>
      </c>
    </row>
    <row r="108" spans="1:24" ht="15.75">
      <c r="H108" s="38" t="s">
        <v>16</v>
      </c>
      <c r="I108" s="63">
        <f>ONSV_AUX_2019!D31</f>
        <v>16</v>
      </c>
      <c r="J108" s="9"/>
      <c r="K108" s="2" t="s">
        <v>131</v>
      </c>
      <c r="L108" s="66">
        <f>I113/L106</f>
        <v>0.74633710380688434</v>
      </c>
      <c r="M108" s="22"/>
      <c r="N108" s="30" t="s">
        <v>132</v>
      </c>
      <c r="O108" s="72">
        <f>J122/O106</f>
        <v>1.2600174372081357E-2</v>
      </c>
      <c r="P108" s="67"/>
      <c r="Q108" s="73" t="s">
        <v>133</v>
      </c>
      <c r="R108" s="66">
        <f>J117/R106</f>
        <v>0.17098062416802248</v>
      </c>
      <c r="S108" s="74"/>
      <c r="T108" s="68" t="s">
        <v>134</v>
      </c>
      <c r="U108" s="75">
        <f>O112</f>
        <v>0</v>
      </c>
      <c r="V108" s="76"/>
      <c r="W108" s="68" t="s">
        <v>135</v>
      </c>
      <c r="X108" s="75">
        <f>R115</f>
        <v>3325.7681718606827</v>
      </c>
    </row>
    <row r="109" spans="1:24" ht="15.75">
      <c r="H109" s="38" t="s">
        <v>94</v>
      </c>
      <c r="I109" s="63">
        <f>ONSV_AUX_2019!D32</f>
        <v>86601</v>
      </c>
      <c r="J109" s="10"/>
      <c r="K109" s="2" t="s">
        <v>2</v>
      </c>
      <c r="L109" s="66">
        <f>I116/L106</f>
        <v>0.20239589069538605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4.174302402209925E-2</v>
      </c>
      <c r="M110" s="22"/>
      <c r="N110" s="30" t="s">
        <v>136</v>
      </c>
      <c r="O110" s="63">
        <f>IF(O108*I105&gt;J122,J122,O108*I105)</f>
        <v>1054.7714244445849</v>
      </c>
      <c r="P110" s="79"/>
      <c r="Q110" s="68" t="s">
        <v>137</v>
      </c>
      <c r="R110" s="63">
        <f>I106-I114-I115-I118-I121</f>
        <v>7587</v>
      </c>
      <c r="S110" s="80"/>
      <c r="T110" s="68" t="s">
        <v>138</v>
      </c>
      <c r="U110" s="70">
        <f>O118</f>
        <v>81195.087909508642</v>
      </c>
      <c r="V110" s="79"/>
      <c r="W110" s="68" t="s">
        <v>139</v>
      </c>
      <c r="X110" s="70">
        <f>I114</f>
        <v>4229</v>
      </c>
    </row>
    <row r="111" spans="1:24" ht="15.75">
      <c r="H111" s="26" t="s">
        <v>140</v>
      </c>
      <c r="K111" s="2" t="s">
        <v>0</v>
      </c>
      <c r="L111" s="66">
        <f>I122/L106</f>
        <v>9.5239814756303432E-3</v>
      </c>
      <c r="O111" s="51"/>
      <c r="P111" s="79"/>
      <c r="Q111" s="68" t="s">
        <v>141</v>
      </c>
      <c r="R111" s="63">
        <f>R107*R110</f>
        <v>6289.7700044372132</v>
      </c>
      <c r="S111" s="51"/>
      <c r="T111" s="68" t="s">
        <v>142</v>
      </c>
      <c r="U111" s="70">
        <f>O116</f>
        <v>1445</v>
      </c>
      <c r="V111" s="69"/>
      <c r="W111" s="68" t="s">
        <v>143</v>
      </c>
      <c r="X111" s="70">
        <f>I115</f>
        <v>378</v>
      </c>
    </row>
    <row r="112" spans="1:24" ht="15.75">
      <c r="K112" s="11"/>
      <c r="L112" s="11"/>
      <c r="M112" s="11"/>
      <c r="N112" s="30" t="s">
        <v>144</v>
      </c>
      <c r="O112" s="63">
        <f>J122-O110</f>
        <v>0</v>
      </c>
      <c r="P112" s="79"/>
      <c r="Q112" s="68" t="s">
        <v>126</v>
      </c>
      <c r="R112" s="63">
        <f>R108*R110</f>
        <v>1297.2299955627866</v>
      </c>
      <c r="S112" s="51"/>
      <c r="T112" s="68" t="s">
        <v>145</v>
      </c>
      <c r="U112" s="70">
        <f>O117</f>
        <v>16</v>
      </c>
      <c r="V112" s="74"/>
      <c r="W112" s="51"/>
      <c r="X112" s="65"/>
    </row>
    <row r="113" spans="8:24" ht="15.75">
      <c r="H113" s="39" t="s">
        <v>104</v>
      </c>
      <c r="I113" s="63">
        <f>ONSV_AUX_2019!D56</f>
        <v>82674</v>
      </c>
      <c r="J113" s="64">
        <f>I113-(L108*I107)</f>
        <v>82656.087909508642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17.912090491357958</v>
      </c>
      <c r="V113" s="74"/>
      <c r="W113" s="68" t="s">
        <v>147</v>
      </c>
      <c r="X113" s="70">
        <f>I121</f>
        <v>1233</v>
      </c>
    </row>
    <row r="114" spans="8:24" ht="15.75">
      <c r="H114" s="39" t="s">
        <v>105</v>
      </c>
      <c r="I114" s="63">
        <f>ONSV_AUX_2019!D57</f>
        <v>4229</v>
      </c>
      <c r="J114" s="10">
        <f>I114</f>
        <v>4229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16125.372494186096</v>
      </c>
      <c r="S114" s="51"/>
      <c r="T114" s="68" t="s">
        <v>150</v>
      </c>
      <c r="U114" s="75">
        <f>O119</f>
        <v>0</v>
      </c>
      <c r="V114" s="51"/>
      <c r="W114" s="68" t="s">
        <v>151</v>
      </c>
      <c r="X114" s="70">
        <f>I118</f>
        <v>459</v>
      </c>
    </row>
    <row r="115" spans="8:24" ht="15.75">
      <c r="H115" s="39" t="s">
        <v>106</v>
      </c>
      <c r="I115" s="63">
        <f>ONSV_AUX_2019!D58</f>
        <v>378</v>
      </c>
      <c r="J115" s="10">
        <f>I115</f>
        <v>378</v>
      </c>
      <c r="K115" s="11"/>
      <c r="L115" s="11"/>
      <c r="M115" s="11"/>
      <c r="O115" s="76"/>
      <c r="P115" s="79"/>
      <c r="Q115" s="68" t="s">
        <v>135</v>
      </c>
      <c r="R115" s="63">
        <f>J117-R112</f>
        <v>3325.7681718606827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ONSV_AUX_2019!D59</f>
        <v>22420</v>
      </c>
      <c r="J116" s="64">
        <f>I116-(L109*I107)</f>
        <v>22415.142498623311</v>
      </c>
      <c r="K116" s="11"/>
      <c r="L116" s="11"/>
      <c r="M116" s="11"/>
      <c r="N116" s="30" t="s">
        <v>142</v>
      </c>
      <c r="O116" s="63">
        <f>I104</f>
        <v>1445</v>
      </c>
      <c r="P116" s="79"/>
      <c r="Q116" s="51"/>
      <c r="R116" s="51"/>
      <c r="S116" s="80"/>
      <c r="T116" s="68" t="s">
        <v>141</v>
      </c>
      <c r="U116" s="71">
        <f>R111</f>
        <v>6289.7700044372132</v>
      </c>
      <c r="V116" s="51"/>
      <c r="W116" s="68" t="s">
        <v>152</v>
      </c>
      <c r="X116" s="70">
        <f>I119</f>
        <v>66090</v>
      </c>
    </row>
    <row r="117" spans="8:24" ht="15.75">
      <c r="H117" s="39" t="s">
        <v>108</v>
      </c>
      <c r="I117" s="63">
        <f>ONSV_AUX_2019!D60</f>
        <v>4624</v>
      </c>
      <c r="J117" s="64">
        <f>I117-(L110*I107)</f>
        <v>4622.9981674234696</v>
      </c>
      <c r="K117" s="11"/>
      <c r="L117" s="11"/>
      <c r="M117" s="11"/>
      <c r="N117" s="30" t="s">
        <v>145</v>
      </c>
      <c r="O117" s="63">
        <f>I108</f>
        <v>16</v>
      </c>
      <c r="P117" s="79"/>
      <c r="Q117" s="51"/>
      <c r="R117" s="51"/>
      <c r="S117" s="51"/>
      <c r="T117" s="68" t="s">
        <v>153</v>
      </c>
      <c r="U117" s="71">
        <f>I116-J116</f>
        <v>4.8575013766894699</v>
      </c>
      <c r="V117" s="51"/>
      <c r="W117" s="68" t="s">
        <v>154</v>
      </c>
      <c r="X117" s="70">
        <f>I120</f>
        <v>13031</v>
      </c>
    </row>
    <row r="118" spans="8:24" ht="15.75">
      <c r="H118" s="39" t="s">
        <v>109</v>
      </c>
      <c r="I118" s="63">
        <f>ONSV_AUX_2019!D61</f>
        <v>459</v>
      </c>
      <c r="J118" s="10">
        <f>I118</f>
        <v>459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81195.087909508642</v>
      </c>
      <c r="P118" s="79"/>
      <c r="Q118" s="51"/>
      <c r="R118" s="81"/>
      <c r="S118" s="51"/>
      <c r="T118" s="68" t="s">
        <v>149</v>
      </c>
      <c r="U118" s="75">
        <f>R114</f>
        <v>16125.372494186096</v>
      </c>
      <c r="V118" s="51"/>
      <c r="W118" s="51"/>
      <c r="X118" s="51"/>
    </row>
    <row r="119" spans="8:24" ht="15.75">
      <c r="H119" s="39" t="s">
        <v>110</v>
      </c>
      <c r="I119" s="63">
        <f>ONSV_AUX_2019!D62</f>
        <v>66090</v>
      </c>
      <c r="J119" s="10">
        <f t="shared" ref="J119:J121" si="4">I119</f>
        <v>66090</v>
      </c>
      <c r="K119" s="11"/>
      <c r="L119" s="11"/>
      <c r="M119" s="11"/>
      <c r="N119" s="30" t="s">
        <v>150</v>
      </c>
      <c r="O119" s="63">
        <f>IF((J113-O116-O118-O117)&lt;0,0,(J113-O116-O118-O117))</f>
        <v>0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ONSV_AUX_2019!D63</f>
        <v>13031</v>
      </c>
      <c r="J120" s="10">
        <f t="shared" si="4"/>
        <v>13031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196193</v>
      </c>
    </row>
    <row r="121" spans="8:24" ht="15.75">
      <c r="H121" s="39" t="s">
        <v>112</v>
      </c>
      <c r="I121" s="63">
        <f>ONSV_AUX_2019!D64</f>
        <v>1233</v>
      </c>
      <c r="J121" s="10">
        <f t="shared" si="4"/>
        <v>1233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ONSV_AUX_2019!D65</f>
        <v>1055</v>
      </c>
      <c r="J122" s="64">
        <f>I122-(L111*I107)</f>
        <v>1054.7714244445849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00:F100"/>
    <mergeCell ref="K104:L104"/>
    <mergeCell ref="K79:L79"/>
    <mergeCell ref="K29:L29"/>
    <mergeCell ref="T52:X52"/>
    <mergeCell ref="K54:L54"/>
    <mergeCell ref="A50:F50"/>
    <mergeCell ref="A75:F75"/>
    <mergeCell ref="A1:F1"/>
    <mergeCell ref="Q4:R4"/>
    <mergeCell ref="T4:X4"/>
    <mergeCell ref="K5:L5"/>
    <mergeCell ref="T27:X27"/>
    <mergeCell ref="A25:F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39997558519241921"/>
  </sheetPr>
  <dimension ref="A1:X122"/>
  <sheetViews>
    <sheetView showGridLines="0" topLeftCell="A91" zoomScale="90" zoomScaleNormal="90" workbookViewId="0">
      <selection activeCell="A2" sqref="A2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</cols>
  <sheetData>
    <row r="1" spans="1:24" s="33" customFormat="1" ht="15.75">
      <c r="A1" s="100" t="str">
        <f>"AMAZONAS/"&amp;ONSV_AUX_2023!A1&amp;""</f>
        <v>AMAZONAS/2023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ONSV_AUX_2023!E27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ONSV_AUX_2023!E28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ONSV_AUX_2023!E29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ONSV_AUX_2023!E30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ONSV_AUX_2023!E31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ONSV_AUX_2023!E32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ONSV_AUX_2023!E56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ONSV_AUX_2023!E57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ONSV_AUX_2023!E58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ONSV_AUX_2023!E59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ONSV_AUX_2023!E60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ONSV_AUX_2023!E61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ONSV_AUX_2023!E62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ONSV_AUX_2023!E63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ONSV_AUX_2023!E64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ONSV_AUX_2023!E65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3" customFormat="1" ht="15.75">
      <c r="A25" s="100" t="str">
        <f>"AMAZONAS/"&amp;ONSV_AUX_2022!A1&amp;""</f>
        <v>AMAZONAS/2022</v>
      </c>
      <c r="B25" s="101"/>
      <c r="C25" s="101"/>
      <c r="D25" s="101"/>
      <c r="E25" s="101"/>
      <c r="F25" s="101"/>
    </row>
    <row r="26" spans="1:24" s="4" customFormat="1" ht="15.75">
      <c r="A26" s="34"/>
      <c r="B26" s="34"/>
      <c r="C26" s="34"/>
      <c r="D26" s="34"/>
      <c r="E26" s="34"/>
      <c r="F26" s="3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ONSV_AUX_2022!E27</f>
        <v>16222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ONSV_AUX_2022!E28</f>
        <v>504698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ONSV_AUX_2022!E29</f>
        <v>77534</v>
      </c>
      <c r="J31" s="9"/>
      <c r="K31" s="2" t="s">
        <v>122</v>
      </c>
      <c r="L31" s="63">
        <f>I38+I41+I42+I47</f>
        <v>578858</v>
      </c>
      <c r="N31" s="30" t="s">
        <v>123</v>
      </c>
      <c r="O31" s="63">
        <f>J38+J47</f>
        <v>449374.91111637052</v>
      </c>
      <c r="P31" s="67"/>
      <c r="Q31" s="68" t="s">
        <v>124</v>
      </c>
      <c r="R31" s="63">
        <f>J41+J42</f>
        <v>128598.08888362949</v>
      </c>
      <c r="S31" s="69"/>
      <c r="T31" s="68" t="s">
        <v>125</v>
      </c>
      <c r="U31" s="70">
        <f>O35</f>
        <v>7045.2122765859676</v>
      </c>
      <c r="V31" s="51"/>
      <c r="W31" s="68" t="s">
        <v>126</v>
      </c>
      <c r="X31" s="71">
        <f>R37</f>
        <v>8268.505997903645</v>
      </c>
    </row>
    <row r="32" spans="1:24" ht="15.75">
      <c r="H32" s="38" t="s">
        <v>102</v>
      </c>
      <c r="I32" s="63">
        <f>ONSV_AUX_2022!E30</f>
        <v>885</v>
      </c>
      <c r="J32" s="9"/>
      <c r="K32" s="29"/>
      <c r="L32" s="65"/>
      <c r="M32" s="22"/>
      <c r="N32" s="30" t="s">
        <v>127</v>
      </c>
      <c r="O32" s="72">
        <f>J38/O31</f>
        <v>0.984322194892715</v>
      </c>
      <c r="P32" s="67"/>
      <c r="Q32" s="73" t="s">
        <v>128</v>
      </c>
      <c r="R32" s="66">
        <f>J41/R31</f>
        <v>0.77537947901704263</v>
      </c>
      <c r="S32" s="74"/>
      <c r="T32" s="68" t="s">
        <v>129</v>
      </c>
      <c r="U32" s="70">
        <f>I47-J47</f>
        <v>10.787723414032371</v>
      </c>
      <c r="V32" s="51"/>
      <c r="W32" s="68" t="s">
        <v>130</v>
      </c>
      <c r="X32" s="71">
        <f>I42-J42</f>
        <v>44.230277546477737</v>
      </c>
    </row>
    <row r="33" spans="8:24" ht="15.75">
      <c r="H33" s="38" t="s">
        <v>16</v>
      </c>
      <c r="I33" s="63">
        <f>ONSV_AUX_2022!E31</f>
        <v>2628</v>
      </c>
      <c r="J33" s="9"/>
      <c r="K33" s="2" t="s">
        <v>131</v>
      </c>
      <c r="L33" s="66">
        <f>I38/L31</f>
        <v>0.76531204544119624</v>
      </c>
      <c r="M33" s="22"/>
      <c r="N33" s="30" t="s">
        <v>132</v>
      </c>
      <c r="O33" s="72">
        <f>J47/O31</f>
        <v>1.5677805107284979E-2</v>
      </c>
      <c r="P33" s="67"/>
      <c r="Q33" s="73" t="s">
        <v>133</v>
      </c>
      <c r="R33" s="66">
        <f>J42/R31</f>
        <v>0.22462052098295743</v>
      </c>
      <c r="S33" s="74"/>
      <c r="T33" s="68" t="s">
        <v>134</v>
      </c>
      <c r="U33" s="75">
        <f>O37</f>
        <v>0</v>
      </c>
      <c r="V33" s="76"/>
      <c r="W33" s="68" t="s">
        <v>135</v>
      </c>
      <c r="X33" s="75">
        <f>R40</f>
        <v>20617.263724549877</v>
      </c>
    </row>
    <row r="34" spans="8:24" ht="15.75">
      <c r="H34" s="38" t="s">
        <v>94</v>
      </c>
      <c r="I34" s="63">
        <f>ONSV_AUX_2022!E32</f>
        <v>416768</v>
      </c>
      <c r="J34" s="10"/>
      <c r="K34" s="2" t="s">
        <v>2</v>
      </c>
      <c r="L34" s="66">
        <f>I41/L31</f>
        <v>0.17252072183506145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4.9977714741784689E-2</v>
      </c>
      <c r="M35" s="22"/>
      <c r="N35" s="30" t="s">
        <v>136</v>
      </c>
      <c r="O35" s="63">
        <f>IF(O33*I30&gt;J47,J47,O33*I30)</f>
        <v>7045.2122765859676</v>
      </c>
      <c r="P35" s="79"/>
      <c r="Q35" s="68" t="s">
        <v>137</v>
      </c>
      <c r="R35" s="63">
        <f>IF((I31-I39-I40-I43-I46&lt;0),R31,(I31-I39-I40-I43-I46))</f>
        <v>36811</v>
      </c>
      <c r="S35" s="80"/>
      <c r="T35" s="68" t="s">
        <v>138</v>
      </c>
      <c r="U35" s="70">
        <f>O43</f>
        <v>423479.69883978454</v>
      </c>
      <c r="V35" s="79"/>
      <c r="W35" s="68" t="s">
        <v>139</v>
      </c>
      <c r="X35" s="70">
        <f>I39</f>
        <v>22070</v>
      </c>
    </row>
    <row r="36" spans="8:24" ht="15.75">
      <c r="H36" s="26" t="s">
        <v>140</v>
      </c>
      <c r="K36" s="2" t="s">
        <v>0</v>
      </c>
      <c r="L36" s="66">
        <f>I47/L31</f>
        <v>1.2189517981957578E-2</v>
      </c>
      <c r="O36" s="51"/>
      <c r="P36" s="79"/>
      <c r="Q36" s="68" t="s">
        <v>141</v>
      </c>
      <c r="R36" s="63">
        <f>R32*R35</f>
        <v>28542.494002096355</v>
      </c>
      <c r="S36" s="51"/>
      <c r="T36" s="68" t="s">
        <v>142</v>
      </c>
      <c r="U36" s="70">
        <f>O41</f>
        <v>16222</v>
      </c>
      <c r="V36" s="69"/>
      <c r="W36" s="68" t="s">
        <v>143</v>
      </c>
      <c r="X36" s="70">
        <f>I40</f>
        <v>4482</v>
      </c>
    </row>
    <row r="37" spans="8:24" ht="15.75">
      <c r="K37" s="11"/>
      <c r="L37" s="11"/>
      <c r="M37" s="11"/>
      <c r="N37" s="30" t="s">
        <v>144</v>
      </c>
      <c r="O37" s="63">
        <f>J47-O35</f>
        <v>0</v>
      </c>
      <c r="P37" s="79"/>
      <c r="Q37" s="68" t="s">
        <v>126</v>
      </c>
      <c r="R37" s="63">
        <f>R33*R35</f>
        <v>8268.505997903645</v>
      </c>
      <c r="S37" s="51"/>
      <c r="T37" s="68" t="s">
        <v>145</v>
      </c>
      <c r="U37" s="70">
        <f>O42</f>
        <v>2628</v>
      </c>
      <c r="V37" s="74"/>
      <c r="W37" s="51"/>
      <c r="X37" s="65"/>
    </row>
    <row r="38" spans="8:24" ht="15.75">
      <c r="H38" s="39" t="s">
        <v>104</v>
      </c>
      <c r="I38" s="63">
        <f>ONSV_AUX_2022!E56</f>
        <v>443007</v>
      </c>
      <c r="J38" s="64">
        <f>I38-(L33*I32)</f>
        <v>442329.69883978454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677.30116021545837</v>
      </c>
      <c r="V38" s="74"/>
      <c r="W38" s="68" t="s">
        <v>147</v>
      </c>
      <c r="X38" s="70">
        <f>I46</f>
        <v>10441</v>
      </c>
    </row>
    <row r="39" spans="8:24" ht="15.75">
      <c r="H39" s="39" t="s">
        <v>105</v>
      </c>
      <c r="I39" s="63">
        <f>ONSV_AUX_2022!E57</f>
        <v>22070</v>
      </c>
      <c r="J39" s="10">
        <f>I39</f>
        <v>22070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71169.825159079614</v>
      </c>
      <c r="S39" s="51"/>
      <c r="T39" s="68" t="s">
        <v>150</v>
      </c>
      <c r="U39" s="75">
        <f>O44</f>
        <v>0</v>
      </c>
      <c r="V39" s="51"/>
      <c r="W39" s="68" t="s">
        <v>151</v>
      </c>
      <c r="X39" s="70">
        <f>I43</f>
        <v>3730</v>
      </c>
    </row>
    <row r="40" spans="8:24" ht="15.75">
      <c r="H40" s="39" t="s">
        <v>106</v>
      </c>
      <c r="I40" s="63">
        <f>ONSV_AUX_2022!E58</f>
        <v>4482</v>
      </c>
      <c r="J40" s="10">
        <f>I40</f>
        <v>4482</v>
      </c>
      <c r="K40" s="11"/>
      <c r="L40" s="11"/>
      <c r="M40" s="11"/>
      <c r="O40" s="76"/>
      <c r="P40" s="79"/>
      <c r="Q40" s="68" t="s">
        <v>135</v>
      </c>
      <c r="R40" s="63">
        <f>J42-R37</f>
        <v>20617.263724549877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ONSV_AUX_2022!E59</f>
        <v>99865</v>
      </c>
      <c r="J41" s="64">
        <f>I41-(L34*I32)</f>
        <v>99712.319161175968</v>
      </c>
      <c r="K41" s="11"/>
      <c r="L41" s="11"/>
      <c r="M41" s="11"/>
      <c r="N41" s="30" t="s">
        <v>142</v>
      </c>
      <c r="O41" s="63">
        <f>I29</f>
        <v>16222</v>
      </c>
      <c r="P41" s="79"/>
      <c r="Q41" s="51"/>
      <c r="R41" s="51"/>
      <c r="S41" s="80"/>
      <c r="T41" s="68" t="s">
        <v>141</v>
      </c>
      <c r="U41" s="71">
        <f>R36</f>
        <v>28542.494002096355</v>
      </c>
      <c r="V41" s="51"/>
      <c r="W41" s="68" t="s">
        <v>152</v>
      </c>
      <c r="X41" s="70">
        <f>I44</f>
        <v>321726</v>
      </c>
    </row>
    <row r="42" spans="8:24" ht="15.75">
      <c r="H42" s="39" t="s">
        <v>108</v>
      </c>
      <c r="I42" s="63">
        <f>ONSV_AUX_2022!E60</f>
        <v>28930</v>
      </c>
      <c r="J42" s="64">
        <f>I42-(L35*I32)</f>
        <v>28885.769722453522</v>
      </c>
      <c r="K42" s="11"/>
      <c r="L42" s="11"/>
      <c r="M42" s="11"/>
      <c r="N42" s="30" t="s">
        <v>145</v>
      </c>
      <c r="O42" s="63">
        <f>I33</f>
        <v>2628</v>
      </c>
      <c r="P42" s="79"/>
      <c r="Q42" s="51"/>
      <c r="R42" s="51"/>
      <c r="S42" s="51"/>
      <c r="T42" s="68" t="s">
        <v>153</v>
      </c>
      <c r="U42" s="71">
        <f>I41-J41</f>
        <v>152.68083882403153</v>
      </c>
      <c r="V42" s="51"/>
      <c r="W42" s="68" t="s">
        <v>154</v>
      </c>
      <c r="X42" s="70">
        <f>I45</f>
        <v>76218</v>
      </c>
    </row>
    <row r="43" spans="8:24" ht="15.75">
      <c r="H43" s="39" t="s">
        <v>109</v>
      </c>
      <c r="I43" s="63">
        <f>ONSV_AUX_2022!E61</f>
        <v>3730</v>
      </c>
      <c r="J43" s="10">
        <f>I43</f>
        <v>3730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423479.69883978454</v>
      </c>
      <c r="P43" s="79"/>
      <c r="Q43" s="51"/>
      <c r="R43" s="81"/>
      <c r="S43" s="51"/>
      <c r="T43" s="68" t="s">
        <v>149</v>
      </c>
      <c r="U43" s="75">
        <f>R39</f>
        <v>71169.825159079614</v>
      </c>
      <c r="V43" s="51"/>
      <c r="W43" s="51"/>
      <c r="X43" s="51"/>
    </row>
    <row r="44" spans="8:24" ht="15.75">
      <c r="H44" s="39" t="s">
        <v>110</v>
      </c>
      <c r="I44" s="63">
        <f>ONSV_AUX_2022!E62</f>
        <v>321726</v>
      </c>
      <c r="J44" s="10">
        <f t="shared" ref="J44:J46" si="1">I44</f>
        <v>321726</v>
      </c>
      <c r="K44" s="11"/>
      <c r="L44" s="11"/>
      <c r="M44" s="11"/>
      <c r="N44" s="30" t="s">
        <v>150</v>
      </c>
      <c r="O44" s="63">
        <f>IF((J38-O41-O43-O42)&lt;0,0,(J38-O41-O43-O42))</f>
        <v>0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ONSV_AUX_2022!E63</f>
        <v>76218</v>
      </c>
      <c r="J45" s="10">
        <f t="shared" si="1"/>
        <v>76218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1017525</v>
      </c>
    </row>
    <row r="46" spans="8:24" ht="15.75">
      <c r="H46" s="39" t="s">
        <v>112</v>
      </c>
      <c r="I46" s="63">
        <f>ONSV_AUX_2022!E64</f>
        <v>10441</v>
      </c>
      <c r="J46" s="10">
        <f t="shared" si="1"/>
        <v>10441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ONSV_AUX_2022!E65</f>
        <v>7056</v>
      </c>
      <c r="J47" s="64">
        <f>I47-(L36*I32)</f>
        <v>7045.2122765859676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3" customFormat="1" ht="15.75">
      <c r="A50" s="100" t="str">
        <f>"AMAZONAS/"&amp;ONSV_AUX_2021!A1&amp;""</f>
        <v>AMAZONAS/2021</v>
      </c>
      <c r="B50" s="101"/>
      <c r="C50" s="101"/>
      <c r="D50" s="101"/>
      <c r="E50" s="101"/>
      <c r="F50" s="101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ONSV_AUX_2021!E27</f>
        <v>16212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ONSV_AUX_2021!E28</f>
        <v>472308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ONSV_AUX_2021!E29</f>
        <v>73710</v>
      </c>
      <c r="J56" s="9"/>
      <c r="K56" s="2" t="s">
        <v>122</v>
      </c>
      <c r="L56" s="63">
        <f>I63+I66+I67+I72</f>
        <v>565726</v>
      </c>
      <c r="N56" s="30" t="s">
        <v>123</v>
      </c>
      <c r="O56" s="63">
        <f>J63+J72</f>
        <v>441004.89544408425</v>
      </c>
      <c r="P56" s="67"/>
      <c r="Q56" s="68" t="s">
        <v>124</v>
      </c>
      <c r="R56" s="63">
        <f>J66+J67</f>
        <v>124189.10455591576</v>
      </c>
      <c r="S56" s="69"/>
      <c r="T56" s="68" t="s">
        <v>125</v>
      </c>
      <c r="U56" s="70">
        <f>O60</f>
        <v>6147.2138137543616</v>
      </c>
      <c r="V56" s="51"/>
      <c r="W56" s="68" t="s">
        <v>126</v>
      </c>
      <c r="X56" s="71">
        <f>R62</f>
        <v>7876.5886441523344</v>
      </c>
    </row>
    <row r="57" spans="1:24" ht="15.75">
      <c r="H57" s="38" t="s">
        <v>102</v>
      </c>
      <c r="I57" s="63">
        <f>ONSV_AUX_2021!E30</f>
        <v>532</v>
      </c>
      <c r="J57" s="9"/>
      <c r="K57" s="29"/>
      <c r="L57" s="65"/>
      <c r="M57" s="22"/>
      <c r="N57" s="30" t="s">
        <v>127</v>
      </c>
      <c r="O57" s="72">
        <f>J63/O56</f>
        <v>0.98606089438629874</v>
      </c>
      <c r="P57" s="67"/>
      <c r="Q57" s="73" t="s">
        <v>128</v>
      </c>
      <c r="R57" s="66">
        <f>J66/R56</f>
        <v>0.77246472414847234</v>
      </c>
      <c r="S57" s="74"/>
      <c r="T57" s="68" t="s">
        <v>129</v>
      </c>
      <c r="U57" s="70">
        <f>I72-J72</f>
        <v>5.7861862456384188</v>
      </c>
      <c r="V57" s="51"/>
      <c r="W57" s="68" t="s">
        <v>130</v>
      </c>
      <c r="X57" s="71">
        <f>I67-J67</f>
        <v>26.597837115492439</v>
      </c>
    </row>
    <row r="58" spans="1:24" ht="15.75">
      <c r="H58" s="38" t="s">
        <v>16</v>
      </c>
      <c r="I58" s="63">
        <f>ONSV_AUX_2021!E31</f>
        <v>2320</v>
      </c>
      <c r="J58" s="9"/>
      <c r="K58" s="2" t="s">
        <v>131</v>
      </c>
      <c r="L58" s="66">
        <f>I63/L56</f>
        <v>0.76939543171075753</v>
      </c>
      <c r="M58" s="22"/>
      <c r="N58" s="30" t="s">
        <v>132</v>
      </c>
      <c r="O58" s="72">
        <f>J72/O56</f>
        <v>1.3939105613701236E-2</v>
      </c>
      <c r="P58" s="67"/>
      <c r="Q58" s="73" t="s">
        <v>133</v>
      </c>
      <c r="R58" s="66">
        <f>J67/R56</f>
        <v>0.22753527585152769</v>
      </c>
      <c r="S58" s="74"/>
      <c r="T58" s="68" t="s">
        <v>134</v>
      </c>
      <c r="U58" s="75">
        <f>O62</f>
        <v>0</v>
      </c>
      <c r="V58" s="76"/>
      <c r="W58" s="68" t="s">
        <v>135</v>
      </c>
      <c r="X58" s="75">
        <f>R65</f>
        <v>20380.813518732175</v>
      </c>
    </row>
    <row r="59" spans="1:24" ht="15.75">
      <c r="H59" s="38" t="s">
        <v>94</v>
      </c>
      <c r="I59" s="63">
        <f>ONSV_AUX_2021!E32</f>
        <v>405823</v>
      </c>
      <c r="J59" s="10"/>
      <c r="K59" s="2" t="s">
        <v>2</v>
      </c>
      <c r="L59" s="66">
        <f>I66/L56</f>
        <v>0.16973234392621162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4.9995934427620438E-2</v>
      </c>
      <c r="M60" s="22"/>
      <c r="N60" s="30" t="s">
        <v>136</v>
      </c>
      <c r="O60" s="63">
        <f>IF(O58*I55&gt;J72,J72,O58*I55)</f>
        <v>6147.2138137543616</v>
      </c>
      <c r="P60" s="79"/>
      <c r="Q60" s="68" t="s">
        <v>137</v>
      </c>
      <c r="R60" s="63">
        <f>I56-I64-I65-I68-I71</f>
        <v>34617</v>
      </c>
      <c r="S60" s="80"/>
      <c r="T60" s="68" t="s">
        <v>138</v>
      </c>
      <c r="U60" s="70">
        <f>O68</f>
        <v>416325.68163032987</v>
      </c>
      <c r="V60" s="79"/>
      <c r="W60" s="68" t="s">
        <v>139</v>
      </c>
      <c r="X60" s="70">
        <f>I64</f>
        <v>21231</v>
      </c>
    </row>
    <row r="61" spans="1:24" ht="15.75">
      <c r="H61" s="26" t="s">
        <v>140</v>
      </c>
      <c r="K61" s="2" t="s">
        <v>0</v>
      </c>
      <c r="L61" s="66">
        <f>I72/L56</f>
        <v>1.0876289935410429E-2</v>
      </c>
      <c r="O61" s="51"/>
      <c r="P61" s="79"/>
      <c r="Q61" s="68" t="s">
        <v>141</v>
      </c>
      <c r="R61" s="63">
        <f>R57*R60</f>
        <v>26740.411355847667</v>
      </c>
      <c r="S61" s="51"/>
      <c r="T61" s="68" t="s">
        <v>142</v>
      </c>
      <c r="U61" s="70">
        <f>O66</f>
        <v>16212</v>
      </c>
      <c r="V61" s="69"/>
      <c r="W61" s="68" t="s">
        <v>143</v>
      </c>
      <c r="X61" s="70">
        <f>I65</f>
        <v>4107</v>
      </c>
    </row>
    <row r="62" spans="1:24" ht="15.75">
      <c r="K62" s="11"/>
      <c r="L62" s="11"/>
      <c r="M62" s="11"/>
      <c r="N62" s="30" t="s">
        <v>144</v>
      </c>
      <c r="O62" s="63">
        <f>J72-O60</f>
        <v>0</v>
      </c>
      <c r="P62" s="79"/>
      <c r="Q62" s="68" t="s">
        <v>126</v>
      </c>
      <c r="R62" s="63">
        <f>R58*R60</f>
        <v>7876.5886441523344</v>
      </c>
      <c r="S62" s="51"/>
      <c r="T62" s="68" t="s">
        <v>145</v>
      </c>
      <c r="U62" s="70">
        <f>O67</f>
        <v>2320</v>
      </c>
      <c r="V62" s="74"/>
      <c r="W62" s="51"/>
      <c r="X62" s="65"/>
    </row>
    <row r="63" spans="1:24" ht="15.75">
      <c r="H63" s="39" t="s">
        <v>104</v>
      </c>
      <c r="I63" s="63">
        <f>ONSV_AUX_2021!E56</f>
        <v>435267</v>
      </c>
      <c r="J63" s="64">
        <f>I63-(L58*I57)</f>
        <v>434857.68163032987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409.31836967013078</v>
      </c>
      <c r="V63" s="74"/>
      <c r="W63" s="68" t="s">
        <v>147</v>
      </c>
      <c r="X63" s="70">
        <f>I71</f>
        <v>10112</v>
      </c>
    </row>
    <row r="64" spans="1:24" ht="15.75">
      <c r="H64" s="39" t="s">
        <v>105</v>
      </c>
      <c r="I64" s="63">
        <f>ONSV_AUX_2021!E57</f>
        <v>21231</v>
      </c>
      <c r="J64" s="10">
        <f>I64</f>
        <v>21231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69191.29103718359</v>
      </c>
      <c r="S64" s="51"/>
      <c r="T64" s="68" t="s">
        <v>150</v>
      </c>
      <c r="U64" s="75">
        <f>O69</f>
        <v>0</v>
      </c>
      <c r="V64" s="51"/>
      <c r="W64" s="68" t="s">
        <v>151</v>
      </c>
      <c r="X64" s="70">
        <f>I68</f>
        <v>3643</v>
      </c>
    </row>
    <row r="65" spans="1:24" ht="15.75">
      <c r="H65" s="39" t="s">
        <v>106</v>
      </c>
      <c r="I65" s="63">
        <f>ONSV_AUX_2021!E58</f>
        <v>4107</v>
      </c>
      <c r="J65" s="10">
        <f>I65</f>
        <v>4107</v>
      </c>
      <c r="K65" s="11"/>
      <c r="L65" s="11"/>
      <c r="M65" s="11"/>
      <c r="O65" s="76"/>
      <c r="P65" s="79"/>
      <c r="Q65" s="68" t="s">
        <v>135</v>
      </c>
      <c r="R65" s="63">
        <f>J67-R62</f>
        <v>20380.813518732175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ONSV_AUX_2021!E59</f>
        <v>96022</v>
      </c>
      <c r="J66" s="64">
        <f>I66-(L59*I57)</f>
        <v>95931.702393031257</v>
      </c>
      <c r="K66" s="11"/>
      <c r="L66" s="11"/>
      <c r="M66" s="11"/>
      <c r="N66" s="30" t="s">
        <v>142</v>
      </c>
      <c r="O66" s="63">
        <f>I54</f>
        <v>16212</v>
      </c>
      <c r="P66" s="79"/>
      <c r="Q66" s="51"/>
      <c r="R66" s="51"/>
      <c r="S66" s="80"/>
      <c r="T66" s="68" t="s">
        <v>141</v>
      </c>
      <c r="U66" s="71">
        <f>R61</f>
        <v>26740.411355847667</v>
      </c>
      <c r="V66" s="51"/>
      <c r="W66" s="68" t="s">
        <v>152</v>
      </c>
      <c r="X66" s="70">
        <f>I69</f>
        <v>296113</v>
      </c>
    </row>
    <row r="67" spans="1:24" ht="15.75">
      <c r="H67" s="39" t="s">
        <v>108</v>
      </c>
      <c r="I67" s="63">
        <f>ONSV_AUX_2021!E60</f>
        <v>28284</v>
      </c>
      <c r="J67" s="64">
        <f>I67-(L60*I57)</f>
        <v>28257.402162884508</v>
      </c>
      <c r="K67" s="11"/>
      <c r="L67" s="11"/>
      <c r="M67" s="11"/>
      <c r="N67" s="30" t="s">
        <v>145</v>
      </c>
      <c r="O67" s="63">
        <f>I58</f>
        <v>2320</v>
      </c>
      <c r="P67" s="79"/>
      <c r="Q67" s="51"/>
      <c r="R67" s="51"/>
      <c r="S67" s="51"/>
      <c r="T67" s="68" t="s">
        <v>153</v>
      </c>
      <c r="U67" s="71">
        <f>I66-J66</f>
        <v>90.297606968742912</v>
      </c>
      <c r="V67" s="51"/>
      <c r="W67" s="68" t="s">
        <v>154</v>
      </c>
      <c r="X67" s="70">
        <f>I70</f>
        <v>68631</v>
      </c>
    </row>
    <row r="68" spans="1:24" ht="15.75">
      <c r="H68" s="39" t="s">
        <v>109</v>
      </c>
      <c r="I68" s="63">
        <f>ONSV_AUX_2021!E61</f>
        <v>3643</v>
      </c>
      <c r="J68" s="10">
        <f>I68</f>
        <v>3643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416325.68163032987</v>
      </c>
      <c r="P68" s="79"/>
      <c r="Q68" s="51"/>
      <c r="R68" s="81"/>
      <c r="S68" s="51"/>
      <c r="T68" s="68" t="s">
        <v>149</v>
      </c>
      <c r="U68" s="75">
        <f>R64</f>
        <v>69191.29103718359</v>
      </c>
      <c r="V68" s="51"/>
      <c r="W68" s="51"/>
      <c r="X68" s="51"/>
    </row>
    <row r="69" spans="1:24" ht="15.75">
      <c r="H69" s="39" t="s">
        <v>110</v>
      </c>
      <c r="I69" s="63">
        <f>ONSV_AUX_2021!E62</f>
        <v>296113</v>
      </c>
      <c r="J69" s="10">
        <f t="shared" ref="J69:J71" si="2">I69</f>
        <v>296113</v>
      </c>
      <c r="K69" s="11"/>
      <c r="L69" s="11"/>
      <c r="M69" s="11"/>
      <c r="N69" s="30" t="s">
        <v>150</v>
      </c>
      <c r="O69" s="63">
        <f>IF((J63-O66-O68-O67)&lt;0,0,(J63-O66-O68-O67))</f>
        <v>0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ONSV_AUX_2021!E63</f>
        <v>68631</v>
      </c>
      <c r="J70" s="10">
        <f t="shared" si="2"/>
        <v>68631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969563.00000000012</v>
      </c>
    </row>
    <row r="71" spans="1:24" ht="15.75">
      <c r="H71" s="39" t="s">
        <v>112</v>
      </c>
      <c r="I71" s="63">
        <f>ONSV_AUX_2021!E64</f>
        <v>10112</v>
      </c>
      <c r="J71" s="10">
        <f t="shared" si="2"/>
        <v>10112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ONSV_AUX_2021!E65</f>
        <v>6153</v>
      </c>
      <c r="J72" s="64">
        <f>I72-(L61*I57)</f>
        <v>6147.2138137543616</v>
      </c>
      <c r="K72" s="12"/>
      <c r="L72" s="12"/>
      <c r="M72" s="12"/>
      <c r="N72" s="12"/>
      <c r="O72" s="12"/>
      <c r="P72" s="12"/>
      <c r="Q72" s="4"/>
      <c r="R72" s="4"/>
    </row>
    <row r="75" spans="1:24" s="33" customFormat="1" ht="15.75">
      <c r="A75" s="100" t="str">
        <f>"AMAZONAS/"&amp;ONSV_AUX_2020!A1&amp;""</f>
        <v>AMAZONAS/2020</v>
      </c>
      <c r="B75" s="101"/>
      <c r="C75" s="101"/>
      <c r="D75" s="101"/>
      <c r="E75" s="101"/>
      <c r="F75" s="10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ONSV_AUX_2020!E27</f>
        <v>16196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ONSV_AUX_2020!E28</f>
        <v>438863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ONSV_AUX_2020!E29</f>
        <v>70857</v>
      </c>
      <c r="J81" s="9"/>
      <c r="K81" s="2" t="s">
        <v>122</v>
      </c>
      <c r="L81" s="63">
        <f>I88+I91+I92+I97</f>
        <v>545696</v>
      </c>
      <c r="N81" s="30" t="s">
        <v>123</v>
      </c>
      <c r="O81" s="63">
        <f>J88+J97</f>
        <v>424302.29892467603</v>
      </c>
      <c r="P81" s="67"/>
      <c r="Q81" s="68" t="s">
        <v>124</v>
      </c>
      <c r="R81" s="63">
        <f>J91+J92</f>
        <v>121135.70107532399</v>
      </c>
      <c r="S81" s="69"/>
      <c r="T81" s="68" t="s">
        <v>125</v>
      </c>
      <c r="U81" s="70">
        <f>O85</f>
        <v>5748.2809806192463</v>
      </c>
      <c r="V81" s="51"/>
      <c r="W81" s="68" t="s">
        <v>126</v>
      </c>
      <c r="X81" s="71">
        <f>R87</f>
        <v>7731.6578102695703</v>
      </c>
    </row>
    <row r="82" spans="8:24" ht="15.75">
      <c r="H82" s="38" t="s">
        <v>102</v>
      </c>
      <c r="I82" s="63">
        <f>ONSV_AUX_2020!E30</f>
        <v>258</v>
      </c>
      <c r="J82" s="9"/>
      <c r="K82" s="29"/>
      <c r="L82" s="65"/>
      <c r="M82" s="22"/>
      <c r="N82" s="30" t="s">
        <v>127</v>
      </c>
      <c r="O82" s="72">
        <f>J88/O81</f>
        <v>0.98645239256259676</v>
      </c>
      <c r="P82" s="67"/>
      <c r="Q82" s="73" t="s">
        <v>128</v>
      </c>
      <c r="R82" s="66">
        <f>J91/R81</f>
        <v>0.76966491464028453</v>
      </c>
      <c r="S82" s="74"/>
      <c r="T82" s="68" t="s">
        <v>129</v>
      </c>
      <c r="U82" s="70">
        <f>I97-J97</f>
        <v>2.7190193807537071</v>
      </c>
      <c r="V82" s="51"/>
      <c r="W82" s="68" t="s">
        <v>130</v>
      </c>
      <c r="X82" s="71">
        <f>I92-J92</f>
        <v>13.197952706268552</v>
      </c>
    </row>
    <row r="83" spans="8:24" ht="15.75">
      <c r="H83" s="38" t="s">
        <v>16</v>
      </c>
      <c r="I83" s="63">
        <f>ONSV_AUX_2020!E31</f>
        <v>2338</v>
      </c>
      <c r="J83" s="9"/>
      <c r="K83" s="2" t="s">
        <v>131</v>
      </c>
      <c r="L83" s="66">
        <f>I88/L81</f>
        <v>0.76737230985750304</v>
      </c>
      <c r="M83" s="22"/>
      <c r="N83" s="30" t="s">
        <v>132</v>
      </c>
      <c r="O83" s="72">
        <f>J97/O81</f>
        <v>1.354760743740327E-2</v>
      </c>
      <c r="P83" s="67"/>
      <c r="Q83" s="73" t="s">
        <v>133</v>
      </c>
      <c r="R83" s="66">
        <f>J92/R81</f>
        <v>0.2303350853597155</v>
      </c>
      <c r="S83" s="74"/>
      <c r="T83" s="68" t="s">
        <v>134</v>
      </c>
      <c r="U83" s="75">
        <f>O87</f>
        <v>0</v>
      </c>
      <c r="V83" s="76"/>
      <c r="W83" s="68" t="s">
        <v>135</v>
      </c>
      <c r="X83" s="75">
        <f>R90</f>
        <v>20170.14423702416</v>
      </c>
    </row>
    <row r="84" spans="8:24" ht="15.75">
      <c r="H84" s="38" t="s">
        <v>94</v>
      </c>
      <c r="I84" s="63">
        <f>ONSV_AUX_2020!E32</f>
        <v>398506</v>
      </c>
      <c r="J84" s="10"/>
      <c r="K84" s="2" t="s">
        <v>2</v>
      </c>
      <c r="L84" s="66">
        <f>I91/L81</f>
        <v>0.1709339998827186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5.1154855450653847E-2</v>
      </c>
      <c r="M85" s="22"/>
      <c r="N85" s="30" t="s">
        <v>136</v>
      </c>
      <c r="O85" s="63">
        <f>IF(O83*I80&gt;J97,J97,O83*I80)</f>
        <v>5748.2809806192463</v>
      </c>
      <c r="P85" s="79"/>
      <c r="Q85" s="68" t="s">
        <v>137</v>
      </c>
      <c r="R85" s="63">
        <f>I81-I89-I90-I93-I96</f>
        <v>33567</v>
      </c>
      <c r="S85" s="80"/>
      <c r="T85" s="68" t="s">
        <v>138</v>
      </c>
      <c r="U85" s="70">
        <f>O93</f>
        <v>400020.01794405677</v>
      </c>
      <c r="V85" s="79"/>
      <c r="W85" s="68" t="s">
        <v>139</v>
      </c>
      <c r="X85" s="70">
        <f>I89</f>
        <v>20731</v>
      </c>
    </row>
    <row r="86" spans="8:24" ht="15.75">
      <c r="H86" s="26" t="s">
        <v>140</v>
      </c>
      <c r="K86" s="2" t="s">
        <v>0</v>
      </c>
      <c r="L86" s="66">
        <f>I97/L81</f>
        <v>1.0538834809124493E-2</v>
      </c>
      <c r="O86" s="51"/>
      <c r="P86" s="79"/>
      <c r="Q86" s="68" t="s">
        <v>141</v>
      </c>
      <c r="R86" s="63">
        <f>R82*R85</f>
        <v>25835.342189730432</v>
      </c>
      <c r="S86" s="51"/>
      <c r="T86" s="68" t="s">
        <v>142</v>
      </c>
      <c r="U86" s="70">
        <f>O91</f>
        <v>16196</v>
      </c>
      <c r="V86" s="69"/>
      <c r="W86" s="68" t="s">
        <v>143</v>
      </c>
      <c r="X86" s="70">
        <f>I90</f>
        <v>3553</v>
      </c>
    </row>
    <row r="87" spans="8:24" ht="15.75">
      <c r="K87" s="11"/>
      <c r="L87" s="11"/>
      <c r="M87" s="11"/>
      <c r="N87" s="30" t="s">
        <v>144</v>
      </c>
      <c r="O87" s="63">
        <f>J97-O85</f>
        <v>0</v>
      </c>
      <c r="P87" s="79"/>
      <c r="Q87" s="68" t="s">
        <v>126</v>
      </c>
      <c r="R87" s="63">
        <f>R83*R85</f>
        <v>7731.6578102695703</v>
      </c>
      <c r="S87" s="51"/>
      <c r="T87" s="68" t="s">
        <v>145</v>
      </c>
      <c r="U87" s="70">
        <f>O92</f>
        <v>2338</v>
      </c>
      <c r="V87" s="74"/>
      <c r="W87" s="51"/>
      <c r="X87" s="65"/>
    </row>
    <row r="88" spans="8:24" ht="15.75">
      <c r="H88" s="39" t="s">
        <v>104</v>
      </c>
      <c r="I88" s="63">
        <f>ONSV_AUX_2020!E56</f>
        <v>418752</v>
      </c>
      <c r="J88" s="64">
        <f>I88-(L83*I82)</f>
        <v>418554.01794405677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197.98205594322644</v>
      </c>
      <c r="V88" s="74"/>
      <c r="W88" s="68" t="s">
        <v>147</v>
      </c>
      <c r="X88" s="70">
        <f>I96</f>
        <v>9399</v>
      </c>
    </row>
    <row r="89" spans="8:24" ht="15.75">
      <c r="H89" s="39" t="s">
        <v>105</v>
      </c>
      <c r="I89" s="63">
        <f>ONSV_AUX_2020!E57</f>
        <v>20731</v>
      </c>
      <c r="J89" s="10">
        <f>I89</f>
        <v>20731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67398.556838299817</v>
      </c>
      <c r="S89" s="51"/>
      <c r="T89" s="68" t="s">
        <v>150</v>
      </c>
      <c r="U89" s="75">
        <f>O94</f>
        <v>0</v>
      </c>
      <c r="V89" s="51"/>
      <c r="W89" s="68" t="s">
        <v>151</v>
      </c>
      <c r="X89" s="70">
        <f>I93</f>
        <v>3607</v>
      </c>
    </row>
    <row r="90" spans="8:24" ht="15.75">
      <c r="H90" s="39" t="s">
        <v>106</v>
      </c>
      <c r="I90" s="63">
        <f>ONSV_AUX_2020!E58</f>
        <v>3553</v>
      </c>
      <c r="J90" s="10">
        <f>I90</f>
        <v>3553</v>
      </c>
      <c r="K90" s="11"/>
      <c r="L90" s="11"/>
      <c r="M90" s="11"/>
      <c r="O90" s="76"/>
      <c r="P90" s="79"/>
      <c r="Q90" s="68" t="s">
        <v>135</v>
      </c>
      <c r="R90" s="63">
        <f>J92-R87</f>
        <v>20170.14423702416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ONSV_AUX_2020!E59</f>
        <v>93278</v>
      </c>
      <c r="J91" s="64">
        <f>I91-(L84*I82)</f>
        <v>93233.899028030253</v>
      </c>
      <c r="K91" s="11"/>
      <c r="L91" s="11"/>
      <c r="M91" s="11"/>
      <c r="N91" s="30" t="s">
        <v>142</v>
      </c>
      <c r="O91" s="63">
        <f>I79</f>
        <v>16196</v>
      </c>
      <c r="P91" s="79"/>
      <c r="Q91" s="51"/>
      <c r="R91" s="51"/>
      <c r="S91" s="80"/>
      <c r="T91" s="68" t="s">
        <v>141</v>
      </c>
      <c r="U91" s="71">
        <f>R86</f>
        <v>25835.342189730432</v>
      </c>
      <c r="V91" s="51"/>
      <c r="W91" s="68" t="s">
        <v>152</v>
      </c>
      <c r="X91" s="70">
        <f>I94</f>
        <v>278910</v>
      </c>
    </row>
    <row r="92" spans="8:24" ht="15.75">
      <c r="H92" s="39" t="s">
        <v>108</v>
      </c>
      <c r="I92" s="63">
        <f>ONSV_AUX_2020!E60</f>
        <v>27915</v>
      </c>
      <c r="J92" s="64">
        <f>I92-(L85*I82)</f>
        <v>27901.802047293731</v>
      </c>
      <c r="K92" s="11"/>
      <c r="L92" s="11"/>
      <c r="M92" s="11"/>
      <c r="N92" s="30" t="s">
        <v>145</v>
      </c>
      <c r="O92" s="63">
        <f>I83</f>
        <v>2338</v>
      </c>
      <c r="P92" s="79"/>
      <c r="Q92" s="51"/>
      <c r="R92" s="51"/>
      <c r="S92" s="51"/>
      <c r="T92" s="68" t="s">
        <v>153</v>
      </c>
      <c r="U92" s="71">
        <f>I91-J91</f>
        <v>44.100971969746752</v>
      </c>
      <c r="V92" s="51"/>
      <c r="W92" s="68" t="s">
        <v>154</v>
      </c>
      <c r="X92" s="70">
        <f>I95</f>
        <v>63723</v>
      </c>
    </row>
    <row r="93" spans="8:24" ht="15.75">
      <c r="H93" s="39" t="s">
        <v>109</v>
      </c>
      <c r="I93" s="63">
        <f>ONSV_AUX_2020!E61</f>
        <v>3607</v>
      </c>
      <c r="J93" s="10">
        <f>I93</f>
        <v>3607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400020.01794405677</v>
      </c>
      <c r="P93" s="79"/>
      <c r="Q93" s="51"/>
      <c r="R93" s="81"/>
      <c r="S93" s="51"/>
      <c r="T93" s="68" t="s">
        <v>149</v>
      </c>
      <c r="U93" s="75">
        <f>R89</f>
        <v>67398.556838299817</v>
      </c>
      <c r="V93" s="51"/>
      <c r="W93" s="51"/>
      <c r="X93" s="51"/>
    </row>
    <row r="94" spans="8:24" ht="15.75">
      <c r="H94" s="39" t="s">
        <v>110</v>
      </c>
      <c r="I94" s="63">
        <f>ONSV_AUX_2020!E62</f>
        <v>278910</v>
      </c>
      <c r="J94" s="10">
        <f t="shared" ref="J94:J96" si="3">I94</f>
        <v>278910</v>
      </c>
      <c r="K94" s="11"/>
      <c r="L94" s="11"/>
      <c r="M94" s="11"/>
      <c r="N94" s="30" t="s">
        <v>150</v>
      </c>
      <c r="O94" s="63">
        <f>IF((J88-O91-O93-O92)&lt;0,0,(J88-O91-O93-O92))</f>
        <v>0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ONSV_AUX_2020!E63</f>
        <v>63723</v>
      </c>
      <c r="J95" s="10">
        <f t="shared" si="3"/>
        <v>63723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925619</v>
      </c>
    </row>
    <row r="96" spans="8:24" ht="15.75">
      <c r="H96" s="39" t="s">
        <v>112</v>
      </c>
      <c r="I96" s="63">
        <f>ONSV_AUX_2020!E64</f>
        <v>9399</v>
      </c>
      <c r="J96" s="10">
        <f t="shared" si="3"/>
        <v>9399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ONSV_AUX_2020!E65</f>
        <v>5751</v>
      </c>
      <c r="J97" s="64">
        <f>I97-(L86*I82)</f>
        <v>5748.2809806192463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3" customFormat="1" ht="15.75">
      <c r="A100" s="100" t="str">
        <f>"AMAZONAS/"&amp;ONSV_AUX_2019!A1&amp;""</f>
        <v>AMAZONAS/2019</v>
      </c>
      <c r="B100" s="101"/>
      <c r="C100" s="101"/>
      <c r="D100" s="101"/>
      <c r="E100" s="101"/>
      <c r="F100" s="10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ONSV_AUX_2019!E27</f>
        <v>16190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ONSV_AUX_2019!E28</f>
        <v>409410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ONSV_AUX_2019!E29</f>
        <v>67055</v>
      </c>
      <c r="J106" s="9"/>
      <c r="K106" s="2" t="s">
        <v>122</v>
      </c>
      <c r="L106" s="63">
        <f>I113+I116+I117+I122</f>
        <v>524931</v>
      </c>
      <c r="N106" s="30" t="s">
        <v>123</v>
      </c>
      <c r="O106" s="63">
        <f>J113+J122</f>
        <v>408324.5088592596</v>
      </c>
      <c r="P106" s="67"/>
      <c r="Q106" s="68" t="s">
        <v>124</v>
      </c>
      <c r="R106" s="63">
        <f>J116+J117</f>
        <v>116455.4911407404</v>
      </c>
      <c r="S106" s="69"/>
      <c r="T106" s="68" t="s">
        <v>125</v>
      </c>
      <c r="U106" s="70">
        <f>O110</f>
        <v>5498.4178873032834</v>
      </c>
      <c r="V106" s="51"/>
      <c r="W106" s="68" t="s">
        <v>126</v>
      </c>
      <c r="X106" s="71">
        <f>R112</f>
        <v>7334.3296362746696</v>
      </c>
    </row>
    <row r="107" spans="1:24" ht="15.75">
      <c r="H107" s="38" t="s">
        <v>102</v>
      </c>
      <c r="I107" s="63">
        <f>ONSV_AUX_2019!E30</f>
        <v>151</v>
      </c>
      <c r="J107" s="9"/>
      <c r="K107" s="29"/>
      <c r="L107" s="65"/>
      <c r="M107" s="22"/>
      <c r="N107" s="30" t="s">
        <v>127</v>
      </c>
      <c r="O107" s="72">
        <f>J113/O106</f>
        <v>0.98653419579768975</v>
      </c>
      <c r="P107" s="67"/>
      <c r="Q107" s="73" t="s">
        <v>128</v>
      </c>
      <c r="R107" s="66">
        <f>J116/R106</f>
        <v>0.76268145490132122</v>
      </c>
      <c r="S107" s="74"/>
      <c r="T107" s="68" t="s">
        <v>129</v>
      </c>
      <c r="U107" s="70">
        <f>I122-J122</f>
        <v>1.5821126967166492</v>
      </c>
      <c r="V107" s="51"/>
      <c r="W107" s="68" t="s">
        <v>130</v>
      </c>
      <c r="X107" s="71">
        <f>I117-J117</f>
        <v>7.9522737274055544</v>
      </c>
    </row>
    <row r="108" spans="1:24" ht="15.75">
      <c r="H108" s="38" t="s">
        <v>16</v>
      </c>
      <c r="I108" s="63">
        <f>ONSV_AUX_2019!E31</f>
        <v>2073</v>
      </c>
      <c r="J108" s="9"/>
      <c r="K108" s="2" t="s">
        <v>131</v>
      </c>
      <c r="L108" s="66">
        <f>I113/L106</f>
        <v>0.76760945724295193</v>
      </c>
      <c r="M108" s="22"/>
      <c r="N108" s="30" t="s">
        <v>132</v>
      </c>
      <c r="O108" s="72">
        <f>J122/O106</f>
        <v>1.3465804202310241E-2</v>
      </c>
      <c r="P108" s="67"/>
      <c r="Q108" s="73" t="s">
        <v>133</v>
      </c>
      <c r="R108" s="66">
        <f>J117/R106</f>
        <v>0.23731854509867883</v>
      </c>
      <c r="S108" s="74"/>
      <c r="T108" s="68" t="s">
        <v>134</v>
      </c>
      <c r="U108" s="75">
        <f>O112</f>
        <v>0</v>
      </c>
      <c r="V108" s="76"/>
      <c r="W108" s="68" t="s">
        <v>135</v>
      </c>
      <c r="X108" s="75">
        <f>R115</f>
        <v>20302.718089997925</v>
      </c>
    </row>
    <row r="109" spans="1:24" ht="15.75">
      <c r="H109" s="38" t="s">
        <v>94</v>
      </c>
      <c r="I109" s="63">
        <f>ONSV_AUX_2019!E32</f>
        <v>392363</v>
      </c>
      <c r="J109" s="10"/>
      <c r="K109" s="2" t="s">
        <v>2</v>
      </c>
      <c r="L109" s="66">
        <f>I116/L106</f>
        <v>0.16924891080923016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5.2664064419895185E-2</v>
      </c>
      <c r="M110" s="22"/>
      <c r="N110" s="30" t="s">
        <v>136</v>
      </c>
      <c r="O110" s="63">
        <f>IF(O108*I105&gt;J122,J122,O108*I105)</f>
        <v>5498.4178873032834</v>
      </c>
      <c r="P110" s="79"/>
      <c r="Q110" s="68" t="s">
        <v>137</v>
      </c>
      <c r="R110" s="63">
        <f>I106-I114-I115-I118-I121</f>
        <v>30905</v>
      </c>
      <c r="S110" s="80"/>
      <c r="T110" s="68" t="s">
        <v>138</v>
      </c>
      <c r="U110" s="70">
        <f>O118</f>
        <v>384563.09097195632</v>
      </c>
      <c r="V110" s="79"/>
      <c r="W110" s="68" t="s">
        <v>139</v>
      </c>
      <c r="X110" s="70">
        <f>I114</f>
        <v>20258</v>
      </c>
    </row>
    <row r="111" spans="1:24" ht="15.75">
      <c r="H111" s="26" t="s">
        <v>140</v>
      </c>
      <c r="K111" s="2" t="s">
        <v>0</v>
      </c>
      <c r="L111" s="66">
        <f>I122/L106</f>
        <v>1.0477567527922718E-2</v>
      </c>
      <c r="O111" s="51"/>
      <c r="P111" s="79"/>
      <c r="Q111" s="68" t="s">
        <v>141</v>
      </c>
      <c r="R111" s="63">
        <f>R107*R110</f>
        <v>23570.670363725334</v>
      </c>
      <c r="S111" s="51"/>
      <c r="T111" s="68" t="s">
        <v>142</v>
      </c>
      <c r="U111" s="70">
        <f>O116</f>
        <v>16190</v>
      </c>
      <c r="V111" s="69"/>
      <c r="W111" s="68" t="s">
        <v>143</v>
      </c>
      <c r="X111" s="70">
        <f>I115</f>
        <v>3292</v>
      </c>
    </row>
    <row r="112" spans="1:24" ht="15.75">
      <c r="K112" s="11"/>
      <c r="L112" s="11"/>
      <c r="M112" s="11"/>
      <c r="N112" s="30" t="s">
        <v>144</v>
      </c>
      <c r="O112" s="63">
        <f>J122-O110</f>
        <v>0</v>
      </c>
      <c r="P112" s="79"/>
      <c r="Q112" s="68" t="s">
        <v>126</v>
      </c>
      <c r="R112" s="63">
        <f>R108*R110</f>
        <v>7334.3296362746696</v>
      </c>
      <c r="S112" s="51"/>
      <c r="T112" s="68" t="s">
        <v>145</v>
      </c>
      <c r="U112" s="70">
        <f>O117</f>
        <v>2073</v>
      </c>
      <c r="V112" s="74"/>
      <c r="W112" s="51"/>
      <c r="X112" s="65"/>
    </row>
    <row r="113" spans="8:24" ht="15.75">
      <c r="H113" s="39" t="s">
        <v>104</v>
      </c>
      <c r="I113" s="63">
        <f>ONSV_AUX_2019!E56</f>
        <v>402942</v>
      </c>
      <c r="J113" s="64">
        <f>I113-(L108*I107)</f>
        <v>402826.09097195632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115.90902804367943</v>
      </c>
      <c r="V113" s="74"/>
      <c r="W113" s="68" t="s">
        <v>147</v>
      </c>
      <c r="X113" s="70">
        <f>I121</f>
        <v>9093</v>
      </c>
    </row>
    <row r="114" spans="8:24" ht="15.75">
      <c r="H114" s="39" t="s">
        <v>105</v>
      </c>
      <c r="I114" s="63">
        <f>ONSV_AUX_2019!E57</f>
        <v>20258</v>
      </c>
      <c r="J114" s="10">
        <f>I114</f>
        <v>20258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65247.773050742471</v>
      </c>
      <c r="S114" s="51"/>
      <c r="T114" s="68" t="s">
        <v>150</v>
      </c>
      <c r="U114" s="75">
        <f>O119</f>
        <v>0</v>
      </c>
      <c r="V114" s="51"/>
      <c r="W114" s="68" t="s">
        <v>151</v>
      </c>
      <c r="X114" s="70">
        <f>I118</f>
        <v>3507</v>
      </c>
    </row>
    <row r="115" spans="8:24" ht="15.75">
      <c r="H115" s="39" t="s">
        <v>106</v>
      </c>
      <c r="I115" s="63">
        <f>ONSV_AUX_2019!E58</f>
        <v>3292</v>
      </c>
      <c r="J115" s="10">
        <f>I115</f>
        <v>3292</v>
      </c>
      <c r="K115" s="11"/>
      <c r="L115" s="11"/>
      <c r="M115" s="11"/>
      <c r="O115" s="76"/>
      <c r="P115" s="79"/>
      <c r="Q115" s="68" t="s">
        <v>135</v>
      </c>
      <c r="R115" s="63">
        <f>J117-R112</f>
        <v>20302.718089997925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ONSV_AUX_2019!E59</f>
        <v>88844</v>
      </c>
      <c r="J116" s="64">
        <f>I116-(L109*I107)</f>
        <v>88818.443414467809</v>
      </c>
      <c r="K116" s="11"/>
      <c r="L116" s="11"/>
      <c r="M116" s="11"/>
      <c r="N116" s="30" t="s">
        <v>142</v>
      </c>
      <c r="O116" s="63">
        <f>I104</f>
        <v>16190</v>
      </c>
      <c r="P116" s="79"/>
      <c r="Q116" s="51"/>
      <c r="R116" s="51"/>
      <c r="S116" s="80"/>
      <c r="T116" s="68" t="s">
        <v>141</v>
      </c>
      <c r="U116" s="71">
        <f>R111</f>
        <v>23570.670363725334</v>
      </c>
      <c r="V116" s="51"/>
      <c r="W116" s="68" t="s">
        <v>152</v>
      </c>
      <c r="X116" s="70">
        <f>I119</f>
        <v>264914</v>
      </c>
    </row>
    <row r="117" spans="8:24" ht="15.75">
      <c r="H117" s="39" t="s">
        <v>108</v>
      </c>
      <c r="I117" s="63">
        <f>ONSV_AUX_2019!E60</f>
        <v>27645</v>
      </c>
      <c r="J117" s="64">
        <f>I117-(L110*I107)</f>
        <v>27637.047726272594</v>
      </c>
      <c r="K117" s="11"/>
      <c r="L117" s="11"/>
      <c r="M117" s="11"/>
      <c r="N117" s="30" t="s">
        <v>145</v>
      </c>
      <c r="O117" s="63">
        <f>I108</f>
        <v>2073</v>
      </c>
      <c r="P117" s="79"/>
      <c r="Q117" s="51"/>
      <c r="R117" s="51"/>
      <c r="S117" s="51"/>
      <c r="T117" s="68" t="s">
        <v>153</v>
      </c>
      <c r="U117" s="71">
        <f>I116-J116</f>
        <v>25.556585532191093</v>
      </c>
      <c r="V117" s="51"/>
      <c r="W117" s="68" t="s">
        <v>154</v>
      </c>
      <c r="X117" s="70">
        <f>I120</f>
        <v>59817</v>
      </c>
    </row>
    <row r="118" spans="8:24" ht="15.75">
      <c r="H118" s="39" t="s">
        <v>109</v>
      </c>
      <c r="I118" s="63">
        <f>ONSV_AUX_2019!E61</f>
        <v>3507</v>
      </c>
      <c r="J118" s="10">
        <f>I118</f>
        <v>3507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384563.09097195632</v>
      </c>
      <c r="P118" s="79"/>
      <c r="Q118" s="51"/>
      <c r="R118" s="81"/>
      <c r="S118" s="51"/>
      <c r="T118" s="68" t="s">
        <v>149</v>
      </c>
      <c r="U118" s="75">
        <f>R114</f>
        <v>65247.773050742471</v>
      </c>
      <c r="V118" s="51"/>
      <c r="W118" s="51"/>
      <c r="X118" s="51"/>
    </row>
    <row r="119" spans="8:24" ht="15.75">
      <c r="H119" s="39" t="s">
        <v>110</v>
      </c>
      <c r="I119" s="63">
        <f>ONSV_AUX_2019!E62</f>
        <v>264914</v>
      </c>
      <c r="J119" s="10">
        <f t="shared" ref="J119:J121" si="4">I119</f>
        <v>264914</v>
      </c>
      <c r="K119" s="11"/>
      <c r="L119" s="11"/>
      <c r="M119" s="11"/>
      <c r="N119" s="30" t="s">
        <v>150</v>
      </c>
      <c r="O119" s="63">
        <f>IF((J113-O116-O118-O117)&lt;0,0,(J113-O116-O118-O117))</f>
        <v>0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ONSV_AUX_2019!E63</f>
        <v>59817</v>
      </c>
      <c r="J120" s="10">
        <f t="shared" si="4"/>
        <v>59817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885812</v>
      </c>
    </row>
    <row r="121" spans="8:24" ht="15.75">
      <c r="H121" s="39" t="s">
        <v>112</v>
      </c>
      <c r="I121" s="63">
        <f>ONSV_AUX_2019!E64</f>
        <v>9093</v>
      </c>
      <c r="J121" s="10">
        <f t="shared" si="4"/>
        <v>9093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ONSV_AUX_2019!E65</f>
        <v>5500</v>
      </c>
      <c r="J122" s="64">
        <f>I122-(L111*I107)</f>
        <v>5498.4178873032834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00:F100"/>
    <mergeCell ref="K104:L104"/>
    <mergeCell ref="K54:L54"/>
    <mergeCell ref="A75:F75"/>
    <mergeCell ref="K79:L79"/>
    <mergeCell ref="T52:X52"/>
    <mergeCell ref="A1:F1"/>
    <mergeCell ref="Q4:R4"/>
    <mergeCell ref="T4:X4"/>
    <mergeCell ref="K5:L5"/>
    <mergeCell ref="T27:X27"/>
    <mergeCell ref="K29:L29"/>
    <mergeCell ref="A25:F25"/>
    <mergeCell ref="A50:F5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39997558519241921"/>
  </sheetPr>
  <dimension ref="A1:X122"/>
  <sheetViews>
    <sheetView showGridLines="0" zoomScale="90" zoomScaleNormal="90" workbookViewId="0">
      <selection activeCell="A100" sqref="A100:F100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</cols>
  <sheetData>
    <row r="1" spans="1:24" s="33" customFormat="1" ht="15.75">
      <c r="A1" s="100" t="str">
        <f>"BAHIA/"&amp;ONSV_AUX_2023!A1&amp;""</f>
        <v>BAHIA/2023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ONSV_AUX_2023!F27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ONSV_AUX_2023!F28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ONSV_AUX_2023!F29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ONSV_AUX_2023!F30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ONSV_AUX_2023!F31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ONSV_AUX_2023!F32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ONSV_AUX_2023!F56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ONSV_AUX_2023!F57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ONSV_AUX_2023!F58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ONSV_AUX_2023!F59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ONSV_AUX_2023!F60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ONSV_AUX_2023!F61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ONSV_AUX_2023!F62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ONSV_AUX_2023!F63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ONSV_AUX_2023!F64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ONSV_AUX_2023!F65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3" customFormat="1" ht="15.75">
      <c r="A25" s="100" t="str">
        <f>"BAHIA/"&amp;ONSV_AUX_2022!A1&amp;""</f>
        <v>BAHIA/2022</v>
      </c>
      <c r="B25" s="101"/>
      <c r="C25" s="101"/>
      <c r="D25" s="101"/>
      <c r="E25" s="101"/>
      <c r="F25" s="101"/>
    </row>
    <row r="26" spans="1:24" ht="15.75">
      <c r="A26" s="3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ONSV_AUX_2022!F27</f>
        <v>100930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ONSV_AUX_2022!F28</f>
        <v>2073848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ONSV_AUX_2022!F29</f>
        <v>415458</v>
      </c>
      <c r="J31" s="9"/>
      <c r="K31" s="2" t="s">
        <v>122</v>
      </c>
      <c r="L31" s="63">
        <f>I38+I41+I42+I47</f>
        <v>2684424</v>
      </c>
      <c r="N31" s="30" t="s">
        <v>123</v>
      </c>
      <c r="O31" s="63">
        <f>J38+J47</f>
        <v>2112245.7796812276</v>
      </c>
      <c r="P31" s="67"/>
      <c r="Q31" s="68" t="s">
        <v>124</v>
      </c>
      <c r="R31" s="63">
        <f>J41+J42</f>
        <v>568207.22031877225</v>
      </c>
      <c r="S31" s="69"/>
      <c r="T31" s="68" t="s">
        <v>125</v>
      </c>
      <c r="U31" s="70">
        <f>O35</f>
        <v>45077.365025113751</v>
      </c>
      <c r="V31" s="51"/>
      <c r="W31" s="68" t="s">
        <v>126</v>
      </c>
      <c r="X31" s="71">
        <f>R37</f>
        <v>43507.824863939662</v>
      </c>
    </row>
    <row r="32" spans="1:24" ht="15.75">
      <c r="H32" s="38" t="s">
        <v>102</v>
      </c>
      <c r="I32" s="63">
        <f>ONSV_AUX_2022!F30</f>
        <v>3971</v>
      </c>
      <c r="J32" s="9"/>
      <c r="K32" s="29"/>
      <c r="L32" s="65"/>
      <c r="M32" s="22"/>
      <c r="N32" s="30" t="s">
        <v>127</v>
      </c>
      <c r="O32" s="72">
        <f>J38/O31</f>
        <v>0.97826390119955098</v>
      </c>
      <c r="P32" s="67"/>
      <c r="Q32" s="73" t="s">
        <v>128</v>
      </c>
      <c r="R32" s="66">
        <f>J41/R31</f>
        <v>0.7567397535185898</v>
      </c>
      <c r="S32" s="74"/>
      <c r="T32" s="68" t="s">
        <v>129</v>
      </c>
      <c r="U32" s="70">
        <f>I47-J47</f>
        <v>68.017042017207132</v>
      </c>
      <c r="V32" s="51"/>
      <c r="W32" s="68" t="s">
        <v>130</v>
      </c>
      <c r="X32" s="71">
        <f>I42-J42</f>
        <v>204.77153273849399</v>
      </c>
    </row>
    <row r="33" spans="8:24" ht="15.75">
      <c r="H33" s="38" t="s">
        <v>16</v>
      </c>
      <c r="I33" s="63">
        <f>ONSV_AUX_2022!F31</f>
        <v>73439</v>
      </c>
      <c r="J33" s="9"/>
      <c r="K33" s="2" t="s">
        <v>131</v>
      </c>
      <c r="L33" s="66">
        <f>I38/L31</f>
        <v>0.77088977002142733</v>
      </c>
      <c r="M33" s="22"/>
      <c r="N33" s="30" t="s">
        <v>132</v>
      </c>
      <c r="O33" s="72">
        <f>J47/O31</f>
        <v>2.1736098800449095E-2</v>
      </c>
      <c r="P33" s="67"/>
      <c r="Q33" s="73" t="s">
        <v>133</v>
      </c>
      <c r="R33" s="66">
        <f>J42/R31</f>
        <v>0.24326024648141023</v>
      </c>
      <c r="S33" s="74"/>
      <c r="T33" s="68" t="s">
        <v>134</v>
      </c>
      <c r="U33" s="75">
        <f>O37</f>
        <v>834.6179328690414</v>
      </c>
      <c r="V33" s="76"/>
      <c r="W33" s="68" t="s">
        <v>135</v>
      </c>
      <c r="X33" s="75">
        <f>R40</f>
        <v>94714.403603321844</v>
      </c>
    </row>
    <row r="34" spans="8:24" ht="15.75">
      <c r="H34" s="38" t="s">
        <v>94</v>
      </c>
      <c r="I34" s="63">
        <f>ONSV_AUX_2022!F32</f>
        <v>1990335</v>
      </c>
      <c r="J34" s="10"/>
      <c r="K34" s="2" t="s">
        <v>2</v>
      </c>
      <c r="L34" s="66">
        <f>I41/L31</f>
        <v>0.16041504620730554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5.1566742064591879E-2</v>
      </c>
      <c r="M35" s="22"/>
      <c r="N35" s="30" t="s">
        <v>136</v>
      </c>
      <c r="O35" s="63">
        <f>IF(O33*I30&gt;J47,J47,O33*I30)</f>
        <v>45077.365025113751</v>
      </c>
      <c r="P35" s="79"/>
      <c r="Q35" s="68" t="s">
        <v>137</v>
      </c>
      <c r="R35" s="63">
        <f>I31-I39-I40-I43-I46</f>
        <v>178853</v>
      </c>
      <c r="S35" s="80"/>
      <c r="T35" s="68" t="s">
        <v>138</v>
      </c>
      <c r="U35" s="70">
        <f>O43</f>
        <v>1891964.7967232449</v>
      </c>
      <c r="V35" s="79"/>
      <c r="W35" s="68" t="s">
        <v>139</v>
      </c>
      <c r="X35" s="70">
        <f>I39</f>
        <v>132077</v>
      </c>
    </row>
    <row r="36" spans="8:24" ht="15.75">
      <c r="H36" s="26" t="s">
        <v>140</v>
      </c>
      <c r="K36" s="2" t="s">
        <v>0</v>
      </c>
      <c r="L36" s="66">
        <f>I47/L31</f>
        <v>1.7128441706675251E-2</v>
      </c>
      <c r="O36" s="51"/>
      <c r="P36" s="79"/>
      <c r="Q36" s="68" t="s">
        <v>141</v>
      </c>
      <c r="R36" s="63">
        <f>R32*R35</f>
        <v>135345.17513606034</v>
      </c>
      <c r="S36" s="51"/>
      <c r="T36" s="68" t="s">
        <v>142</v>
      </c>
      <c r="U36" s="70">
        <f>O41</f>
        <v>100930</v>
      </c>
      <c r="V36" s="69"/>
      <c r="W36" s="68" t="s">
        <v>143</v>
      </c>
      <c r="X36" s="70">
        <f>I40</f>
        <v>27479</v>
      </c>
    </row>
    <row r="37" spans="8:24" ht="15.75">
      <c r="K37" s="11"/>
      <c r="L37" s="11"/>
      <c r="M37" s="11"/>
      <c r="N37" s="30" t="s">
        <v>144</v>
      </c>
      <c r="O37" s="63">
        <f>J47-O35</f>
        <v>834.6179328690414</v>
      </c>
      <c r="P37" s="79"/>
      <c r="Q37" s="68" t="s">
        <v>126</v>
      </c>
      <c r="R37" s="63">
        <f>R33*R35</f>
        <v>43507.824863939662</v>
      </c>
      <c r="S37" s="51"/>
      <c r="T37" s="68" t="s">
        <v>145</v>
      </c>
      <c r="U37" s="70">
        <f>O42</f>
        <v>73439</v>
      </c>
      <c r="V37" s="74"/>
      <c r="W37" s="51"/>
      <c r="X37" s="65"/>
    </row>
    <row r="38" spans="8:24" ht="15.75">
      <c r="H38" s="39" t="s">
        <v>104</v>
      </c>
      <c r="I38" s="63">
        <f>ONSV_AUX_2022!F56</f>
        <v>2069395</v>
      </c>
      <c r="J38" s="64">
        <f>I38-(L33*I32)</f>
        <v>2066333.7967232449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3061.2032767550554</v>
      </c>
      <c r="V38" s="74"/>
      <c r="W38" s="68" t="s">
        <v>147</v>
      </c>
      <c r="X38" s="70">
        <f>I46</f>
        <v>44582</v>
      </c>
    </row>
    <row r="39" spans="8:24" ht="15.75">
      <c r="H39" s="39" t="s">
        <v>105</v>
      </c>
      <c r="I39" s="63">
        <f>ONSV_AUX_2022!F57</f>
        <v>132077</v>
      </c>
      <c r="J39" s="10">
        <f>I39</f>
        <v>132077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294639.81671545043</v>
      </c>
      <c r="S39" s="51"/>
      <c r="T39" s="68" t="s">
        <v>150</v>
      </c>
      <c r="U39" s="75">
        <f>O44</f>
        <v>0</v>
      </c>
      <c r="V39" s="51"/>
      <c r="W39" s="68" t="s">
        <v>151</v>
      </c>
      <c r="X39" s="70">
        <f>I43</f>
        <v>32467</v>
      </c>
    </row>
    <row r="40" spans="8:24" ht="15.75">
      <c r="H40" s="39" t="s">
        <v>106</v>
      </c>
      <c r="I40" s="63">
        <f>ONSV_AUX_2022!F58</f>
        <v>27479</v>
      </c>
      <c r="J40" s="10">
        <f>I40</f>
        <v>27479</v>
      </c>
      <c r="K40" s="11"/>
      <c r="L40" s="11"/>
      <c r="M40" s="11"/>
      <c r="O40" s="76"/>
      <c r="P40" s="79"/>
      <c r="Q40" s="68" t="s">
        <v>135</v>
      </c>
      <c r="R40" s="63">
        <f>J42-R37</f>
        <v>94714.403603321844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ONSV_AUX_2022!F59</f>
        <v>430622</v>
      </c>
      <c r="J41" s="64">
        <f>I41-(L34*I32)</f>
        <v>429984.99185151077</v>
      </c>
      <c r="K41" s="11"/>
      <c r="L41" s="11"/>
      <c r="M41" s="11"/>
      <c r="N41" s="30" t="s">
        <v>142</v>
      </c>
      <c r="O41" s="63">
        <f>I29</f>
        <v>100930</v>
      </c>
      <c r="P41" s="79"/>
      <c r="Q41" s="51"/>
      <c r="R41" s="51"/>
      <c r="S41" s="80"/>
      <c r="T41" s="68" t="s">
        <v>141</v>
      </c>
      <c r="U41" s="71">
        <f>R36</f>
        <v>135345.17513606034</v>
      </c>
      <c r="V41" s="51"/>
      <c r="W41" s="68" t="s">
        <v>152</v>
      </c>
      <c r="X41" s="70">
        <f>I44</f>
        <v>1485288</v>
      </c>
    </row>
    <row r="42" spans="8:24" ht="15.75">
      <c r="H42" s="39" t="s">
        <v>108</v>
      </c>
      <c r="I42" s="63">
        <f>ONSV_AUX_2022!F60</f>
        <v>138427</v>
      </c>
      <c r="J42" s="64">
        <f>I42-(L35*I32)</f>
        <v>138222.22846726151</v>
      </c>
      <c r="K42" s="11"/>
      <c r="L42" s="11"/>
      <c r="M42" s="11"/>
      <c r="N42" s="30" t="s">
        <v>145</v>
      </c>
      <c r="O42" s="63">
        <f>I33</f>
        <v>73439</v>
      </c>
      <c r="P42" s="79"/>
      <c r="Q42" s="51"/>
      <c r="R42" s="51"/>
      <c r="S42" s="51"/>
      <c r="T42" s="68" t="s">
        <v>153</v>
      </c>
      <c r="U42" s="71">
        <f>I41-J41</f>
        <v>637.00814848922892</v>
      </c>
      <c r="V42" s="51"/>
      <c r="W42" s="68" t="s">
        <v>154</v>
      </c>
      <c r="X42" s="70">
        <f>I45</f>
        <v>244520</v>
      </c>
    </row>
    <row r="43" spans="8:24" ht="15.75">
      <c r="H43" s="39" t="s">
        <v>109</v>
      </c>
      <c r="I43" s="63">
        <f>ONSV_AUX_2022!F61</f>
        <v>32467</v>
      </c>
      <c r="J43" s="10">
        <f>I43</f>
        <v>32467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1891964.7967232449</v>
      </c>
      <c r="P43" s="79"/>
      <c r="Q43" s="51"/>
      <c r="R43" s="81"/>
      <c r="S43" s="51"/>
      <c r="T43" s="68" t="s">
        <v>149</v>
      </c>
      <c r="U43" s="75">
        <f>R39</f>
        <v>294639.81671545043</v>
      </c>
      <c r="V43" s="51"/>
      <c r="W43" s="51"/>
      <c r="X43" s="51"/>
    </row>
    <row r="44" spans="8:24" ht="15.75">
      <c r="H44" s="39" t="s">
        <v>110</v>
      </c>
      <c r="I44" s="63">
        <f>ONSV_AUX_2022!F62</f>
        <v>1485288</v>
      </c>
      <c r="J44" s="10">
        <f>I44</f>
        <v>1485288</v>
      </c>
      <c r="K44" s="11"/>
      <c r="L44" s="11"/>
      <c r="M44" s="11"/>
      <c r="N44" s="30" t="s">
        <v>150</v>
      </c>
      <c r="O44" s="63">
        <f>IF((J38-O41-O43-O42)&lt;0,0,(J38-O41-O43-O42))</f>
        <v>0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ONSV_AUX_2022!F63</f>
        <v>244520</v>
      </c>
      <c r="J45" s="10">
        <f>I45</f>
        <v>244520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4650837</v>
      </c>
    </row>
    <row r="46" spans="8:24" ht="15.75">
      <c r="H46" s="39" t="s">
        <v>112</v>
      </c>
      <c r="I46" s="63">
        <f>ONSV_AUX_2022!F64</f>
        <v>44582</v>
      </c>
      <c r="J46" s="10">
        <f>I46</f>
        <v>44582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ONSV_AUX_2022!F65</f>
        <v>45980</v>
      </c>
      <c r="J47" s="64">
        <f>I47-(L36*I32)</f>
        <v>45911.982957982793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3" customFormat="1" ht="15.75">
      <c r="A50" s="100" t="str">
        <f>"BAHIA/"&amp;ONSV_AUX_2021!$A$1&amp;""</f>
        <v>BAHIA/2021</v>
      </c>
      <c r="B50" s="101"/>
      <c r="C50" s="101"/>
      <c r="D50" s="101"/>
      <c r="E50" s="101"/>
      <c r="F50" s="101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ONSV_AUX_2021!F27</f>
        <v>100590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ONSV_AUX_2021!F28</f>
        <v>1974420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ONSV_AUX_2021!F29</f>
        <v>397088</v>
      </c>
      <c r="J56" s="9"/>
      <c r="K56" s="2" t="s">
        <v>122</v>
      </c>
      <c r="L56" s="63">
        <f>I63+I66+I67+I72</f>
        <v>2600571</v>
      </c>
      <c r="N56" s="30" t="s">
        <v>123</v>
      </c>
      <c r="O56" s="63">
        <f>J63+J72</f>
        <v>2053522.0050550436</v>
      </c>
      <c r="P56" s="67"/>
      <c r="Q56" s="68" t="s">
        <v>124</v>
      </c>
      <c r="R56" s="63">
        <f>J66+J67</f>
        <v>544749.99494495639</v>
      </c>
      <c r="S56" s="69"/>
      <c r="T56" s="68" t="s">
        <v>125</v>
      </c>
      <c r="U56" s="70">
        <f>O60</f>
        <v>38508.76888921974</v>
      </c>
      <c r="V56" s="51"/>
      <c r="W56" s="68" t="s">
        <v>126</v>
      </c>
      <c r="X56" s="71">
        <f>R62</f>
        <v>41149.47876133462</v>
      </c>
    </row>
    <row r="57" spans="1:24" ht="15.75">
      <c r="H57" s="38" t="s">
        <v>102</v>
      </c>
      <c r="I57" s="63">
        <f>ONSV_AUX_2021!F30</f>
        <v>2299</v>
      </c>
      <c r="J57" s="9"/>
      <c r="K57" s="29"/>
      <c r="L57" s="65"/>
      <c r="M57" s="22"/>
      <c r="N57" s="30" t="s">
        <v>127</v>
      </c>
      <c r="O57" s="72">
        <f>J63/O56</f>
        <v>0.98049616146046958</v>
      </c>
      <c r="P57" s="67"/>
      <c r="Q57" s="73" t="s">
        <v>128</v>
      </c>
      <c r="R57" s="66">
        <f>J66/R56</f>
        <v>0.75660269389911072</v>
      </c>
      <c r="S57" s="74"/>
      <c r="T57" s="68" t="s">
        <v>129</v>
      </c>
      <c r="U57" s="70">
        <f>I72-J72</f>
        <v>35.438376033569511</v>
      </c>
      <c r="V57" s="51"/>
      <c r="W57" s="68" t="s">
        <v>130</v>
      </c>
      <c r="X57" s="71">
        <f>I67-J67</f>
        <v>117.31873192463536</v>
      </c>
    </row>
    <row r="58" spans="1:24" ht="15.75">
      <c r="H58" s="38" t="s">
        <v>16</v>
      </c>
      <c r="I58" s="63">
        <f>ONSV_AUX_2021!F31</f>
        <v>65278</v>
      </c>
      <c r="J58" s="9"/>
      <c r="K58" s="2" t="s">
        <v>131</v>
      </c>
      <c r="L58" s="66">
        <f>I63/L56</f>
        <v>0.77492673724347461</v>
      </c>
      <c r="M58" s="22"/>
      <c r="N58" s="30" t="s">
        <v>132</v>
      </c>
      <c r="O58" s="72">
        <f>J72/O56</f>
        <v>1.9503838539530464E-2</v>
      </c>
      <c r="P58" s="67"/>
      <c r="Q58" s="73" t="s">
        <v>133</v>
      </c>
      <c r="R58" s="66">
        <f>J67/R56</f>
        <v>0.24339730610088914</v>
      </c>
      <c r="S58" s="74"/>
      <c r="T58" s="68" t="s">
        <v>134</v>
      </c>
      <c r="U58" s="75">
        <f>O62</f>
        <v>1542.7927347466903</v>
      </c>
      <c r="V58" s="76"/>
      <c r="W58" s="68" t="s">
        <v>135</v>
      </c>
      <c r="X58" s="75">
        <f>R65</f>
        <v>91441.202506740752</v>
      </c>
    </row>
    <row r="59" spans="1:24" ht="15.75">
      <c r="H59" s="38" t="s">
        <v>94</v>
      </c>
      <c r="I59" s="63">
        <f>ONSV_AUX_2021!F32</f>
        <v>1946260</v>
      </c>
      <c r="J59" s="10"/>
      <c r="K59" s="2" t="s">
        <v>2</v>
      </c>
      <c r="L59" s="66">
        <f>I66/L56</f>
        <v>0.15862823972119969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5.103033141567756E-2</v>
      </c>
      <c r="M60" s="22"/>
      <c r="N60" s="30" t="s">
        <v>136</v>
      </c>
      <c r="O60" s="63">
        <f>IF(O58*I55&gt;J72,J72,O58*I55)</f>
        <v>38508.76888921974</v>
      </c>
      <c r="P60" s="79"/>
      <c r="Q60" s="68" t="s">
        <v>137</v>
      </c>
      <c r="R60" s="63">
        <f>I56-I64-I65-I68-I71</f>
        <v>169063</v>
      </c>
      <c r="S60" s="80"/>
      <c r="T60" s="68" t="s">
        <v>138</v>
      </c>
      <c r="U60" s="70">
        <f>O68</f>
        <v>1847602.4434310773</v>
      </c>
      <c r="V60" s="79"/>
      <c r="W60" s="68" t="s">
        <v>139</v>
      </c>
      <c r="X60" s="70">
        <f>I64</f>
        <v>127708</v>
      </c>
    </row>
    <row r="61" spans="1:24" ht="15.75">
      <c r="H61" s="26" t="s">
        <v>140</v>
      </c>
      <c r="K61" s="2" t="s">
        <v>0</v>
      </c>
      <c r="L61" s="66">
        <f>I72/L56</f>
        <v>1.5414691619648146E-2</v>
      </c>
      <c r="O61" s="51"/>
      <c r="P61" s="79"/>
      <c r="Q61" s="68" t="s">
        <v>141</v>
      </c>
      <c r="R61" s="63">
        <f>R57*R60</f>
        <v>127913.52123866536</v>
      </c>
      <c r="S61" s="51"/>
      <c r="T61" s="68" t="s">
        <v>142</v>
      </c>
      <c r="U61" s="70">
        <f>O66</f>
        <v>100590</v>
      </c>
      <c r="V61" s="69"/>
      <c r="W61" s="68" t="s">
        <v>143</v>
      </c>
      <c r="X61" s="70">
        <f>I65</f>
        <v>25749</v>
      </c>
    </row>
    <row r="62" spans="1:24" ht="15.75">
      <c r="K62" s="11"/>
      <c r="L62" s="11"/>
      <c r="M62" s="11"/>
      <c r="N62" s="30" t="s">
        <v>144</v>
      </c>
      <c r="O62" s="63">
        <f>J72-O60</f>
        <v>1542.7927347466903</v>
      </c>
      <c r="P62" s="79"/>
      <c r="Q62" s="68" t="s">
        <v>126</v>
      </c>
      <c r="R62" s="63">
        <f>R58*R60</f>
        <v>41149.47876133462</v>
      </c>
      <c r="S62" s="51"/>
      <c r="T62" s="68" t="s">
        <v>145</v>
      </c>
      <c r="U62" s="70">
        <f>O67</f>
        <v>65278</v>
      </c>
      <c r="V62" s="74"/>
      <c r="W62" s="51"/>
      <c r="X62" s="65"/>
    </row>
    <row r="63" spans="1:24" ht="15.75">
      <c r="H63" s="39" t="s">
        <v>104</v>
      </c>
      <c r="I63" s="63">
        <f>ONSV_AUX_2021!F56</f>
        <v>2015252</v>
      </c>
      <c r="J63" s="64">
        <f>I63-(L58*I57)</f>
        <v>2013470.4434310773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1781.5565689227078</v>
      </c>
      <c r="V63" s="74"/>
      <c r="W63" s="68" t="s">
        <v>147</v>
      </c>
      <c r="X63" s="70">
        <f>I71</f>
        <v>43107</v>
      </c>
    </row>
    <row r="64" spans="1:24" ht="15.75">
      <c r="H64" s="39" t="s">
        <v>105</v>
      </c>
      <c r="I64" s="63">
        <f>ONSV_AUX_2021!F57</f>
        <v>127708</v>
      </c>
      <c r="J64" s="10">
        <f>I64</f>
        <v>127708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284245.79243821558</v>
      </c>
      <c r="S64" s="51"/>
      <c r="T64" s="68" t="s">
        <v>150</v>
      </c>
      <c r="U64" s="75">
        <f>O69</f>
        <v>0</v>
      </c>
      <c r="V64" s="51"/>
      <c r="W64" s="68" t="s">
        <v>151</v>
      </c>
      <c r="X64" s="70">
        <f>I68</f>
        <v>31461</v>
      </c>
    </row>
    <row r="65" spans="1:24" ht="15.75">
      <c r="H65" s="39" t="s">
        <v>106</v>
      </c>
      <c r="I65" s="63">
        <f>ONSV_AUX_2021!F58</f>
        <v>25749</v>
      </c>
      <c r="J65" s="10">
        <f>I65</f>
        <v>25749</v>
      </c>
      <c r="K65" s="11"/>
      <c r="L65" s="11"/>
      <c r="M65" s="11"/>
      <c r="O65" s="76"/>
      <c r="P65" s="79"/>
      <c r="Q65" s="68" t="s">
        <v>135</v>
      </c>
      <c r="R65" s="63">
        <f>J67-R62</f>
        <v>91441.202506740752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ONSV_AUX_2021!F59</f>
        <v>412524</v>
      </c>
      <c r="J66" s="64">
        <f>I66-(L59*I57)</f>
        <v>412159.31367688096</v>
      </c>
      <c r="K66" s="11"/>
      <c r="L66" s="11"/>
      <c r="M66" s="11"/>
      <c r="N66" s="30" t="s">
        <v>142</v>
      </c>
      <c r="O66" s="63">
        <f>I54</f>
        <v>100590</v>
      </c>
      <c r="P66" s="79"/>
      <c r="Q66" s="51"/>
      <c r="R66" s="51"/>
      <c r="S66" s="80"/>
      <c r="T66" s="68" t="s">
        <v>141</v>
      </c>
      <c r="U66" s="71">
        <f>R61</f>
        <v>127913.52123866536</v>
      </c>
      <c r="V66" s="51"/>
      <c r="W66" s="68" t="s">
        <v>152</v>
      </c>
      <c r="X66" s="70">
        <f>I69</f>
        <v>1423701</v>
      </c>
    </row>
    <row r="67" spans="1:24" ht="15.75">
      <c r="H67" s="39" t="s">
        <v>108</v>
      </c>
      <c r="I67" s="63">
        <f>ONSV_AUX_2021!F60</f>
        <v>132708</v>
      </c>
      <c r="J67" s="64">
        <f>I67-(L60*I57)</f>
        <v>132590.68126807536</v>
      </c>
      <c r="K67" s="11"/>
      <c r="L67" s="11"/>
      <c r="M67" s="11"/>
      <c r="N67" s="30" t="s">
        <v>145</v>
      </c>
      <c r="O67" s="63">
        <f>I58</f>
        <v>65278</v>
      </c>
      <c r="P67" s="79"/>
      <c r="Q67" s="51"/>
      <c r="R67" s="51"/>
      <c r="S67" s="51"/>
      <c r="T67" s="68" t="s">
        <v>153</v>
      </c>
      <c r="U67" s="71">
        <f>I66-J66</f>
        <v>364.68632311903639</v>
      </c>
      <c r="V67" s="51"/>
      <c r="W67" s="68" t="s">
        <v>154</v>
      </c>
      <c r="X67" s="70">
        <f>I70</f>
        <v>227112</v>
      </c>
    </row>
    <row r="68" spans="1:24" ht="15.75">
      <c r="H68" s="39" t="s">
        <v>109</v>
      </c>
      <c r="I68" s="63">
        <f>ONSV_AUX_2021!F61</f>
        <v>31461</v>
      </c>
      <c r="J68" s="10">
        <f>I68</f>
        <v>31461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1847602.4434310773</v>
      </c>
      <c r="P68" s="79"/>
      <c r="Q68" s="51"/>
      <c r="R68" s="81"/>
      <c r="S68" s="51"/>
      <c r="T68" s="68" t="s">
        <v>149</v>
      </c>
      <c r="U68" s="75">
        <f>R64</f>
        <v>284245.79243821558</v>
      </c>
      <c r="V68" s="51"/>
      <c r="W68" s="51"/>
      <c r="X68" s="51"/>
    </row>
    <row r="69" spans="1:24" ht="15.75">
      <c r="H69" s="39" t="s">
        <v>110</v>
      </c>
      <c r="I69" s="63">
        <f>ONSV_AUX_2021!F62</f>
        <v>1423701</v>
      </c>
      <c r="J69" s="10">
        <f>I69</f>
        <v>1423701</v>
      </c>
      <c r="K69" s="11"/>
      <c r="L69" s="11"/>
      <c r="M69" s="11"/>
      <c r="N69" s="30" t="s">
        <v>150</v>
      </c>
      <c r="O69" s="63">
        <f>IF((J63-O66-O68-O67)&lt;0,0,(J63-O66-O68-O67))</f>
        <v>0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ONSV_AUX_2021!F63</f>
        <v>227112</v>
      </c>
      <c r="J70" s="10">
        <f>I70</f>
        <v>227112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4479409</v>
      </c>
    </row>
    <row r="71" spans="1:24" ht="15.75">
      <c r="H71" s="39" t="s">
        <v>112</v>
      </c>
      <c r="I71" s="63">
        <f>ONSV_AUX_2021!F64</f>
        <v>43107</v>
      </c>
      <c r="J71" s="10">
        <f>I71</f>
        <v>43107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ONSV_AUX_2021!F65</f>
        <v>40087</v>
      </c>
      <c r="J72" s="64">
        <f>I72-(L61*I57)</f>
        <v>40051.56162396643</v>
      </c>
      <c r="K72" s="12"/>
      <c r="L72" s="12"/>
      <c r="M72" s="12"/>
      <c r="N72" s="12"/>
      <c r="O72" s="12"/>
      <c r="P72" s="12"/>
      <c r="Q72" s="4"/>
      <c r="R72" s="4"/>
    </row>
    <row r="75" spans="1:24" s="33" customFormat="1" ht="15.75">
      <c r="A75" s="100" t="str">
        <f>"BAHIA/"&amp;ONSV_AUX_2020!$A$1&amp;""</f>
        <v>BAHIA/2020</v>
      </c>
      <c r="B75" s="101"/>
      <c r="C75" s="101"/>
      <c r="D75" s="101"/>
      <c r="E75" s="101"/>
      <c r="F75" s="10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6.5">
      <c r="B77" s="40"/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ONSV_AUX_2020!F27</f>
        <v>100134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ONSV_AUX_2020!F28</f>
        <v>1850708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ONSV_AUX_2020!F29</f>
        <v>378729</v>
      </c>
      <c r="J81" s="9"/>
      <c r="K81" s="2" t="s">
        <v>122</v>
      </c>
      <c r="L81" s="63">
        <f>I88+I91+I92+I97</f>
        <v>2488601</v>
      </c>
      <c r="N81" s="30" t="s">
        <v>123</v>
      </c>
      <c r="O81" s="63">
        <f>J88+J97</f>
        <v>1971367.0694100822</v>
      </c>
      <c r="P81" s="67"/>
      <c r="Q81" s="68" t="s">
        <v>124</v>
      </c>
      <c r="R81" s="63">
        <f>J91+J92</f>
        <v>515931.93058991776</v>
      </c>
      <c r="S81" s="69"/>
      <c r="T81" s="68" t="s">
        <v>125</v>
      </c>
      <c r="U81" s="70">
        <f>O85</f>
        <v>33366.994805817689</v>
      </c>
      <c r="V81" s="51"/>
      <c r="W81" s="68" t="s">
        <v>126</v>
      </c>
      <c r="X81" s="71">
        <f>R87</f>
        <v>38974.023316453633</v>
      </c>
    </row>
    <row r="82" spans="8:24" ht="15.75">
      <c r="H82" s="38" t="s">
        <v>102</v>
      </c>
      <c r="I82" s="63">
        <f>ONSV_AUX_2020!F30</f>
        <v>1302</v>
      </c>
      <c r="J82" s="9"/>
      <c r="K82" s="29"/>
      <c r="L82" s="65"/>
      <c r="M82" s="22"/>
      <c r="N82" s="30" t="s">
        <v>127</v>
      </c>
      <c r="O82" s="72">
        <f>J88/O81</f>
        <v>0.98197068645847019</v>
      </c>
      <c r="P82" s="67"/>
      <c r="Q82" s="73" t="s">
        <v>128</v>
      </c>
      <c r="R82" s="66">
        <f>J91/R81</f>
        <v>0.75411176244958367</v>
      </c>
      <c r="S82" s="74"/>
      <c r="T82" s="68" t="s">
        <v>129</v>
      </c>
      <c r="U82" s="70">
        <f>I97-J97</f>
        <v>18.605000158720941</v>
      </c>
      <c r="V82" s="51"/>
      <c r="W82" s="68" t="s">
        <v>130</v>
      </c>
      <c r="X82" s="71">
        <f>I92-J92</f>
        <v>66.406891261402052</v>
      </c>
    </row>
    <row r="83" spans="8:24" ht="15.75">
      <c r="H83" s="38" t="s">
        <v>16</v>
      </c>
      <c r="I83" s="63">
        <f>ONSV_AUX_2020!F31</f>
        <v>62003</v>
      </c>
      <c r="J83" s="9"/>
      <c r="K83" s="2" t="s">
        <v>131</v>
      </c>
      <c r="L83" s="66">
        <f>I88/L81</f>
        <v>0.77828386310220077</v>
      </c>
      <c r="M83" s="22"/>
      <c r="N83" s="30" t="s">
        <v>132</v>
      </c>
      <c r="O83" s="72">
        <f>J97/O81</f>
        <v>1.8029313541529885E-2</v>
      </c>
      <c r="P83" s="67"/>
      <c r="Q83" s="73" t="s">
        <v>133</v>
      </c>
      <c r="R83" s="66">
        <f>J92/R81</f>
        <v>0.24588823755041631</v>
      </c>
      <c r="S83" s="74"/>
      <c r="T83" s="68" t="s">
        <v>134</v>
      </c>
      <c r="U83" s="75">
        <f>O87</f>
        <v>2175.4001940235903</v>
      </c>
      <c r="V83" s="76"/>
      <c r="W83" s="68" t="s">
        <v>135</v>
      </c>
      <c r="X83" s="75">
        <f>R90</f>
        <v>87887.569792284965</v>
      </c>
    </row>
    <row r="84" spans="8:24" ht="15.75">
      <c r="H84" s="38" t="s">
        <v>94</v>
      </c>
      <c r="I84" s="63">
        <f>ONSV_AUX_2020!F32</f>
        <v>1905370</v>
      </c>
      <c r="J84" s="10"/>
      <c r="K84" s="2" t="s">
        <v>2</v>
      </c>
      <c r="L84" s="66">
        <f>I91/L81</f>
        <v>0.15642282551521919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5.1003756729182378E-2</v>
      </c>
      <c r="M85" s="22"/>
      <c r="N85" s="30" t="s">
        <v>136</v>
      </c>
      <c r="O85" s="63">
        <f>IF(O83*I80&gt;J97,J97,O83*I80)</f>
        <v>33366.994805817689</v>
      </c>
      <c r="P85" s="79"/>
      <c r="Q85" s="68" t="s">
        <v>137</v>
      </c>
      <c r="R85" s="63">
        <f>I81-I89-I90-I93-I96</f>
        <v>158503</v>
      </c>
      <c r="S85" s="80"/>
      <c r="T85" s="68" t="s">
        <v>138</v>
      </c>
      <c r="U85" s="70">
        <f>O93</f>
        <v>1773687.674410241</v>
      </c>
      <c r="V85" s="79"/>
      <c r="W85" s="68" t="s">
        <v>139</v>
      </c>
      <c r="X85" s="70">
        <f>I89</f>
        <v>123805</v>
      </c>
    </row>
    <row r="86" spans="8:24" ht="15.75">
      <c r="H86" s="26" t="s">
        <v>140</v>
      </c>
      <c r="K86" s="2" t="s">
        <v>0</v>
      </c>
      <c r="L86" s="66">
        <f>I97/L81</f>
        <v>1.4289554653397632E-2</v>
      </c>
      <c r="O86" s="51"/>
      <c r="P86" s="79"/>
      <c r="Q86" s="68" t="s">
        <v>141</v>
      </c>
      <c r="R86" s="63">
        <f>R82*R85</f>
        <v>119528.97668354637</v>
      </c>
      <c r="S86" s="51"/>
      <c r="T86" s="68" t="s">
        <v>142</v>
      </c>
      <c r="U86" s="70">
        <f>O91</f>
        <v>100134</v>
      </c>
      <c r="V86" s="69"/>
      <c r="W86" s="68" t="s">
        <v>143</v>
      </c>
      <c r="X86" s="70">
        <f>I90</f>
        <v>23601</v>
      </c>
    </row>
    <row r="87" spans="8:24" ht="15.75">
      <c r="K87" s="11"/>
      <c r="L87" s="11"/>
      <c r="M87" s="11"/>
      <c r="N87" s="30" t="s">
        <v>144</v>
      </c>
      <c r="O87" s="63">
        <f>J97-O85</f>
        <v>2175.4001940235903</v>
      </c>
      <c r="P87" s="79"/>
      <c r="Q87" s="68" t="s">
        <v>126</v>
      </c>
      <c r="R87" s="63">
        <f>R83*R85</f>
        <v>38974.023316453633</v>
      </c>
      <c r="S87" s="51"/>
      <c r="T87" s="68" t="s">
        <v>145</v>
      </c>
      <c r="U87" s="70">
        <f>O92</f>
        <v>62003</v>
      </c>
      <c r="V87" s="74"/>
      <c r="W87" s="51"/>
      <c r="X87" s="65"/>
    </row>
    <row r="88" spans="8:24" ht="15.75">
      <c r="H88" s="39" t="s">
        <v>104</v>
      </c>
      <c r="I88" s="63">
        <f>ONSV_AUX_2020!F56</f>
        <v>1936838</v>
      </c>
      <c r="J88" s="64">
        <f>I88-(L83*I82)</f>
        <v>1935824.674410241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1013.3255897590425</v>
      </c>
      <c r="V88" s="74"/>
      <c r="W88" s="68" t="s">
        <v>147</v>
      </c>
      <c r="X88" s="70">
        <f>I96</f>
        <v>42107</v>
      </c>
    </row>
    <row r="89" spans="8:24" ht="15.75">
      <c r="H89" s="39" t="s">
        <v>105</v>
      </c>
      <c r="I89" s="63">
        <f>ONSV_AUX_2020!F57</f>
        <v>123805</v>
      </c>
      <c r="J89" s="10">
        <f>I89</f>
        <v>123805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269541.36079763278</v>
      </c>
      <c r="S89" s="51"/>
      <c r="T89" s="68" t="s">
        <v>150</v>
      </c>
      <c r="U89" s="75">
        <f>O94</f>
        <v>0</v>
      </c>
      <c r="V89" s="51"/>
      <c r="W89" s="68" t="s">
        <v>151</v>
      </c>
      <c r="X89" s="70">
        <f>I93</f>
        <v>30713</v>
      </c>
    </row>
    <row r="90" spans="8:24" ht="15.75">
      <c r="H90" s="39" t="s">
        <v>106</v>
      </c>
      <c r="I90" s="63">
        <f>ONSV_AUX_2020!F58</f>
        <v>23601</v>
      </c>
      <c r="J90" s="10">
        <f>I90</f>
        <v>23601</v>
      </c>
      <c r="K90" s="11"/>
      <c r="L90" s="11"/>
      <c r="M90" s="11"/>
      <c r="O90" s="76"/>
      <c r="P90" s="79"/>
      <c r="Q90" s="68" t="s">
        <v>135</v>
      </c>
      <c r="R90" s="63">
        <f>J92-R87</f>
        <v>87887.569792284965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ONSV_AUX_2020!F59</f>
        <v>389274</v>
      </c>
      <c r="J91" s="64">
        <f>I91-(L84*I82)</f>
        <v>389070.33748117916</v>
      </c>
      <c r="K91" s="11"/>
      <c r="L91" s="11"/>
      <c r="M91" s="11"/>
      <c r="N91" s="30" t="s">
        <v>142</v>
      </c>
      <c r="O91" s="63">
        <f>I79</f>
        <v>100134</v>
      </c>
      <c r="P91" s="79"/>
      <c r="Q91" s="51"/>
      <c r="R91" s="51"/>
      <c r="S91" s="80"/>
      <c r="T91" s="68" t="s">
        <v>141</v>
      </c>
      <c r="U91" s="71">
        <f>R86</f>
        <v>119528.97668354637</v>
      </c>
      <c r="V91" s="51"/>
      <c r="W91" s="68" t="s">
        <v>152</v>
      </c>
      <c r="X91" s="70">
        <f>I94</f>
        <v>1370422</v>
      </c>
    </row>
    <row r="92" spans="8:24" ht="15.75">
      <c r="H92" s="39" t="s">
        <v>108</v>
      </c>
      <c r="I92" s="63">
        <f>ONSV_AUX_2020!F60</f>
        <v>126928</v>
      </c>
      <c r="J92" s="64">
        <f>I92-(L85*I82)</f>
        <v>126861.5931087386</v>
      </c>
      <c r="K92" s="11"/>
      <c r="L92" s="11"/>
      <c r="M92" s="11"/>
      <c r="N92" s="30" t="s">
        <v>145</v>
      </c>
      <c r="O92" s="63">
        <f>I83</f>
        <v>62003</v>
      </c>
      <c r="P92" s="79"/>
      <c r="Q92" s="51"/>
      <c r="R92" s="51"/>
      <c r="S92" s="51"/>
      <c r="T92" s="68" t="s">
        <v>153</v>
      </c>
      <c r="U92" s="71">
        <f>I91-J91</f>
        <v>203.6625188208418</v>
      </c>
      <c r="V92" s="51"/>
      <c r="W92" s="68" t="s">
        <v>154</v>
      </c>
      <c r="X92" s="70">
        <f>I95</f>
        <v>212556</v>
      </c>
    </row>
    <row r="93" spans="8:24" ht="15.75">
      <c r="H93" s="39" t="s">
        <v>109</v>
      </c>
      <c r="I93" s="63">
        <f>ONSV_AUX_2020!F61</f>
        <v>30713</v>
      </c>
      <c r="J93" s="10">
        <f>I93</f>
        <v>30713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1773687.674410241</v>
      </c>
      <c r="P93" s="79"/>
      <c r="Q93" s="51"/>
      <c r="R93" s="81"/>
      <c r="S93" s="51"/>
      <c r="T93" s="68" t="s">
        <v>149</v>
      </c>
      <c r="U93" s="75">
        <f>R89</f>
        <v>269541.36079763278</v>
      </c>
      <c r="V93" s="51"/>
      <c r="W93" s="51"/>
      <c r="X93" s="51"/>
    </row>
    <row r="94" spans="8:24" ht="15.75">
      <c r="H94" s="39" t="s">
        <v>110</v>
      </c>
      <c r="I94" s="63">
        <f>ONSV_AUX_2020!F62</f>
        <v>1370422</v>
      </c>
      <c r="J94" s="10">
        <f>I94</f>
        <v>1370422</v>
      </c>
      <c r="K94" s="11"/>
      <c r="L94" s="11"/>
      <c r="M94" s="11"/>
      <c r="N94" s="30" t="s">
        <v>150</v>
      </c>
      <c r="O94" s="63">
        <f>IF((J88-O91-O93-O92)&lt;0,0,(J88-O91-O93-O92))</f>
        <v>0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ONSV_AUX_2020!F63</f>
        <v>212556</v>
      </c>
      <c r="J95" s="10">
        <f>I95</f>
        <v>212556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4291805</v>
      </c>
    </row>
    <row r="96" spans="8:24" ht="15.75">
      <c r="H96" s="39" t="s">
        <v>112</v>
      </c>
      <c r="I96" s="63">
        <f>ONSV_AUX_2020!F64</f>
        <v>42107</v>
      </c>
      <c r="J96" s="10">
        <f>I96</f>
        <v>42107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ONSV_AUX_2020!F65</f>
        <v>35561</v>
      </c>
      <c r="J97" s="64">
        <f>I97-(L86*I82)</f>
        <v>35542.394999841279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3" customFormat="1" ht="15.75">
      <c r="A100" s="100" t="str">
        <f>"BAHIA/"&amp;ONSV_AUX_2019!$A$1&amp;""</f>
        <v>BAHIA/2019</v>
      </c>
      <c r="B100" s="101"/>
      <c r="C100" s="101"/>
      <c r="D100" s="101"/>
      <c r="E100" s="101"/>
      <c r="F100" s="10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ONSV_AUX_2019!F27</f>
        <v>99825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ONSV_AUX_2019!F28</f>
        <v>1746509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ONSV_AUX_2019!F29</f>
        <v>360622</v>
      </c>
      <c r="J106" s="9"/>
      <c r="K106" s="2" t="s">
        <v>122</v>
      </c>
      <c r="L106" s="63">
        <f>I113+I116+I117+I122</f>
        <v>2393156</v>
      </c>
      <c r="N106" s="30" t="s">
        <v>123</v>
      </c>
      <c r="O106" s="63">
        <f>J113+J122</f>
        <v>1901296.3758572361</v>
      </c>
      <c r="P106" s="67"/>
      <c r="Q106" s="68" t="s">
        <v>124</v>
      </c>
      <c r="R106" s="63">
        <f>J116+J117</f>
        <v>491302.62414276379</v>
      </c>
      <c r="S106" s="69"/>
      <c r="T106" s="68" t="s">
        <v>125</v>
      </c>
      <c r="U106" s="70">
        <f>O110</f>
        <v>29644.217219607952</v>
      </c>
      <c r="V106" s="51"/>
      <c r="W106" s="68" t="s">
        <v>126</v>
      </c>
      <c r="X106" s="71">
        <f>R112</f>
        <v>36871.000596234968</v>
      </c>
    </row>
    <row r="107" spans="1:24" ht="15.75">
      <c r="H107" s="38" t="s">
        <v>102</v>
      </c>
      <c r="I107" s="63">
        <f>ONSV_AUX_2019!F30</f>
        <v>557</v>
      </c>
      <c r="J107" s="9"/>
      <c r="K107" s="29"/>
      <c r="L107" s="65"/>
      <c r="M107" s="22"/>
      <c r="N107" s="30" t="s">
        <v>127</v>
      </c>
      <c r="O107" s="72">
        <f>J113/O106</f>
        <v>0.98302658777045648</v>
      </c>
      <c r="P107" s="67"/>
      <c r="Q107" s="73" t="s">
        <v>128</v>
      </c>
      <c r="R107" s="66">
        <f>J116/R106</f>
        <v>0.75056825465948473</v>
      </c>
      <c r="S107" s="74"/>
      <c r="T107" s="68" t="s">
        <v>129</v>
      </c>
      <c r="U107" s="70">
        <f>I122-J122</f>
        <v>7.5128420378787268</v>
      </c>
      <c r="V107" s="51"/>
      <c r="W107" s="68" t="s">
        <v>130</v>
      </c>
      <c r="X107" s="71">
        <f>I117-J117</f>
        <v>28.528969695253181</v>
      </c>
    </row>
    <row r="108" spans="1:24" ht="15.75">
      <c r="H108" s="38" t="s">
        <v>16</v>
      </c>
      <c r="I108" s="63">
        <f>ONSV_AUX_2019!F31</f>
        <v>58208</v>
      </c>
      <c r="J108" s="9"/>
      <c r="K108" s="2" t="s">
        <v>131</v>
      </c>
      <c r="L108" s="66">
        <f>I113/L106</f>
        <v>0.78116930112370442</v>
      </c>
      <c r="M108" s="22"/>
      <c r="N108" s="30" t="s">
        <v>132</v>
      </c>
      <c r="O108" s="72">
        <f>J122/O106</f>
        <v>1.6973412229543593E-2</v>
      </c>
      <c r="P108" s="67"/>
      <c r="Q108" s="73" t="s">
        <v>133</v>
      </c>
      <c r="R108" s="66">
        <f>J117/R106</f>
        <v>0.24943174534051527</v>
      </c>
      <c r="S108" s="74"/>
      <c r="T108" s="68" t="s">
        <v>134</v>
      </c>
      <c r="U108" s="75">
        <f>O112</f>
        <v>2627.2699383541694</v>
      </c>
      <c r="V108" s="76"/>
      <c r="W108" s="68" t="s">
        <v>135</v>
      </c>
      <c r="X108" s="75">
        <f>R115</f>
        <v>85675.470434069779</v>
      </c>
    </row>
    <row r="109" spans="1:24" ht="15.75">
      <c r="H109" s="38" t="s">
        <v>94</v>
      </c>
      <c r="I109" s="63">
        <f>ONSV_AUX_2019!F32</f>
        <v>1869810</v>
      </c>
      <c r="J109" s="10"/>
      <c r="K109" s="2" t="s">
        <v>2</v>
      </c>
      <c r="L109" s="66">
        <f>I116/L106</f>
        <v>0.15412367601610594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5.1218976113550474E-2</v>
      </c>
      <c r="M110" s="22"/>
      <c r="N110" s="30" t="s">
        <v>136</v>
      </c>
      <c r="O110" s="63">
        <f>IF(O108*I105&gt;J122,J122,O108*I105)</f>
        <v>29644.217219607952</v>
      </c>
      <c r="P110" s="79"/>
      <c r="Q110" s="68" t="s">
        <v>137</v>
      </c>
      <c r="R110" s="63">
        <f>I106-I114-I115-I118-I121</f>
        <v>147820</v>
      </c>
      <c r="S110" s="80"/>
      <c r="T110" s="68" t="s">
        <v>138</v>
      </c>
      <c r="U110" s="70">
        <f>O118</f>
        <v>1710991.888699274</v>
      </c>
      <c r="V110" s="79"/>
      <c r="W110" s="68" t="s">
        <v>139</v>
      </c>
      <c r="X110" s="70">
        <f>I114</f>
        <v>120282</v>
      </c>
    </row>
    <row r="111" spans="1:24" ht="15.75">
      <c r="H111" s="26" t="s">
        <v>140</v>
      </c>
      <c r="K111" s="2" t="s">
        <v>0</v>
      </c>
      <c r="L111" s="66">
        <f>I122/L106</f>
        <v>1.3488046746639165E-2</v>
      </c>
      <c r="O111" s="51"/>
      <c r="P111" s="79"/>
      <c r="Q111" s="68" t="s">
        <v>141</v>
      </c>
      <c r="R111" s="63">
        <f>R107*R110</f>
        <v>110948.99940376503</v>
      </c>
      <c r="S111" s="51"/>
      <c r="T111" s="68" t="s">
        <v>142</v>
      </c>
      <c r="U111" s="70">
        <f>O116</f>
        <v>99825</v>
      </c>
      <c r="V111" s="69"/>
      <c r="W111" s="68" t="s">
        <v>143</v>
      </c>
      <c r="X111" s="70">
        <f>I115</f>
        <v>22030</v>
      </c>
    </row>
    <row r="112" spans="1:24" ht="15.75">
      <c r="K112" s="11"/>
      <c r="L112" s="11"/>
      <c r="M112" s="11"/>
      <c r="N112" s="30" t="s">
        <v>144</v>
      </c>
      <c r="O112" s="63">
        <f>J122-O110</f>
        <v>2627.2699383541694</v>
      </c>
      <c r="P112" s="79"/>
      <c r="Q112" s="68" t="s">
        <v>126</v>
      </c>
      <c r="R112" s="63">
        <f>R108*R110</f>
        <v>36871.000596234968</v>
      </c>
      <c r="S112" s="51"/>
      <c r="T112" s="68" t="s">
        <v>145</v>
      </c>
      <c r="U112" s="70">
        <f>O117</f>
        <v>58208</v>
      </c>
      <c r="V112" s="74"/>
      <c r="W112" s="51"/>
      <c r="X112" s="65"/>
    </row>
    <row r="113" spans="8:24" ht="15.75">
      <c r="H113" s="39" t="s">
        <v>104</v>
      </c>
      <c r="I113" s="63">
        <f>ONSV_AUX_2019!F56</f>
        <v>1869460</v>
      </c>
      <c r="J113" s="64">
        <f>I113-(L108*I107)</f>
        <v>1869024.888699274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435.11130072595552</v>
      </c>
      <c r="V113" s="74"/>
      <c r="W113" s="68" t="s">
        <v>147</v>
      </c>
      <c r="X113" s="70">
        <f>I121</f>
        <v>40651</v>
      </c>
    </row>
    <row r="114" spans="8:24" ht="15.75">
      <c r="H114" s="39" t="s">
        <v>105</v>
      </c>
      <c r="I114" s="63">
        <f>ONSV_AUX_2019!F57</f>
        <v>120282</v>
      </c>
      <c r="J114" s="10">
        <f>I114</f>
        <v>120282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257807.15370869404</v>
      </c>
      <c r="S114" s="51"/>
      <c r="T114" s="68" t="s">
        <v>150</v>
      </c>
      <c r="U114" s="75">
        <f>O119</f>
        <v>0</v>
      </c>
      <c r="V114" s="51"/>
      <c r="W114" s="68" t="s">
        <v>151</v>
      </c>
      <c r="X114" s="70">
        <f>I118</f>
        <v>29839</v>
      </c>
    </row>
    <row r="115" spans="8:24" ht="15.75">
      <c r="H115" s="39" t="s">
        <v>106</v>
      </c>
      <c r="I115" s="63">
        <f>ONSV_AUX_2019!F58</f>
        <v>22030</v>
      </c>
      <c r="J115" s="10">
        <f>I115</f>
        <v>22030</v>
      </c>
      <c r="K115" s="11"/>
      <c r="L115" s="11"/>
      <c r="M115" s="11"/>
      <c r="O115" s="76"/>
      <c r="P115" s="79"/>
      <c r="Q115" s="68" t="s">
        <v>135</v>
      </c>
      <c r="R115" s="63">
        <f>J117-R112</f>
        <v>85675.470434069779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ONSV_AUX_2019!F59</f>
        <v>368842</v>
      </c>
      <c r="J116" s="64">
        <f>I116-(L109*I107)</f>
        <v>368756.15311245905</v>
      </c>
      <c r="K116" s="11"/>
      <c r="L116" s="11"/>
      <c r="M116" s="11"/>
      <c r="N116" s="30" t="s">
        <v>142</v>
      </c>
      <c r="O116" s="63">
        <f>I104</f>
        <v>99825</v>
      </c>
      <c r="P116" s="79"/>
      <c r="Q116" s="51"/>
      <c r="R116" s="51"/>
      <c r="S116" s="80"/>
      <c r="T116" s="68" t="s">
        <v>141</v>
      </c>
      <c r="U116" s="71">
        <f>R111</f>
        <v>110948.99940376503</v>
      </c>
      <c r="V116" s="51"/>
      <c r="W116" s="68" t="s">
        <v>152</v>
      </c>
      <c r="X116" s="70">
        <f>I119</f>
        <v>1323281</v>
      </c>
    </row>
    <row r="117" spans="8:24" ht="15.75">
      <c r="H117" s="39" t="s">
        <v>108</v>
      </c>
      <c r="I117" s="63">
        <f>ONSV_AUX_2019!F60</f>
        <v>122575</v>
      </c>
      <c r="J117" s="64">
        <f>I117-(L110*I107)</f>
        <v>122546.47103030475</v>
      </c>
      <c r="K117" s="11"/>
      <c r="L117" s="11"/>
      <c r="M117" s="11"/>
      <c r="N117" s="30" t="s">
        <v>145</v>
      </c>
      <c r="O117" s="63">
        <f>I108</f>
        <v>58208</v>
      </c>
      <c r="P117" s="79"/>
      <c r="Q117" s="51"/>
      <c r="R117" s="51"/>
      <c r="S117" s="51"/>
      <c r="T117" s="68" t="s">
        <v>153</v>
      </c>
      <c r="U117" s="71">
        <f>I116-J116</f>
        <v>85.846887540945318</v>
      </c>
      <c r="V117" s="51"/>
      <c r="W117" s="68" t="s">
        <v>154</v>
      </c>
      <c r="X117" s="70">
        <f>I120</f>
        <v>199767</v>
      </c>
    </row>
    <row r="118" spans="8:24" ht="15.75">
      <c r="H118" s="39" t="s">
        <v>109</v>
      </c>
      <c r="I118" s="63">
        <f>ONSV_AUX_2019!F61</f>
        <v>29839</v>
      </c>
      <c r="J118" s="10">
        <f>I118</f>
        <v>29839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1710991.888699274</v>
      </c>
      <c r="P118" s="79"/>
      <c r="Q118" s="51"/>
      <c r="R118" s="81"/>
      <c r="S118" s="51"/>
      <c r="T118" s="68" t="s">
        <v>149</v>
      </c>
      <c r="U118" s="75">
        <f>R114</f>
        <v>257807.15370869404</v>
      </c>
      <c r="V118" s="51"/>
      <c r="W118" s="51"/>
      <c r="X118" s="51"/>
    </row>
    <row r="119" spans="8:24" ht="15.75">
      <c r="H119" s="39" t="s">
        <v>110</v>
      </c>
      <c r="I119" s="63">
        <f>ONSV_AUX_2019!F62</f>
        <v>1323281</v>
      </c>
      <c r="J119" s="10">
        <f>I119</f>
        <v>1323281</v>
      </c>
      <c r="K119" s="11"/>
      <c r="L119" s="11"/>
      <c r="M119" s="11"/>
      <c r="N119" s="30" t="s">
        <v>150</v>
      </c>
      <c r="O119" s="63">
        <f>IF((J113-O116-O118-O117)&lt;0,0,(J113-O116-O118-O117))</f>
        <v>0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ONSV_AUX_2019!F63</f>
        <v>199767</v>
      </c>
      <c r="J120" s="10">
        <f>I120</f>
        <v>199767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4129006</v>
      </c>
    </row>
    <row r="121" spans="8:24" ht="15.75">
      <c r="H121" s="39" t="s">
        <v>112</v>
      </c>
      <c r="I121" s="63">
        <f>ONSV_AUX_2019!F64</f>
        <v>40651</v>
      </c>
      <c r="J121" s="10">
        <f>I121</f>
        <v>40651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ONSV_AUX_2019!F65</f>
        <v>32279</v>
      </c>
      <c r="J122" s="64">
        <f>I122-(L111*I107)</f>
        <v>32271.487157962121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00:F100"/>
    <mergeCell ref="K104:L104"/>
    <mergeCell ref="K54:L54"/>
    <mergeCell ref="A75:F75"/>
    <mergeCell ref="K79:L79"/>
    <mergeCell ref="K29:L29"/>
    <mergeCell ref="A25:F25"/>
    <mergeCell ref="A50:F50"/>
    <mergeCell ref="T52:X52"/>
    <mergeCell ref="A1:F1"/>
    <mergeCell ref="Q4:R4"/>
    <mergeCell ref="T4:X4"/>
    <mergeCell ref="K5:L5"/>
    <mergeCell ref="T27:X2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39997558519241921"/>
  </sheetPr>
  <dimension ref="A1:X122"/>
  <sheetViews>
    <sheetView showGridLines="0" zoomScale="90" zoomScaleNormal="90" workbookViewId="0">
      <selection activeCell="F27" sqref="F27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</cols>
  <sheetData>
    <row r="1" spans="1:24" s="33" customFormat="1" ht="15.75">
      <c r="A1" s="100" t="str">
        <f>"CEÁRA/"&amp;ONSV_AUX_2023!$A$1&amp;""</f>
        <v>CEÁRA/2023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ONSV_AUX_2023!G27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ONSV_AUX_2023!G28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ONSV_AUX_2023!G29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ONSV_AUX_2023!G30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ONSV_AUX_2023!G31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ONSV_AUX_2023!G32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ONSV_AUX_2023!G56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ONSV_AUX_2023!G57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ONSV_AUX_2023!G58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ONSV_AUX_2023!G59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ONSV_AUX_2023!G60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ONSV_AUX_2023!G61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ONSV_AUX_2023!G62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ONSV_AUX_2023!G63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ONSV_AUX_2023!G64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ONSV_AUX_2023!G65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6" customFormat="1" ht="15.75">
      <c r="A25" s="100" t="str">
        <f>"CEÁRA/"&amp;ONSV_AUX_2022!$A$1&amp;""</f>
        <v>CEÁRA/2022</v>
      </c>
      <c r="B25" s="101"/>
      <c r="C25" s="101"/>
      <c r="D25" s="101"/>
      <c r="E25" s="101"/>
      <c r="F25" s="10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5.75">
      <c r="A26" s="3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ONSV_AUX_2022!G27</f>
        <v>61076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ONSV_AUX_2022!G28</f>
        <v>1525109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ONSV_AUX_2022!G29</f>
        <v>269601</v>
      </c>
      <c r="J31" s="9"/>
      <c r="K31" s="2" t="s">
        <v>122</v>
      </c>
      <c r="L31" s="63">
        <f>I38+I41+I42+I47</f>
        <v>1628662</v>
      </c>
      <c r="N31" s="30" t="s">
        <v>123</v>
      </c>
      <c r="O31" s="63">
        <f>J38+J47</f>
        <v>1330695.8978056835</v>
      </c>
      <c r="P31" s="67"/>
      <c r="Q31" s="68" t="s">
        <v>124</v>
      </c>
      <c r="R31" s="63">
        <f>J41+J42</f>
        <v>295872.10219431657</v>
      </c>
      <c r="S31" s="69"/>
      <c r="T31" s="68" t="s">
        <v>125</v>
      </c>
      <c r="U31" s="70">
        <f>O35</f>
        <v>47880.360109095687</v>
      </c>
      <c r="V31" s="51"/>
      <c r="W31" s="68" t="s">
        <v>126</v>
      </c>
      <c r="X31" s="71">
        <f>R37</f>
        <v>34804.6946765096</v>
      </c>
    </row>
    <row r="32" spans="1:24" ht="15.75">
      <c r="H32" s="38" t="s">
        <v>102</v>
      </c>
      <c r="I32" s="63">
        <f>ONSV_AUX_2022!G30</f>
        <v>2094</v>
      </c>
      <c r="J32" s="9"/>
      <c r="K32" s="29"/>
      <c r="L32" s="65"/>
      <c r="M32" s="22"/>
      <c r="N32" s="30" t="s">
        <v>127</v>
      </c>
      <c r="O32" s="72">
        <f>J38/O31</f>
        <v>0.96401855586385266</v>
      </c>
      <c r="P32" s="67"/>
      <c r="Q32" s="73" t="s">
        <v>128</v>
      </c>
      <c r="R32" s="66">
        <f>J41/R31</f>
        <v>0.7633846745855738</v>
      </c>
      <c r="S32" s="74"/>
      <c r="T32" s="68" t="s">
        <v>129</v>
      </c>
      <c r="U32" s="70">
        <f>I47-J47</f>
        <v>61.639890904312779</v>
      </c>
      <c r="V32" s="51"/>
      <c r="W32" s="68" t="s">
        <v>130</v>
      </c>
      <c r="X32" s="71">
        <f>I42-J42</f>
        <v>90.126258241434698</v>
      </c>
    </row>
    <row r="33" spans="8:24" ht="15.75">
      <c r="H33" s="38" t="s">
        <v>16</v>
      </c>
      <c r="I33" s="63">
        <f>ONSV_AUX_2022!G31</f>
        <v>55306</v>
      </c>
      <c r="J33" s="9"/>
      <c r="K33" s="2" t="s">
        <v>131</v>
      </c>
      <c r="L33" s="66">
        <f>I38/L31</f>
        <v>0.7886639462331656</v>
      </c>
      <c r="M33" s="22"/>
      <c r="N33" s="30" t="s">
        <v>132</v>
      </c>
      <c r="O33" s="72">
        <f>J47/O31</f>
        <v>3.5981444136147379E-2</v>
      </c>
      <c r="P33" s="67"/>
      <c r="Q33" s="73" t="s">
        <v>133</v>
      </c>
      <c r="R33" s="66">
        <f>J42/R31</f>
        <v>0.23661532541442615</v>
      </c>
      <c r="S33" s="74"/>
      <c r="T33" s="68" t="s">
        <v>134</v>
      </c>
      <c r="U33" s="75">
        <f>O37</f>
        <v>0</v>
      </c>
      <c r="V33" s="76"/>
      <c r="W33" s="68" t="s">
        <v>135</v>
      </c>
      <c r="X33" s="75">
        <f>R40</f>
        <v>35203.179065248965</v>
      </c>
    </row>
    <row r="34" spans="8:24" ht="15.75">
      <c r="H34" s="38" t="s">
        <v>94</v>
      </c>
      <c r="I34" s="63">
        <f>ONSV_AUX_2022!G32</f>
        <v>1585060</v>
      </c>
      <c r="J34" s="10"/>
      <c r="K34" s="2" t="s">
        <v>2</v>
      </c>
      <c r="L34" s="66">
        <f>I41/L31</f>
        <v>0.13885938273257434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4.304023793764452E-2</v>
      </c>
      <c r="M35" s="22"/>
      <c r="N35" s="30" t="s">
        <v>136</v>
      </c>
      <c r="O35" s="63">
        <f>IF(O33*I30&gt;J47,J47,O33*I30)</f>
        <v>47880.360109095687</v>
      </c>
      <c r="P35" s="79"/>
      <c r="Q35" s="68" t="s">
        <v>137</v>
      </c>
      <c r="R35" s="63">
        <f>I31-I39-I40-I43-I46</f>
        <v>147094</v>
      </c>
      <c r="S35" s="80"/>
      <c r="T35" s="68" t="s">
        <v>138</v>
      </c>
      <c r="U35" s="70">
        <f>O43</f>
        <v>1166433.5376965879</v>
      </c>
      <c r="V35" s="79"/>
      <c r="W35" s="68" t="s">
        <v>139</v>
      </c>
      <c r="X35" s="70">
        <f>I39</f>
        <v>78906</v>
      </c>
    </row>
    <row r="36" spans="8:24" ht="15.75">
      <c r="H36" s="26" t="s">
        <v>140</v>
      </c>
      <c r="K36" s="2" t="s">
        <v>0</v>
      </c>
      <c r="L36" s="66">
        <f>I47/L31</f>
        <v>2.9436433096615505E-2</v>
      </c>
      <c r="O36" s="51"/>
      <c r="P36" s="79"/>
      <c r="Q36" s="68" t="s">
        <v>141</v>
      </c>
      <c r="R36" s="63">
        <f>R32*R35</f>
        <v>112289.30532349039</v>
      </c>
      <c r="S36" s="51"/>
      <c r="T36" s="68" t="s">
        <v>142</v>
      </c>
      <c r="U36" s="70">
        <f>O41</f>
        <v>61076</v>
      </c>
      <c r="V36" s="69"/>
      <c r="W36" s="68" t="s">
        <v>143</v>
      </c>
      <c r="X36" s="70">
        <f>I40</f>
        <v>11156</v>
      </c>
    </row>
    <row r="37" spans="8:24" ht="15.75">
      <c r="K37" s="11"/>
      <c r="L37" s="11"/>
      <c r="M37" s="11"/>
      <c r="N37" s="30" t="s">
        <v>144</v>
      </c>
      <c r="O37" s="63">
        <f>J47-O35</f>
        <v>0</v>
      </c>
      <c r="P37" s="79"/>
      <c r="Q37" s="68" t="s">
        <v>126</v>
      </c>
      <c r="R37" s="63">
        <f>R33*R35</f>
        <v>34804.6946765096</v>
      </c>
      <c r="S37" s="51"/>
      <c r="T37" s="68" t="s">
        <v>145</v>
      </c>
      <c r="U37" s="70">
        <f>O42</f>
        <v>55306</v>
      </c>
      <c r="V37" s="74"/>
      <c r="W37" s="51"/>
      <c r="X37" s="65"/>
    </row>
    <row r="38" spans="8:24" ht="15.75">
      <c r="H38" s="39" t="s">
        <v>104</v>
      </c>
      <c r="I38" s="63">
        <f>ONSV_AUX_2022!G56</f>
        <v>1284467</v>
      </c>
      <c r="J38" s="64">
        <f>I38-(L33*I32)</f>
        <v>1282815.5376965879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1651.4623034121469</v>
      </c>
      <c r="V38" s="74"/>
      <c r="W38" s="68" t="s">
        <v>147</v>
      </c>
      <c r="X38" s="70">
        <f>I46</f>
        <v>19261</v>
      </c>
    </row>
    <row r="39" spans="8:24" ht="15.75">
      <c r="H39" s="39" t="s">
        <v>105</v>
      </c>
      <c r="I39" s="63">
        <f>ONSV_AUX_2022!G57</f>
        <v>78906</v>
      </c>
      <c r="J39" s="10">
        <f>I39</f>
        <v>78906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113574.9231290676</v>
      </c>
      <c r="S39" s="51"/>
      <c r="T39" s="68" t="s">
        <v>150</v>
      </c>
      <c r="U39" s="75">
        <f>O44</f>
        <v>0</v>
      </c>
      <c r="V39" s="51"/>
      <c r="W39" s="68" t="s">
        <v>151</v>
      </c>
      <c r="X39" s="70">
        <f>I43</f>
        <v>13184</v>
      </c>
    </row>
    <row r="40" spans="8:24" ht="15.75">
      <c r="H40" s="39" t="s">
        <v>106</v>
      </c>
      <c r="I40" s="63">
        <f>ONSV_AUX_2022!G58</f>
        <v>11156</v>
      </c>
      <c r="J40" s="10">
        <f>I40</f>
        <v>11156</v>
      </c>
      <c r="K40" s="11"/>
      <c r="L40" s="11"/>
      <c r="M40" s="11"/>
      <c r="O40" s="76"/>
      <c r="P40" s="79"/>
      <c r="Q40" s="68" t="s">
        <v>135</v>
      </c>
      <c r="R40" s="63">
        <f>J42-R37</f>
        <v>35203.179065248965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ONSV_AUX_2022!G59</f>
        <v>226155</v>
      </c>
      <c r="J41" s="64">
        <f>I41-(L34*I32)</f>
        <v>225864.22845255799</v>
      </c>
      <c r="K41" s="11"/>
      <c r="L41" s="11"/>
      <c r="M41" s="11"/>
      <c r="N41" s="30" t="s">
        <v>142</v>
      </c>
      <c r="O41" s="63">
        <f>I29</f>
        <v>61076</v>
      </c>
      <c r="P41" s="79"/>
      <c r="Q41" s="51"/>
      <c r="R41" s="51"/>
      <c r="S41" s="80"/>
      <c r="T41" s="68" t="s">
        <v>141</v>
      </c>
      <c r="U41" s="71">
        <f>R36</f>
        <v>112289.30532349039</v>
      </c>
      <c r="V41" s="51"/>
      <c r="W41" s="68" t="s">
        <v>152</v>
      </c>
      <c r="X41" s="70">
        <f>I44</f>
        <v>1547037</v>
      </c>
    </row>
    <row r="42" spans="8:24" ht="15.75">
      <c r="H42" s="39" t="s">
        <v>108</v>
      </c>
      <c r="I42" s="63">
        <f>ONSV_AUX_2022!G60</f>
        <v>70098</v>
      </c>
      <c r="J42" s="64">
        <f>I42-(L35*I32)</f>
        <v>70007.873741758565</v>
      </c>
      <c r="K42" s="11"/>
      <c r="L42" s="11"/>
      <c r="M42" s="11"/>
      <c r="N42" s="30" t="s">
        <v>145</v>
      </c>
      <c r="O42" s="63">
        <f>I33</f>
        <v>55306</v>
      </c>
      <c r="P42" s="79"/>
      <c r="Q42" s="51"/>
      <c r="R42" s="51"/>
      <c r="S42" s="51"/>
      <c r="T42" s="68" t="s">
        <v>153</v>
      </c>
      <c r="U42" s="71">
        <f>I41-J41</f>
        <v>290.77154744201107</v>
      </c>
      <c r="V42" s="51"/>
      <c r="W42" s="68" t="s">
        <v>154</v>
      </c>
      <c r="X42" s="70">
        <f>I45</f>
        <v>202198</v>
      </c>
    </row>
    <row r="43" spans="8:24" ht="15.75">
      <c r="H43" s="39" t="s">
        <v>109</v>
      </c>
      <c r="I43" s="63">
        <f>ONSV_AUX_2022!G61</f>
        <v>13184</v>
      </c>
      <c r="J43" s="10">
        <f>I43</f>
        <v>13184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1166433.5376965879</v>
      </c>
      <c r="P43" s="79"/>
      <c r="Q43" s="51"/>
      <c r="R43" s="81"/>
      <c r="S43" s="51"/>
      <c r="T43" s="68" t="s">
        <v>149</v>
      </c>
      <c r="U43" s="75">
        <f>R39</f>
        <v>113574.9231290676</v>
      </c>
      <c r="V43" s="51"/>
      <c r="W43" s="51"/>
      <c r="X43" s="51"/>
    </row>
    <row r="44" spans="8:24" ht="15.75">
      <c r="H44" s="39" t="s">
        <v>110</v>
      </c>
      <c r="I44" s="63">
        <f>ONSV_AUX_2022!G62</f>
        <v>1547037</v>
      </c>
      <c r="J44" s="10">
        <f>I44</f>
        <v>1547037</v>
      </c>
      <c r="K44" s="11"/>
      <c r="L44" s="11"/>
      <c r="M44" s="11"/>
      <c r="N44" s="30" t="s">
        <v>150</v>
      </c>
      <c r="O44" s="63">
        <f>IF((J38-O41-O43-O42)&lt;0,0,(J38-O41-O43-O42))</f>
        <v>0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ONSV_AUX_2022!G63</f>
        <v>202198</v>
      </c>
      <c r="J45" s="10">
        <f>I45</f>
        <v>202198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3500404</v>
      </c>
    </row>
    <row r="46" spans="8:24" ht="15.75">
      <c r="H46" s="39" t="s">
        <v>112</v>
      </c>
      <c r="I46" s="63">
        <f>ONSV_AUX_2022!G64</f>
        <v>19261</v>
      </c>
      <c r="J46" s="10">
        <f>I46</f>
        <v>19261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ONSV_AUX_2022!G65</f>
        <v>47942</v>
      </c>
      <c r="J47" s="64">
        <f>I47-(L36*I32)</f>
        <v>47880.360109095687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6" customFormat="1" ht="15.75">
      <c r="A50" s="100" t="str">
        <f>"CEÁRA/"&amp;ONSV_AUX_2021!$A$1&amp;""</f>
        <v>CEÁRA/2021</v>
      </c>
      <c r="B50" s="101"/>
      <c r="C50" s="101"/>
      <c r="D50" s="101"/>
      <c r="E50" s="101"/>
      <c r="F50" s="101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ONSV_AUX_2021!G27</f>
        <v>61017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ONSV_AUX_2021!G28</f>
        <v>1445911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ONSV_AUX_2021!G29</f>
        <v>259921</v>
      </c>
      <c r="J56" s="9"/>
      <c r="K56" s="2" t="s">
        <v>122</v>
      </c>
      <c r="L56" s="63">
        <f>I63+I66+I67+I72</f>
        <v>1582857</v>
      </c>
      <c r="N56" s="30" t="s">
        <v>123</v>
      </c>
      <c r="O56" s="63">
        <f>J63+J72</f>
        <v>1296972.6842645924</v>
      </c>
      <c r="P56" s="67"/>
      <c r="Q56" s="68" t="s">
        <v>124</v>
      </c>
      <c r="R56" s="63">
        <f>J66+J67</f>
        <v>284708.31573540758</v>
      </c>
      <c r="S56" s="69"/>
      <c r="T56" s="68" t="s">
        <v>125</v>
      </c>
      <c r="U56" s="70">
        <f>O60</f>
        <v>42927.083166072487</v>
      </c>
      <c r="V56" s="51"/>
      <c r="W56" s="68" t="s">
        <v>126</v>
      </c>
      <c r="X56" s="71">
        <f>R62</f>
        <v>33082.0633511161</v>
      </c>
    </row>
    <row r="57" spans="1:24" ht="15.75">
      <c r="H57" s="38" t="s">
        <v>102</v>
      </c>
      <c r="I57" s="63">
        <f>ONSV_AUX_2021!G30</f>
        <v>1176</v>
      </c>
      <c r="J57" s="9"/>
      <c r="K57" s="29"/>
      <c r="L57" s="65"/>
      <c r="M57" s="22"/>
      <c r="N57" s="30" t="s">
        <v>127</v>
      </c>
      <c r="O57" s="72">
        <f>J63/O56</f>
        <v>0.96690209154989815</v>
      </c>
      <c r="P57" s="67"/>
      <c r="Q57" s="73" t="s">
        <v>128</v>
      </c>
      <c r="R57" s="66">
        <f>J66/R56</f>
        <v>0.76430226028358839</v>
      </c>
      <c r="S57" s="74"/>
      <c r="T57" s="68" t="s">
        <v>129</v>
      </c>
      <c r="U57" s="70">
        <f>I72-J72</f>
        <v>31.916833927512926</v>
      </c>
      <c r="V57" s="51"/>
      <c r="W57" s="68" t="s">
        <v>130</v>
      </c>
      <c r="X57" s="71">
        <f>I67-J67</f>
        <v>49.893502697974327</v>
      </c>
    </row>
    <row r="58" spans="1:24" ht="15.75">
      <c r="H58" s="38" t="s">
        <v>16</v>
      </c>
      <c r="I58" s="63">
        <f>ONSV_AUX_2021!G31</f>
        <v>54415</v>
      </c>
      <c r="J58" s="9"/>
      <c r="K58" s="2" t="s">
        <v>131</v>
      </c>
      <c r="L58" s="66">
        <f>I63/L56</f>
        <v>0.79285620874153506</v>
      </c>
      <c r="M58" s="22"/>
      <c r="N58" s="30" t="s">
        <v>132</v>
      </c>
      <c r="O58" s="72">
        <f>J72/O56</f>
        <v>3.3097908450101972E-2</v>
      </c>
      <c r="P58" s="67"/>
      <c r="Q58" s="73" t="s">
        <v>133</v>
      </c>
      <c r="R58" s="66">
        <f>J67/R56</f>
        <v>0.23569773971641159</v>
      </c>
      <c r="S58" s="74"/>
      <c r="T58" s="68" t="s">
        <v>134</v>
      </c>
      <c r="U58" s="75">
        <f>O62</f>
        <v>0</v>
      </c>
      <c r="V58" s="76"/>
      <c r="W58" s="68" t="s">
        <v>135</v>
      </c>
      <c r="X58" s="75">
        <f>R65</f>
        <v>34023.043146185926</v>
      </c>
    </row>
    <row r="59" spans="1:24" ht="15.75">
      <c r="H59" s="38" t="s">
        <v>94</v>
      </c>
      <c r="I59" s="63">
        <f>ONSV_AUX_2021!G32</f>
        <v>1565150</v>
      </c>
      <c r="J59" s="10"/>
      <c r="K59" s="2" t="s">
        <v>2</v>
      </c>
      <c r="L59" s="66">
        <f>I66/L56</f>
        <v>0.13757717848169482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4.2426447872423091E-2</v>
      </c>
      <c r="M60" s="22"/>
      <c r="N60" s="30" t="s">
        <v>136</v>
      </c>
      <c r="O60" s="63">
        <f>IF(O58*I55&gt;J72,J72,O58*I55)</f>
        <v>42927.083166072487</v>
      </c>
      <c r="P60" s="79"/>
      <c r="Q60" s="68" t="s">
        <v>137</v>
      </c>
      <c r="R60" s="63">
        <f>I56-I64-I65-I68-I71</f>
        <v>140358</v>
      </c>
      <c r="S60" s="80"/>
      <c r="T60" s="68" t="s">
        <v>138</v>
      </c>
      <c r="U60" s="70">
        <f>O68</f>
        <v>1138613.60109852</v>
      </c>
      <c r="V60" s="79"/>
      <c r="W60" s="68" t="s">
        <v>139</v>
      </c>
      <c r="X60" s="70">
        <f>I64</f>
        <v>77268</v>
      </c>
    </row>
    <row r="61" spans="1:24" ht="15.75">
      <c r="H61" s="26" t="s">
        <v>140</v>
      </c>
      <c r="K61" s="2" t="s">
        <v>0</v>
      </c>
      <c r="L61" s="66">
        <f>I72/L56</f>
        <v>2.7140164904347012E-2</v>
      </c>
      <c r="O61" s="51"/>
      <c r="P61" s="79"/>
      <c r="Q61" s="68" t="s">
        <v>141</v>
      </c>
      <c r="R61" s="63">
        <f>R57*R60</f>
        <v>107275.9366488839</v>
      </c>
      <c r="S61" s="51"/>
      <c r="T61" s="68" t="s">
        <v>142</v>
      </c>
      <c r="U61" s="70">
        <f>O66</f>
        <v>61017</v>
      </c>
      <c r="V61" s="69"/>
      <c r="W61" s="68" t="s">
        <v>143</v>
      </c>
      <c r="X61" s="70">
        <f>I65</f>
        <v>10508</v>
      </c>
    </row>
    <row r="62" spans="1:24" ht="15.75">
      <c r="K62" s="11"/>
      <c r="L62" s="11"/>
      <c r="M62" s="11"/>
      <c r="N62" s="30" t="s">
        <v>144</v>
      </c>
      <c r="O62" s="63">
        <f>J72-O60</f>
        <v>0</v>
      </c>
      <c r="P62" s="79"/>
      <c r="Q62" s="68" t="s">
        <v>126</v>
      </c>
      <c r="R62" s="63">
        <f>R58*R60</f>
        <v>33082.0633511161</v>
      </c>
      <c r="S62" s="51"/>
      <c r="T62" s="68" t="s">
        <v>145</v>
      </c>
      <c r="U62" s="70">
        <f>O67</f>
        <v>54415</v>
      </c>
      <c r="V62" s="74"/>
      <c r="W62" s="51"/>
      <c r="X62" s="65"/>
    </row>
    <row r="63" spans="1:24" ht="15.75">
      <c r="H63" s="39" t="s">
        <v>104</v>
      </c>
      <c r="I63" s="63">
        <f>ONSV_AUX_2021!G56</f>
        <v>1254978</v>
      </c>
      <c r="J63" s="64">
        <f>I63-(L58*I57)</f>
        <v>1254045.60109852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932.39890148001723</v>
      </c>
      <c r="V63" s="74"/>
      <c r="W63" s="68" t="s">
        <v>147</v>
      </c>
      <c r="X63" s="70">
        <f>I71</f>
        <v>18737</v>
      </c>
    </row>
    <row r="64" spans="1:24" ht="15.75">
      <c r="H64" s="39" t="s">
        <v>105</v>
      </c>
      <c r="I64" s="63">
        <f>ONSV_AUX_2021!G57</f>
        <v>77268</v>
      </c>
      <c r="J64" s="10">
        <f>I64</f>
        <v>77268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110327.27258922164</v>
      </c>
      <c r="S64" s="51"/>
      <c r="T64" s="68" t="s">
        <v>150</v>
      </c>
      <c r="U64" s="75">
        <f>O69</f>
        <v>0</v>
      </c>
      <c r="V64" s="51"/>
      <c r="W64" s="68" t="s">
        <v>151</v>
      </c>
      <c r="X64" s="70">
        <f>I68</f>
        <v>13050</v>
      </c>
    </row>
    <row r="65" spans="1:24" ht="15.75">
      <c r="H65" s="39" t="s">
        <v>106</v>
      </c>
      <c r="I65" s="63">
        <f>ONSV_AUX_2021!G58</f>
        <v>10508</v>
      </c>
      <c r="J65" s="10">
        <f>I65</f>
        <v>10508</v>
      </c>
      <c r="K65" s="11"/>
      <c r="L65" s="11"/>
      <c r="M65" s="11"/>
      <c r="O65" s="76"/>
      <c r="P65" s="79"/>
      <c r="Q65" s="68" t="s">
        <v>135</v>
      </c>
      <c r="R65" s="63">
        <f>J67-R62</f>
        <v>34023.043146185926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ONSV_AUX_2021!G59</f>
        <v>217765</v>
      </c>
      <c r="J66" s="64">
        <f>I66-(L59*I57)</f>
        <v>217603.20923810554</v>
      </c>
      <c r="K66" s="11"/>
      <c r="L66" s="11"/>
      <c r="M66" s="11"/>
      <c r="N66" s="30" t="s">
        <v>142</v>
      </c>
      <c r="O66" s="63">
        <f>I54</f>
        <v>61017</v>
      </c>
      <c r="P66" s="79"/>
      <c r="Q66" s="51"/>
      <c r="R66" s="51"/>
      <c r="S66" s="80"/>
      <c r="T66" s="68" t="s">
        <v>141</v>
      </c>
      <c r="U66" s="71">
        <f>R61</f>
        <v>107275.9366488839</v>
      </c>
      <c r="V66" s="51"/>
      <c r="W66" s="68" t="s">
        <v>152</v>
      </c>
      <c r="X66" s="70">
        <f>I69</f>
        <v>1496684</v>
      </c>
    </row>
    <row r="67" spans="1:24" ht="15.75">
      <c r="H67" s="39" t="s">
        <v>108</v>
      </c>
      <c r="I67" s="63">
        <f>ONSV_AUX_2021!G60</f>
        <v>67155</v>
      </c>
      <c r="J67" s="64">
        <f>I67-(L60*I57)</f>
        <v>67105.106497302026</v>
      </c>
      <c r="K67" s="11"/>
      <c r="L67" s="11"/>
      <c r="M67" s="11"/>
      <c r="N67" s="30" t="s">
        <v>145</v>
      </c>
      <c r="O67" s="63">
        <f>I58</f>
        <v>54415</v>
      </c>
      <c r="P67" s="79"/>
      <c r="Q67" s="51"/>
      <c r="R67" s="51"/>
      <c r="S67" s="51"/>
      <c r="T67" s="68" t="s">
        <v>153</v>
      </c>
      <c r="U67" s="71">
        <f>I66-J66</f>
        <v>161.79076189445914</v>
      </c>
      <c r="V67" s="51"/>
      <c r="W67" s="68" t="s">
        <v>154</v>
      </c>
      <c r="X67" s="70">
        <f>I70</f>
        <v>190732</v>
      </c>
    </row>
    <row r="68" spans="1:24" ht="15.75">
      <c r="H68" s="39" t="s">
        <v>109</v>
      </c>
      <c r="I68" s="63">
        <f>ONSV_AUX_2021!G61</f>
        <v>13050</v>
      </c>
      <c r="J68" s="10">
        <f>I68</f>
        <v>13050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1138613.60109852</v>
      </c>
      <c r="P68" s="79"/>
      <c r="Q68" s="51"/>
      <c r="R68" s="81"/>
      <c r="S68" s="51"/>
      <c r="T68" s="68" t="s">
        <v>149</v>
      </c>
      <c r="U68" s="75">
        <f>R64</f>
        <v>110327.27258922164</v>
      </c>
      <c r="V68" s="51"/>
      <c r="W68" s="51"/>
      <c r="X68" s="51"/>
    </row>
    <row r="69" spans="1:24" ht="15.75">
      <c r="H69" s="39" t="s">
        <v>110</v>
      </c>
      <c r="I69" s="63">
        <f>ONSV_AUX_2021!G62</f>
        <v>1496684</v>
      </c>
      <c r="J69" s="10">
        <f>I69</f>
        <v>1496684</v>
      </c>
      <c r="K69" s="11"/>
      <c r="L69" s="11"/>
      <c r="M69" s="11"/>
      <c r="N69" s="30" t="s">
        <v>150</v>
      </c>
      <c r="O69" s="63">
        <f>IF((J63-O66-O68-O67)&lt;0,0,(J63-O66-O68-O67))</f>
        <v>0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ONSV_AUX_2021!G63</f>
        <v>190732</v>
      </c>
      <c r="J70" s="10">
        <f>I70</f>
        <v>190732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3389836</v>
      </c>
    </row>
    <row r="71" spans="1:24" ht="15.75">
      <c r="H71" s="39" t="s">
        <v>112</v>
      </c>
      <c r="I71" s="63">
        <f>ONSV_AUX_2021!G64</f>
        <v>18737</v>
      </c>
      <c r="J71" s="10">
        <f>I71</f>
        <v>18737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ONSV_AUX_2021!G65</f>
        <v>42959</v>
      </c>
      <c r="J72" s="64">
        <f>I72-(L61*I57)</f>
        <v>42927.083166072487</v>
      </c>
      <c r="K72" s="12"/>
      <c r="L72" s="12"/>
      <c r="M72" s="12"/>
      <c r="N72" s="12"/>
      <c r="O72" s="12"/>
      <c r="P72" s="12"/>
      <c r="Q72" s="4"/>
      <c r="R72" s="4"/>
    </row>
    <row r="75" spans="1:24" s="36" customFormat="1" ht="15.75">
      <c r="A75" s="100" t="str">
        <f>"CEÁRA/"&amp;ONSV_AUX_2020!$A$1&amp;""</f>
        <v>CEÁRA/2020</v>
      </c>
      <c r="B75" s="101"/>
      <c r="C75" s="101"/>
      <c r="D75" s="101"/>
      <c r="E75" s="101"/>
      <c r="F75" s="10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ONSV_AUX_2020!G27</f>
        <v>60962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ONSV_AUX_2020!G28</f>
        <v>1347334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ONSV_AUX_2020!G29</f>
        <v>248663</v>
      </c>
      <c r="J81" s="9"/>
      <c r="K81" s="2" t="s">
        <v>122</v>
      </c>
      <c r="L81" s="63">
        <f>I88+I91+I92+I97</f>
        <v>1515397</v>
      </c>
      <c r="N81" s="30" t="s">
        <v>123</v>
      </c>
      <c r="O81" s="63">
        <f>J88+J97</f>
        <v>1244469.5684642375</v>
      </c>
      <c r="P81" s="67"/>
      <c r="Q81" s="68" t="s">
        <v>124</v>
      </c>
      <c r="R81" s="63">
        <f>J91+J92</f>
        <v>270313.43153576256</v>
      </c>
      <c r="S81" s="69"/>
      <c r="T81" s="68" t="s">
        <v>125</v>
      </c>
      <c r="U81" s="70">
        <f>O85</f>
        <v>37651.738297621021</v>
      </c>
      <c r="V81" s="51"/>
      <c r="W81" s="68" t="s">
        <v>126</v>
      </c>
      <c r="X81" s="71">
        <f>R87</f>
        <v>31437.35261053979</v>
      </c>
    </row>
    <row r="82" spans="8:24" ht="15.75">
      <c r="H82" s="38" t="s">
        <v>102</v>
      </c>
      <c r="I82" s="63">
        <f>ONSV_AUX_2020!G30</f>
        <v>614</v>
      </c>
      <c r="J82" s="9"/>
      <c r="K82" s="29"/>
      <c r="L82" s="65"/>
      <c r="M82" s="22"/>
      <c r="N82" s="30" t="s">
        <v>127</v>
      </c>
      <c r="O82" s="72">
        <f>J88/O81</f>
        <v>0.96974474968955171</v>
      </c>
      <c r="P82" s="67"/>
      <c r="Q82" s="73" t="s">
        <v>128</v>
      </c>
      <c r="R82" s="66">
        <f>J91/R81</f>
        <v>0.76117785839222252</v>
      </c>
      <c r="S82" s="74"/>
      <c r="T82" s="68" t="s">
        <v>129</v>
      </c>
      <c r="U82" s="70">
        <f>I97-J97</f>
        <v>15.261702378978953</v>
      </c>
      <c r="V82" s="51"/>
      <c r="W82" s="68" t="s">
        <v>130</v>
      </c>
      <c r="X82" s="71">
        <f>I92-J92</f>
        <v>26.16737528185331</v>
      </c>
    </row>
    <row r="83" spans="8:24" ht="15.75">
      <c r="H83" s="38" t="s">
        <v>16</v>
      </c>
      <c r="I83" s="63">
        <f>ONSV_AUX_2020!G31</f>
        <v>54463</v>
      </c>
      <c r="J83" s="9"/>
      <c r="K83" s="2" t="s">
        <v>131</v>
      </c>
      <c r="L83" s="66">
        <f>I88/L81</f>
        <v>0.79669353971269574</v>
      </c>
      <c r="M83" s="22"/>
      <c r="N83" s="30" t="s">
        <v>132</v>
      </c>
      <c r="O83" s="72">
        <f>J97/O81</f>
        <v>3.0255250310448251E-2</v>
      </c>
      <c r="P83" s="67"/>
      <c r="Q83" s="73" t="s">
        <v>133</v>
      </c>
      <c r="R83" s="66">
        <f>J92/R81</f>
        <v>0.23882214160777748</v>
      </c>
      <c r="S83" s="74"/>
      <c r="T83" s="68" t="s">
        <v>134</v>
      </c>
      <c r="U83" s="75">
        <f>O87</f>
        <v>0</v>
      </c>
      <c r="V83" s="76"/>
      <c r="W83" s="68" t="s">
        <v>135</v>
      </c>
      <c r="X83" s="75">
        <f>R90</f>
        <v>33119.480014178356</v>
      </c>
    </row>
    <row r="84" spans="8:24" ht="15.75">
      <c r="H84" s="38" t="s">
        <v>94</v>
      </c>
      <c r="I84" s="63">
        <f>ONSV_AUX_2020!G32</f>
        <v>1545276</v>
      </c>
      <c r="J84" s="10"/>
      <c r="K84" s="2" t="s">
        <v>2</v>
      </c>
      <c r="L84" s="66">
        <f>I91/L81</f>
        <v>0.13583239243577755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4.2617875051884094E-2</v>
      </c>
      <c r="M85" s="22"/>
      <c r="N85" s="30" t="s">
        <v>136</v>
      </c>
      <c r="O85" s="63">
        <f>IF(O83*I80&gt;J97,J97,O83*I80)</f>
        <v>37651.738297621021</v>
      </c>
      <c r="P85" s="79"/>
      <c r="Q85" s="68" t="s">
        <v>137</v>
      </c>
      <c r="R85" s="63">
        <f>I81-I89-I90-I93-I96</f>
        <v>131635</v>
      </c>
      <c r="S85" s="80"/>
      <c r="T85" s="68" t="s">
        <v>138</v>
      </c>
      <c r="U85" s="70">
        <f>O93</f>
        <v>1091392.8301666165</v>
      </c>
      <c r="V85" s="79"/>
      <c r="W85" s="68" t="s">
        <v>139</v>
      </c>
      <c r="X85" s="70">
        <f>I89</f>
        <v>76003</v>
      </c>
    </row>
    <row r="86" spans="8:24" ht="15.75">
      <c r="H86" s="26" t="s">
        <v>140</v>
      </c>
      <c r="K86" s="2" t="s">
        <v>0</v>
      </c>
      <c r="L86" s="66">
        <f>I97/L81</f>
        <v>2.4856192799642601E-2</v>
      </c>
      <c r="O86" s="51"/>
      <c r="P86" s="79"/>
      <c r="Q86" s="68" t="s">
        <v>141</v>
      </c>
      <c r="R86" s="63">
        <f>R82*R85</f>
        <v>100197.64738946021</v>
      </c>
      <c r="S86" s="51"/>
      <c r="T86" s="68" t="s">
        <v>142</v>
      </c>
      <c r="U86" s="70">
        <f>O91</f>
        <v>60962</v>
      </c>
      <c r="V86" s="69"/>
      <c r="W86" s="68" t="s">
        <v>143</v>
      </c>
      <c r="X86" s="70">
        <f>I90</f>
        <v>9625</v>
      </c>
    </row>
    <row r="87" spans="8:24" ht="15.75">
      <c r="K87" s="11"/>
      <c r="L87" s="11"/>
      <c r="M87" s="11"/>
      <c r="N87" s="30" t="s">
        <v>144</v>
      </c>
      <c r="O87" s="63">
        <f>J97-O85</f>
        <v>0</v>
      </c>
      <c r="P87" s="79"/>
      <c r="Q87" s="68" t="s">
        <v>126</v>
      </c>
      <c r="R87" s="63">
        <f>R83*R85</f>
        <v>31437.35261053979</v>
      </c>
      <c r="S87" s="51"/>
      <c r="T87" s="68" t="s">
        <v>145</v>
      </c>
      <c r="U87" s="70">
        <f>O92</f>
        <v>54463</v>
      </c>
      <c r="V87" s="74"/>
      <c r="W87" s="51"/>
      <c r="X87" s="65"/>
    </row>
    <row r="88" spans="8:24" ht="15.75">
      <c r="H88" s="39" t="s">
        <v>104</v>
      </c>
      <c r="I88" s="63">
        <f>ONSV_AUX_2020!G56</f>
        <v>1207307</v>
      </c>
      <c r="J88" s="64">
        <f>I88-(L83*I82)</f>
        <v>1206817.8301666165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489.16983338352293</v>
      </c>
      <c r="V88" s="74"/>
      <c r="W88" s="68" t="s">
        <v>147</v>
      </c>
      <c r="X88" s="70">
        <f>I96</f>
        <v>18489</v>
      </c>
    </row>
    <row r="89" spans="8:24" ht="15.75">
      <c r="H89" s="39" t="s">
        <v>105</v>
      </c>
      <c r="I89" s="63">
        <f>ONSV_AUX_2020!G57</f>
        <v>76003</v>
      </c>
      <c r="J89" s="10">
        <f>I89</f>
        <v>76003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105558.95152158421</v>
      </c>
      <c r="S89" s="51"/>
      <c r="T89" s="68" t="s">
        <v>150</v>
      </c>
      <c r="U89" s="75">
        <f>O94</f>
        <v>0</v>
      </c>
      <c r="V89" s="51"/>
      <c r="W89" s="68" t="s">
        <v>151</v>
      </c>
      <c r="X89" s="70">
        <f>I93</f>
        <v>12911</v>
      </c>
    </row>
    <row r="90" spans="8:24" ht="15.75">
      <c r="H90" s="39" t="s">
        <v>106</v>
      </c>
      <c r="I90" s="63">
        <f>ONSV_AUX_2020!G58</f>
        <v>9625</v>
      </c>
      <c r="J90" s="10">
        <f>I90</f>
        <v>9625</v>
      </c>
      <c r="K90" s="11"/>
      <c r="L90" s="11"/>
      <c r="M90" s="11"/>
      <c r="O90" s="76"/>
      <c r="P90" s="79"/>
      <c r="Q90" s="68" t="s">
        <v>135</v>
      </c>
      <c r="R90" s="63">
        <f>J92-R87</f>
        <v>33119.480014178356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ONSV_AUX_2020!G59</f>
        <v>205840</v>
      </c>
      <c r="J91" s="64">
        <f>I91-(L84*I82)</f>
        <v>205756.59891104442</v>
      </c>
      <c r="K91" s="11"/>
      <c r="L91" s="11"/>
      <c r="M91" s="11"/>
      <c r="N91" s="30" t="s">
        <v>142</v>
      </c>
      <c r="O91" s="63">
        <f>I79</f>
        <v>60962</v>
      </c>
      <c r="P91" s="79"/>
      <c r="Q91" s="51"/>
      <c r="R91" s="51"/>
      <c r="S91" s="80"/>
      <c r="T91" s="68" t="s">
        <v>141</v>
      </c>
      <c r="U91" s="71">
        <f>R86</f>
        <v>100197.64738946021</v>
      </c>
      <c r="V91" s="51"/>
      <c r="W91" s="68" t="s">
        <v>152</v>
      </c>
      <c r="X91" s="70">
        <f>I94</f>
        <v>1446854</v>
      </c>
    </row>
    <row r="92" spans="8:24" ht="15.75">
      <c r="H92" s="39" t="s">
        <v>108</v>
      </c>
      <c r="I92" s="63">
        <f>ONSV_AUX_2020!G60</f>
        <v>64583</v>
      </c>
      <c r="J92" s="64">
        <f>I92-(L85*I82)</f>
        <v>64556.832624718147</v>
      </c>
      <c r="K92" s="11"/>
      <c r="L92" s="11"/>
      <c r="M92" s="11"/>
      <c r="N92" s="30" t="s">
        <v>145</v>
      </c>
      <c r="O92" s="63">
        <f>I83</f>
        <v>54463</v>
      </c>
      <c r="P92" s="79"/>
      <c r="Q92" s="51"/>
      <c r="R92" s="51"/>
      <c r="S92" s="51"/>
      <c r="T92" s="68" t="s">
        <v>153</v>
      </c>
      <c r="U92" s="71">
        <f>I91-J91</f>
        <v>83.401088955579326</v>
      </c>
      <c r="V92" s="51"/>
      <c r="W92" s="68" t="s">
        <v>154</v>
      </c>
      <c r="X92" s="70">
        <f>I95</f>
        <v>180036</v>
      </c>
    </row>
    <row r="93" spans="8:24" ht="15.75">
      <c r="H93" s="39" t="s">
        <v>109</v>
      </c>
      <c r="I93" s="63">
        <f>ONSV_AUX_2020!G61</f>
        <v>12911</v>
      </c>
      <c r="J93" s="10">
        <f>I93</f>
        <v>12911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1091392.8301666165</v>
      </c>
      <c r="P93" s="79"/>
      <c r="Q93" s="51"/>
      <c r="R93" s="81"/>
      <c r="S93" s="51"/>
      <c r="T93" s="68" t="s">
        <v>149</v>
      </c>
      <c r="U93" s="75">
        <f>R89</f>
        <v>105558.95152158421</v>
      </c>
      <c r="V93" s="51"/>
      <c r="W93" s="51"/>
      <c r="X93" s="51"/>
    </row>
    <row r="94" spans="8:24" ht="15.75">
      <c r="H94" s="39" t="s">
        <v>110</v>
      </c>
      <c r="I94" s="63">
        <f>ONSV_AUX_2020!G62</f>
        <v>1446854</v>
      </c>
      <c r="J94" s="10">
        <f>I94</f>
        <v>1446854</v>
      </c>
      <c r="K94" s="11"/>
      <c r="L94" s="11"/>
      <c r="M94" s="11"/>
      <c r="N94" s="30" t="s">
        <v>150</v>
      </c>
      <c r="O94" s="63">
        <f>IF((J88-O91-O93-O92)&lt;0,0,(J88-O91-O93-O92))</f>
        <v>0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ONSV_AUX_2020!G63</f>
        <v>180036</v>
      </c>
      <c r="J95" s="10">
        <f>I95</f>
        <v>180036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3259315</v>
      </c>
    </row>
    <row r="96" spans="8:24" ht="15.75">
      <c r="H96" s="39" t="s">
        <v>112</v>
      </c>
      <c r="I96" s="63">
        <f>ONSV_AUX_2020!G64</f>
        <v>18489</v>
      </c>
      <c r="J96" s="10">
        <f>I96</f>
        <v>18489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ONSV_AUX_2020!G65</f>
        <v>37667</v>
      </c>
      <c r="J97" s="64">
        <f>I97-(L86*I82)</f>
        <v>37651.738297621021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6" customFormat="1" ht="15.75">
      <c r="A100" s="100" t="str">
        <f>"CEÁRA/"&amp;ONSV_AUX_2019!$A$1&amp;""</f>
        <v>CEÁRA/2019</v>
      </c>
      <c r="B100" s="101"/>
      <c r="C100" s="101"/>
      <c r="D100" s="101"/>
      <c r="E100" s="101"/>
      <c r="F100" s="101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ONSV_AUX_2019!G27</f>
        <v>60929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ONSV_AUX_2019!G28</f>
        <v>1271284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ONSV_AUX_2019!G29</f>
        <v>240228</v>
      </c>
      <c r="J106" s="9"/>
      <c r="K106" s="2" t="s">
        <v>122</v>
      </c>
      <c r="L106" s="63">
        <f>I113+I116+I117+I122</f>
        <v>1463905</v>
      </c>
      <c r="N106" s="30" t="s">
        <v>123</v>
      </c>
      <c r="O106" s="63">
        <f>J113+J122</f>
        <v>1202497.2030247864</v>
      </c>
      <c r="P106" s="67"/>
      <c r="Q106" s="68" t="s">
        <v>124</v>
      </c>
      <c r="R106" s="63">
        <f>J116+J117</f>
        <v>261120.79697521357</v>
      </c>
      <c r="S106" s="69"/>
      <c r="T106" s="68" t="s">
        <v>125</v>
      </c>
      <c r="U106" s="70">
        <f>O110</f>
        <v>35159.105671474586</v>
      </c>
      <c r="V106" s="51"/>
      <c r="W106" s="68" t="s">
        <v>126</v>
      </c>
      <c r="X106" s="71">
        <f>R112</f>
        <v>30283.617543228218</v>
      </c>
    </row>
    <row r="107" spans="1:24" ht="15.75">
      <c r="H107" s="38" t="s">
        <v>102</v>
      </c>
      <c r="I107" s="63">
        <f>ONSV_AUX_2019!G30</f>
        <v>287</v>
      </c>
      <c r="J107" s="9"/>
      <c r="K107" s="29"/>
      <c r="L107" s="65"/>
      <c r="M107" s="22"/>
      <c r="N107" s="30" t="s">
        <v>127</v>
      </c>
      <c r="O107" s="72">
        <f>J113/O106</f>
        <v>0.97076159047768718</v>
      </c>
      <c r="P107" s="67"/>
      <c r="Q107" s="73" t="s">
        <v>128</v>
      </c>
      <c r="R107" s="66">
        <f>J116/R106</f>
        <v>0.75934250225904765</v>
      </c>
      <c r="S107" s="74"/>
      <c r="T107" s="68" t="s">
        <v>129</v>
      </c>
      <c r="U107" s="70">
        <f>I122-J122</f>
        <v>6.8943285254135844</v>
      </c>
      <c r="V107" s="51"/>
      <c r="W107" s="68" t="s">
        <v>130</v>
      </c>
      <c r="X107" s="71">
        <f>I117-J117</f>
        <v>12.322391821871861</v>
      </c>
    </row>
    <row r="108" spans="1:24" ht="15.75">
      <c r="H108" s="38" t="s">
        <v>16</v>
      </c>
      <c r="I108" s="63">
        <f>ONSV_AUX_2019!G31</f>
        <v>51255</v>
      </c>
      <c r="J108" s="9"/>
      <c r="K108" s="2" t="s">
        <v>131</v>
      </c>
      <c r="L108" s="66">
        <f>I113/L106</f>
        <v>0.79757019751964775</v>
      </c>
      <c r="M108" s="22"/>
      <c r="N108" s="30" t="s">
        <v>132</v>
      </c>
      <c r="O108" s="72">
        <f>J122/O106</f>
        <v>2.9238409522312936E-2</v>
      </c>
      <c r="P108" s="67"/>
      <c r="Q108" s="73" t="s">
        <v>133</v>
      </c>
      <c r="R108" s="66">
        <f>J117/R106</f>
        <v>0.24065749774095233</v>
      </c>
      <c r="S108" s="74"/>
      <c r="T108" s="68" t="s">
        <v>134</v>
      </c>
      <c r="U108" s="75">
        <f>O112</f>
        <v>0</v>
      </c>
      <c r="V108" s="76"/>
      <c r="W108" s="68" t="s">
        <v>135</v>
      </c>
      <c r="X108" s="75">
        <f>R115</f>
        <v>32557.06006494991</v>
      </c>
    </row>
    <row r="109" spans="1:24" ht="15.75">
      <c r="H109" s="38" t="s">
        <v>94</v>
      </c>
      <c r="I109" s="63">
        <f>ONSV_AUX_2019!G32</f>
        <v>1527832</v>
      </c>
      <c r="J109" s="10"/>
      <c r="K109" s="2" t="s">
        <v>2</v>
      </c>
      <c r="L109" s="66">
        <f>I116/L106</f>
        <v>0.13547258872672749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4.2935163142417028E-2</v>
      </c>
      <c r="M110" s="22"/>
      <c r="N110" s="30" t="s">
        <v>136</v>
      </c>
      <c r="O110" s="63">
        <f>IF(O108*I105&gt;J122,J122,O108*I105)</f>
        <v>35159.105671474586</v>
      </c>
      <c r="P110" s="79"/>
      <c r="Q110" s="68" t="s">
        <v>137</v>
      </c>
      <c r="R110" s="63">
        <f>I106-I114-I115-I118-I121</f>
        <v>125837</v>
      </c>
      <c r="S110" s="80"/>
      <c r="T110" s="68" t="s">
        <v>138</v>
      </c>
      <c r="U110" s="70">
        <f>O118</f>
        <v>1055154.097353312</v>
      </c>
      <c r="V110" s="79"/>
      <c r="W110" s="68" t="s">
        <v>139</v>
      </c>
      <c r="X110" s="70">
        <f>I114</f>
        <v>74750</v>
      </c>
    </row>
    <row r="111" spans="1:24" ht="15.75">
      <c r="H111" s="26" t="s">
        <v>140</v>
      </c>
      <c r="K111" s="2" t="s">
        <v>0</v>
      </c>
      <c r="L111" s="66">
        <f>I122/L106</f>
        <v>2.4022050611207695E-2</v>
      </c>
      <c r="O111" s="51"/>
      <c r="P111" s="79"/>
      <c r="Q111" s="68" t="s">
        <v>141</v>
      </c>
      <c r="R111" s="63">
        <f>R107*R110</f>
        <v>95553.382456771782</v>
      </c>
      <c r="S111" s="51"/>
      <c r="T111" s="68" t="s">
        <v>142</v>
      </c>
      <c r="U111" s="70">
        <f>O116</f>
        <v>60929</v>
      </c>
      <c r="V111" s="69"/>
      <c r="W111" s="68" t="s">
        <v>143</v>
      </c>
      <c r="X111" s="70">
        <f>I115</f>
        <v>8957</v>
      </c>
    </row>
    <row r="112" spans="1:24" ht="15.75">
      <c r="K112" s="11"/>
      <c r="L112" s="11"/>
      <c r="M112" s="11"/>
      <c r="N112" s="30" t="s">
        <v>144</v>
      </c>
      <c r="O112" s="63">
        <f>J122-O110</f>
        <v>0</v>
      </c>
      <c r="P112" s="79"/>
      <c r="Q112" s="68" t="s">
        <v>126</v>
      </c>
      <c r="R112" s="63">
        <f>R108*R110</f>
        <v>30283.617543228218</v>
      </c>
      <c r="S112" s="51"/>
      <c r="T112" s="68" t="s">
        <v>145</v>
      </c>
      <c r="U112" s="70">
        <f>O117</f>
        <v>51255</v>
      </c>
      <c r="V112" s="74"/>
      <c r="W112" s="51"/>
      <c r="X112" s="65"/>
    </row>
    <row r="113" spans="8:24" ht="15.75">
      <c r="H113" s="39" t="s">
        <v>104</v>
      </c>
      <c r="I113" s="63">
        <f>ONSV_AUX_2019!G56</f>
        <v>1167567</v>
      </c>
      <c r="J113" s="64">
        <f>I113-(L108*I107)</f>
        <v>1167338.097353312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228.90264668804593</v>
      </c>
      <c r="V113" s="74"/>
      <c r="W113" s="68" t="s">
        <v>147</v>
      </c>
      <c r="X113" s="70">
        <f>I121</f>
        <v>18093</v>
      </c>
    </row>
    <row r="114" spans="8:24" ht="15.75">
      <c r="H114" s="39" t="s">
        <v>105</v>
      </c>
      <c r="I114" s="63">
        <f>ONSV_AUX_2019!G57</f>
        <v>74750</v>
      </c>
      <c r="J114" s="10">
        <f>I114</f>
        <v>74750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102726.73691026364</v>
      </c>
      <c r="S114" s="51"/>
      <c r="T114" s="68" t="s">
        <v>150</v>
      </c>
      <c r="U114" s="75">
        <f>O119</f>
        <v>0</v>
      </c>
      <c r="V114" s="51"/>
      <c r="W114" s="68" t="s">
        <v>151</v>
      </c>
      <c r="X114" s="70">
        <f>I118</f>
        <v>12591</v>
      </c>
    </row>
    <row r="115" spans="8:24" ht="15.75">
      <c r="H115" s="39" t="s">
        <v>106</v>
      </c>
      <c r="I115" s="63">
        <f>ONSV_AUX_2019!G58</f>
        <v>8957</v>
      </c>
      <c r="J115" s="10">
        <f>I115</f>
        <v>8957</v>
      </c>
      <c r="K115" s="11"/>
      <c r="L115" s="11"/>
      <c r="M115" s="11"/>
      <c r="O115" s="76"/>
      <c r="P115" s="79"/>
      <c r="Q115" s="68" t="s">
        <v>135</v>
      </c>
      <c r="R115" s="63">
        <f>J117-R112</f>
        <v>32557.06006494991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ONSV_AUX_2019!G59</f>
        <v>198319</v>
      </c>
      <c r="J116" s="64">
        <f>I116-(L109*I107)</f>
        <v>198280.11936703543</v>
      </c>
      <c r="K116" s="11"/>
      <c r="L116" s="11"/>
      <c r="M116" s="11"/>
      <c r="N116" s="30" t="s">
        <v>142</v>
      </c>
      <c r="O116" s="63">
        <f>I104</f>
        <v>60929</v>
      </c>
      <c r="P116" s="79"/>
      <c r="Q116" s="51"/>
      <c r="R116" s="51"/>
      <c r="S116" s="80"/>
      <c r="T116" s="68" t="s">
        <v>141</v>
      </c>
      <c r="U116" s="71">
        <f>R111</f>
        <v>95553.382456771782</v>
      </c>
      <c r="V116" s="51"/>
      <c r="W116" s="68" t="s">
        <v>152</v>
      </c>
      <c r="X116" s="70">
        <f>I119</f>
        <v>1404124</v>
      </c>
    </row>
    <row r="117" spans="8:24" ht="15.75">
      <c r="H117" s="39" t="s">
        <v>108</v>
      </c>
      <c r="I117" s="63">
        <f>ONSV_AUX_2019!G60</f>
        <v>62853</v>
      </c>
      <c r="J117" s="64">
        <f>I117-(L110*I107)</f>
        <v>62840.677608178128</v>
      </c>
      <c r="K117" s="11"/>
      <c r="L117" s="11"/>
      <c r="M117" s="11"/>
      <c r="N117" s="30" t="s">
        <v>145</v>
      </c>
      <c r="O117" s="63">
        <f>I108</f>
        <v>51255</v>
      </c>
      <c r="P117" s="79"/>
      <c r="Q117" s="51"/>
      <c r="R117" s="51"/>
      <c r="S117" s="51"/>
      <c r="T117" s="68" t="s">
        <v>153</v>
      </c>
      <c r="U117" s="71">
        <f>I116-J116</f>
        <v>38.880632964574033</v>
      </c>
      <c r="V117" s="51"/>
      <c r="W117" s="68" t="s">
        <v>154</v>
      </c>
      <c r="X117" s="70">
        <f>I120</f>
        <v>171526</v>
      </c>
    </row>
    <row r="118" spans="8:24" ht="15.75">
      <c r="H118" s="39" t="s">
        <v>109</v>
      </c>
      <c r="I118" s="63">
        <f>ONSV_AUX_2019!G61</f>
        <v>12591</v>
      </c>
      <c r="J118" s="10">
        <f>I118</f>
        <v>12591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1055154.097353312</v>
      </c>
      <c r="P118" s="79"/>
      <c r="Q118" s="51"/>
      <c r="R118" s="81"/>
      <c r="S118" s="51"/>
      <c r="T118" s="68" t="s">
        <v>149</v>
      </c>
      <c r="U118" s="75">
        <f>R114</f>
        <v>102726.73691026364</v>
      </c>
      <c r="V118" s="51"/>
      <c r="W118" s="51"/>
      <c r="X118" s="51"/>
    </row>
    <row r="119" spans="8:24" ht="15.75">
      <c r="H119" s="39" t="s">
        <v>110</v>
      </c>
      <c r="I119" s="63">
        <f>ONSV_AUX_2019!G62</f>
        <v>1404124</v>
      </c>
      <c r="J119" s="10">
        <f>I119</f>
        <v>1404124</v>
      </c>
      <c r="K119" s="11"/>
      <c r="L119" s="11"/>
      <c r="M119" s="11"/>
      <c r="N119" s="30" t="s">
        <v>150</v>
      </c>
      <c r="O119" s="63">
        <f>IF((J113-O116-O118-O117)&lt;0,0,(J113-O116-O118-O117))</f>
        <v>0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ONSV_AUX_2019!G63</f>
        <v>171526</v>
      </c>
      <c r="J120" s="10">
        <f>I120</f>
        <v>171526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3153946</v>
      </c>
    </row>
    <row r="121" spans="8:24" ht="15.75">
      <c r="H121" s="39" t="s">
        <v>112</v>
      </c>
      <c r="I121" s="63">
        <f>ONSV_AUX_2019!G64</f>
        <v>18093</v>
      </c>
      <c r="J121" s="10">
        <f>I121</f>
        <v>18093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ONSV_AUX_2019!G65</f>
        <v>35166</v>
      </c>
      <c r="J122" s="64">
        <f>I122-(L111*I107)</f>
        <v>35159.105671474586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00:F100"/>
    <mergeCell ref="K104:L104"/>
    <mergeCell ref="A75:F75"/>
    <mergeCell ref="K54:L54"/>
    <mergeCell ref="K79:L79"/>
    <mergeCell ref="T52:X52"/>
    <mergeCell ref="A1:F1"/>
    <mergeCell ref="Q4:R4"/>
    <mergeCell ref="T4:X4"/>
    <mergeCell ref="K5:L5"/>
    <mergeCell ref="T27:X27"/>
    <mergeCell ref="K29:L29"/>
    <mergeCell ref="A25:F25"/>
    <mergeCell ref="A50:F5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39997558519241921"/>
  </sheetPr>
  <dimension ref="A1:X122"/>
  <sheetViews>
    <sheetView showGridLines="0" topLeftCell="A88" zoomScale="90" zoomScaleNormal="90" workbookViewId="0">
      <selection activeCell="F51" sqref="F51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</cols>
  <sheetData>
    <row r="1" spans="1:24" s="33" customFormat="1" ht="15.75">
      <c r="A1" s="100" t="str">
        <f>"DISTRITO FEDERAL/"&amp;ONSV_AUX_2023!$A$1&amp;""</f>
        <v>DISTRITO FEDERAL/2023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ONSV_AUX_2023!H27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ONSV_AUX_2023!H28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ONSV_AUX_2023!H29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ONSV_AUX_2023!H30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ONSV_AUX_2023!H31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ONSV_AUX_2023!H32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ONSV_AUX_2023!H56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ONSV_AUX_2023!H57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ONSV_AUX_2023!H58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ONSV_AUX_2023!H59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ONSV_AUX_2023!H60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ONSV_AUX_2023!H61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ONSV_AUX_2023!H62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ONSV_AUX_2023!H63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ONSV_AUX_2023!H64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ONSV_AUX_2023!H65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6" customFormat="1" ht="15.75">
      <c r="A25" s="100" t="str">
        <f>"DISTRITO FEDERAL/"&amp;ONSV_AUX_2022!$A$1&amp;""</f>
        <v>DISTRITO FEDERAL/2022</v>
      </c>
      <c r="B25" s="101"/>
      <c r="C25" s="101"/>
      <c r="D25" s="101"/>
      <c r="E25" s="101"/>
      <c r="F25" s="10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5.75">
      <c r="A26" s="3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ONSV_AUX_2022!H27</f>
        <v>58124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ONSV_AUX_2022!H28</f>
        <v>1098422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ONSV_AUX_2022!H29</f>
        <v>129559</v>
      </c>
      <c r="J31" s="9"/>
      <c r="K31" s="2" t="s">
        <v>122</v>
      </c>
      <c r="L31" s="63">
        <f>I38+I41+I42+I47</f>
        <v>1668558</v>
      </c>
      <c r="N31" s="30" t="s">
        <v>123</v>
      </c>
      <c r="O31" s="63">
        <f>J38+J47</f>
        <v>1418006.9584167886</v>
      </c>
      <c r="P31" s="67"/>
      <c r="Q31" s="68" t="s">
        <v>124</v>
      </c>
      <c r="R31" s="63">
        <f>J41+J42</f>
        <v>245827.04158321139</v>
      </c>
      <c r="S31" s="69"/>
      <c r="T31" s="68" t="s">
        <v>125</v>
      </c>
      <c r="U31" s="70">
        <f>O35</f>
        <v>31426.344585533527</v>
      </c>
      <c r="V31" s="51"/>
      <c r="W31" s="68" t="s">
        <v>126</v>
      </c>
      <c r="X31" s="71">
        <f>R37</f>
        <v>31855.385571443057</v>
      </c>
    </row>
    <row r="32" spans="1:24" ht="15.75">
      <c r="H32" s="38" t="s">
        <v>102</v>
      </c>
      <c r="I32" s="63">
        <f>ONSV_AUX_2022!H30</f>
        <v>4724</v>
      </c>
      <c r="J32" s="9"/>
      <c r="K32" s="29"/>
      <c r="L32" s="65"/>
      <c r="M32" s="22"/>
      <c r="N32" s="30" t="s">
        <v>127</v>
      </c>
      <c r="O32" s="72">
        <f>J38/O31</f>
        <v>0.97138955284441364</v>
      </c>
      <c r="P32" s="67"/>
      <c r="Q32" s="73" t="s">
        <v>128</v>
      </c>
      <c r="R32" s="66">
        <f>J41/R31</f>
        <v>0.59762295913193386</v>
      </c>
      <c r="S32" s="74"/>
      <c r="T32" s="68" t="s">
        <v>129</v>
      </c>
      <c r="U32" s="70">
        <f>I47-J47</f>
        <v>115.18684996266529</v>
      </c>
      <c r="V32" s="51"/>
      <c r="W32" s="68" t="s">
        <v>130</v>
      </c>
      <c r="X32" s="71">
        <f>I42-J42</f>
        <v>280.84244239637337</v>
      </c>
    </row>
    <row r="33" spans="8:24" ht="15.75">
      <c r="H33" s="38" t="s">
        <v>16</v>
      </c>
      <c r="I33" s="63">
        <f>ONSV_AUX_2022!H31</f>
        <v>1658</v>
      </c>
      <c r="J33" s="9"/>
      <c r="K33" s="2" t="s">
        <v>131</v>
      </c>
      <c r="L33" s="66">
        <f>I38/L31</f>
        <v>0.82786933387991313</v>
      </c>
      <c r="M33" s="22"/>
      <c r="N33" s="30" t="s">
        <v>132</v>
      </c>
      <c r="O33" s="72">
        <f>J47/O31</f>
        <v>2.8610447155586402E-2</v>
      </c>
      <c r="P33" s="67"/>
      <c r="Q33" s="73" t="s">
        <v>133</v>
      </c>
      <c r="R33" s="66">
        <f>J42/R31</f>
        <v>0.40237704086806608</v>
      </c>
      <c r="S33" s="74"/>
      <c r="T33" s="68" t="s">
        <v>134</v>
      </c>
      <c r="U33" s="75">
        <f>O37</f>
        <v>9143.468564503808</v>
      </c>
      <c r="V33" s="76"/>
      <c r="W33" s="68" t="s">
        <v>135</v>
      </c>
      <c r="X33" s="75">
        <f>R40</f>
        <v>67059.771986160573</v>
      </c>
    </row>
    <row r="34" spans="8:24" ht="15.75">
      <c r="H34" s="38" t="s">
        <v>94</v>
      </c>
      <c r="I34" s="63">
        <f>ONSV_AUX_2022!H32</f>
        <v>667467</v>
      </c>
      <c r="J34" s="10"/>
      <c r="K34" s="2" t="s">
        <v>2</v>
      </c>
      <c r="L34" s="66">
        <f>I41/L31</f>
        <v>8.8297200337057513E-2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5.9450135985683446E-2</v>
      </c>
      <c r="M35" s="22"/>
      <c r="N35" s="30" t="s">
        <v>136</v>
      </c>
      <c r="O35" s="63">
        <f>IF(O33*I30&gt;J47,J47,O33*I30)</f>
        <v>31426.344585533527</v>
      </c>
      <c r="P35" s="79"/>
      <c r="Q35" s="68" t="s">
        <v>137</v>
      </c>
      <c r="R35" s="63">
        <f>I31-I39-I40-I43-I46</f>
        <v>79168</v>
      </c>
      <c r="S35" s="80"/>
      <c r="T35" s="68" t="s">
        <v>138</v>
      </c>
      <c r="U35" s="70">
        <f>O43</f>
        <v>1066995.6554144665</v>
      </c>
      <c r="V35" s="79"/>
      <c r="W35" s="68" t="s">
        <v>139</v>
      </c>
      <c r="X35" s="70">
        <f>I39</f>
        <v>26421</v>
      </c>
    </row>
    <row r="36" spans="8:24" ht="15.75">
      <c r="H36" s="26" t="s">
        <v>140</v>
      </c>
      <c r="K36" s="2" t="s">
        <v>0</v>
      </c>
      <c r="L36" s="66">
        <f>I47/L31</f>
        <v>2.4383329797345973E-2</v>
      </c>
      <c r="O36" s="51"/>
      <c r="P36" s="79"/>
      <c r="Q36" s="68" t="s">
        <v>141</v>
      </c>
      <c r="R36" s="63">
        <f>R32*R35</f>
        <v>47312.614428556939</v>
      </c>
      <c r="S36" s="51"/>
      <c r="T36" s="68" t="s">
        <v>142</v>
      </c>
      <c r="U36" s="70">
        <f>O41</f>
        <v>58124</v>
      </c>
      <c r="V36" s="69"/>
      <c r="W36" s="68" t="s">
        <v>143</v>
      </c>
      <c r="X36" s="70">
        <f>I40</f>
        <v>4161</v>
      </c>
    </row>
    <row r="37" spans="8:24" ht="15.75">
      <c r="K37" s="11"/>
      <c r="L37" s="11"/>
      <c r="M37" s="11"/>
      <c r="N37" s="30" t="s">
        <v>144</v>
      </c>
      <c r="O37" s="63">
        <f>J47-O35</f>
        <v>9143.468564503808</v>
      </c>
      <c r="P37" s="79"/>
      <c r="Q37" s="68" t="s">
        <v>126</v>
      </c>
      <c r="R37" s="63">
        <f>R33*R35</f>
        <v>31855.385571443057</v>
      </c>
      <c r="S37" s="51"/>
      <c r="T37" s="68" t="s">
        <v>145</v>
      </c>
      <c r="U37" s="70">
        <f>O42</f>
        <v>1658</v>
      </c>
      <c r="V37" s="74"/>
      <c r="W37" s="51"/>
      <c r="X37" s="65"/>
    </row>
    <row r="38" spans="8:24" ht="15.75">
      <c r="H38" s="39" t="s">
        <v>104</v>
      </c>
      <c r="I38" s="63">
        <f>ONSV_AUX_2022!H56</f>
        <v>1381348</v>
      </c>
      <c r="J38" s="64">
        <f>I38-(L33*I32)</f>
        <v>1377437.1452667513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3910.8547332487069</v>
      </c>
      <c r="V38" s="74"/>
      <c r="W38" s="68" t="s">
        <v>147</v>
      </c>
      <c r="X38" s="70">
        <f>I46</f>
        <v>13335</v>
      </c>
    </row>
    <row r="39" spans="8:24" ht="15.75">
      <c r="H39" s="39" t="s">
        <v>105</v>
      </c>
      <c r="I39" s="63">
        <f>ONSV_AUX_2022!H57</f>
        <v>26421</v>
      </c>
      <c r="J39" s="10">
        <f>I39</f>
        <v>26421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99599.269597050821</v>
      </c>
      <c r="S39" s="51"/>
      <c r="T39" s="68" t="s">
        <v>150</v>
      </c>
      <c r="U39" s="75">
        <f>O44</f>
        <v>250659.48985228478</v>
      </c>
      <c r="V39" s="51"/>
      <c r="W39" s="68" t="s">
        <v>151</v>
      </c>
      <c r="X39" s="70">
        <f>I43</f>
        <v>6474</v>
      </c>
    </row>
    <row r="40" spans="8:24" ht="15.75">
      <c r="H40" s="39" t="s">
        <v>106</v>
      </c>
      <c r="I40" s="63">
        <f>ONSV_AUX_2022!H58</f>
        <v>4161</v>
      </c>
      <c r="J40" s="10">
        <f>I40</f>
        <v>4161</v>
      </c>
      <c r="K40" s="11"/>
      <c r="L40" s="11"/>
      <c r="M40" s="11"/>
      <c r="O40" s="76"/>
      <c r="P40" s="79"/>
      <c r="Q40" s="68" t="s">
        <v>135</v>
      </c>
      <c r="R40" s="63">
        <f>J42-R37</f>
        <v>67059.771986160573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ONSV_AUX_2022!H59</f>
        <v>147329</v>
      </c>
      <c r="J41" s="64">
        <f>I41-(L34*I32)</f>
        <v>146911.88402560775</v>
      </c>
      <c r="K41" s="11"/>
      <c r="L41" s="11"/>
      <c r="M41" s="11"/>
      <c r="N41" s="30" t="s">
        <v>142</v>
      </c>
      <c r="O41" s="63">
        <f>I29</f>
        <v>58124</v>
      </c>
      <c r="P41" s="79"/>
      <c r="Q41" s="51"/>
      <c r="R41" s="51"/>
      <c r="S41" s="80"/>
      <c r="T41" s="68" t="s">
        <v>141</v>
      </c>
      <c r="U41" s="71">
        <f>R36</f>
        <v>47312.614428556939</v>
      </c>
      <c r="V41" s="51"/>
      <c r="W41" s="68" t="s">
        <v>152</v>
      </c>
      <c r="X41" s="70">
        <f>I44</f>
        <v>225475</v>
      </c>
    </row>
    <row r="42" spans="8:24" ht="15.75">
      <c r="H42" s="39" t="s">
        <v>108</v>
      </c>
      <c r="I42" s="63">
        <f>ONSV_AUX_2022!H60</f>
        <v>99196</v>
      </c>
      <c r="J42" s="64">
        <f>I42-(L35*I32)</f>
        <v>98915.157557603627</v>
      </c>
      <c r="K42" s="11"/>
      <c r="L42" s="11"/>
      <c r="M42" s="11"/>
      <c r="N42" s="30" t="s">
        <v>145</v>
      </c>
      <c r="O42" s="63">
        <f>I33</f>
        <v>1658</v>
      </c>
      <c r="P42" s="79"/>
      <c r="Q42" s="51"/>
      <c r="R42" s="51"/>
      <c r="S42" s="51"/>
      <c r="T42" s="68" t="s">
        <v>153</v>
      </c>
      <c r="U42" s="71">
        <f>I41-J41</f>
        <v>417.11597439224715</v>
      </c>
      <c r="V42" s="51"/>
      <c r="W42" s="68" t="s">
        <v>154</v>
      </c>
      <c r="X42" s="70">
        <f>I45</f>
        <v>25294</v>
      </c>
    </row>
    <row r="43" spans="8:24" ht="15.75">
      <c r="H43" s="39" t="s">
        <v>109</v>
      </c>
      <c r="I43" s="63">
        <f>ONSV_AUX_2022!H61</f>
        <v>6474</v>
      </c>
      <c r="J43" s="10">
        <f>I43</f>
        <v>6474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1066995.6554144665</v>
      </c>
      <c r="P43" s="79"/>
      <c r="Q43" s="51"/>
      <c r="R43" s="81"/>
      <c r="S43" s="51"/>
      <c r="T43" s="68" t="s">
        <v>149</v>
      </c>
      <c r="U43" s="75">
        <f>R39</f>
        <v>99599.269597050821</v>
      </c>
      <c r="V43" s="51"/>
      <c r="W43" s="51"/>
      <c r="X43" s="51"/>
    </row>
    <row r="44" spans="8:24" ht="15.75">
      <c r="H44" s="39" t="s">
        <v>110</v>
      </c>
      <c r="I44" s="63">
        <f>ONSV_AUX_2022!H62</f>
        <v>225475</v>
      </c>
      <c r="J44" s="10">
        <f>I44</f>
        <v>225475</v>
      </c>
      <c r="K44" s="11"/>
      <c r="L44" s="11"/>
      <c r="M44" s="11"/>
      <c r="N44" s="30" t="s">
        <v>150</v>
      </c>
      <c r="O44" s="63">
        <f>IF((J38-O41-O43-O42)&lt;0,0,(J38-O41-O43-O42))</f>
        <v>250659.48985228478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ONSV_AUX_2022!H63</f>
        <v>25294</v>
      </c>
      <c r="J45" s="10">
        <f>I45</f>
        <v>25294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1969718</v>
      </c>
    </row>
    <row r="46" spans="8:24" ht="15.75">
      <c r="H46" s="39" t="s">
        <v>112</v>
      </c>
      <c r="I46" s="63">
        <f>ONSV_AUX_2022!H64</f>
        <v>13335</v>
      </c>
      <c r="J46" s="10">
        <f>I46</f>
        <v>13335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ONSV_AUX_2022!H65</f>
        <v>40685</v>
      </c>
      <c r="J47" s="64">
        <f>I47-(L36*I32)</f>
        <v>40569.813150037335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6" customFormat="1" ht="15.75">
      <c r="A50" s="100" t="str">
        <f>"DISTRITO FEDERAL/"&amp;ONSV_AUX_2021!$A$1&amp;""</f>
        <v>DISTRITO FEDERAL/2021</v>
      </c>
      <c r="B50" s="101"/>
      <c r="C50" s="101"/>
      <c r="D50" s="101"/>
      <c r="E50" s="101"/>
      <c r="F50" s="101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ONSV_AUX_2021!H27</f>
        <v>58036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ONSV_AUX_2021!H28</f>
        <v>1065789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ONSV_AUX_2021!H29</f>
        <v>123770</v>
      </c>
      <c r="J56" s="9"/>
      <c r="K56" s="2" t="s">
        <v>122</v>
      </c>
      <c r="L56" s="63">
        <f>I63+I66+I67+I72</f>
        <v>1642087</v>
      </c>
      <c r="N56" s="30" t="s">
        <v>123</v>
      </c>
      <c r="O56" s="63">
        <f>J63+J72</f>
        <v>1402228.5869189634</v>
      </c>
      <c r="P56" s="67"/>
      <c r="Q56" s="68" t="s">
        <v>124</v>
      </c>
      <c r="R56" s="63">
        <f>J66+J67</f>
        <v>237165.4130810365</v>
      </c>
      <c r="S56" s="69"/>
      <c r="T56" s="68" t="s">
        <v>125</v>
      </c>
      <c r="U56" s="70">
        <f>O60</f>
        <v>27461.748048460275</v>
      </c>
      <c r="V56" s="51"/>
      <c r="W56" s="68" t="s">
        <v>126</v>
      </c>
      <c r="X56" s="71">
        <f>R62</f>
        <v>30001.666199406453</v>
      </c>
    </row>
    <row r="57" spans="1:24" ht="15.75">
      <c r="H57" s="38" t="s">
        <v>102</v>
      </c>
      <c r="I57" s="63">
        <f>ONSV_AUX_2021!H30</f>
        <v>2693</v>
      </c>
      <c r="J57" s="9"/>
      <c r="K57" s="29"/>
      <c r="L57" s="65"/>
      <c r="M57" s="22"/>
      <c r="N57" s="30" t="s">
        <v>127</v>
      </c>
      <c r="O57" s="72">
        <f>J63/O56</f>
        <v>0.9742334101323431</v>
      </c>
      <c r="P57" s="67"/>
      <c r="Q57" s="73" t="s">
        <v>128</v>
      </c>
      <c r="R57" s="66">
        <f>J66/R56</f>
        <v>0.59635031887352397</v>
      </c>
      <c r="S57" s="74"/>
      <c r="T57" s="68" t="s">
        <v>129</v>
      </c>
      <c r="U57" s="70">
        <f>I72-J72</f>
        <v>59.351100154861342</v>
      </c>
      <c r="V57" s="51"/>
      <c r="W57" s="68" t="s">
        <v>130</v>
      </c>
      <c r="X57" s="71">
        <f>I67-J67</f>
        <v>157.25663561065448</v>
      </c>
    </row>
    <row r="58" spans="1:24" ht="15.75">
      <c r="H58" s="38" t="s">
        <v>16</v>
      </c>
      <c r="I58" s="63">
        <f>ONSV_AUX_2021!H31</f>
        <v>1583</v>
      </c>
      <c r="J58" s="9"/>
      <c r="K58" s="2" t="s">
        <v>131</v>
      </c>
      <c r="L58" s="66">
        <f>I63/L56</f>
        <v>0.83329446003774466</v>
      </c>
      <c r="M58" s="22"/>
      <c r="N58" s="30" t="s">
        <v>132</v>
      </c>
      <c r="O58" s="72">
        <f>J72/O56</f>
        <v>2.5766589867656987E-2</v>
      </c>
      <c r="P58" s="67"/>
      <c r="Q58" s="73" t="s">
        <v>133</v>
      </c>
      <c r="R58" s="66">
        <f>J67/R56</f>
        <v>0.40364968112647598</v>
      </c>
      <c r="S58" s="74"/>
      <c r="T58" s="68" t="s">
        <v>134</v>
      </c>
      <c r="U58" s="75">
        <f>O62</f>
        <v>8668.9008513848639</v>
      </c>
      <c r="V58" s="76"/>
      <c r="W58" s="68" t="s">
        <v>135</v>
      </c>
      <c r="X58" s="75">
        <f>R65</f>
        <v>65730.077164982897</v>
      </c>
    </row>
    <row r="59" spans="1:24" ht="15.75">
      <c r="H59" s="38" t="s">
        <v>94</v>
      </c>
      <c r="I59" s="63">
        <f>ONSV_AUX_2021!H32</f>
        <v>664894</v>
      </c>
      <c r="J59" s="10"/>
      <c r="K59" s="2" t="s">
        <v>2</v>
      </c>
      <c r="L59" s="66">
        <f>I66/L56</f>
        <v>8.6271921037070515E-2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5.839459176036349E-2</v>
      </c>
      <c r="M60" s="22"/>
      <c r="N60" s="30" t="s">
        <v>136</v>
      </c>
      <c r="O60" s="63">
        <f>IF(O58*I55&gt;J72,J72,O58*I55)</f>
        <v>27461.748048460275</v>
      </c>
      <c r="P60" s="79"/>
      <c r="Q60" s="68" t="s">
        <v>137</v>
      </c>
      <c r="R60" s="63">
        <f>I56-I64-I65-I68-I71</f>
        <v>74326</v>
      </c>
      <c r="S60" s="80"/>
      <c r="T60" s="68" t="s">
        <v>138</v>
      </c>
      <c r="U60" s="70">
        <f>O68</f>
        <v>1038327.2519515398</v>
      </c>
      <c r="V60" s="79"/>
      <c r="W60" s="68" t="s">
        <v>139</v>
      </c>
      <c r="X60" s="70">
        <f>I64</f>
        <v>25725</v>
      </c>
    </row>
    <row r="61" spans="1:24" ht="15.75">
      <c r="H61" s="26" t="s">
        <v>140</v>
      </c>
      <c r="K61" s="2" t="s">
        <v>0</v>
      </c>
      <c r="L61" s="66">
        <f>I72/L56</f>
        <v>2.2039027164821354E-2</v>
      </c>
      <c r="O61" s="51"/>
      <c r="P61" s="79"/>
      <c r="Q61" s="68" t="s">
        <v>141</v>
      </c>
      <c r="R61" s="63">
        <f>R57*R60</f>
        <v>44324.333800593544</v>
      </c>
      <c r="S61" s="51"/>
      <c r="T61" s="68" t="s">
        <v>142</v>
      </c>
      <c r="U61" s="70">
        <f>O66</f>
        <v>58036</v>
      </c>
      <c r="V61" s="69"/>
      <c r="W61" s="68" t="s">
        <v>143</v>
      </c>
      <c r="X61" s="70">
        <f>I65</f>
        <v>3968</v>
      </c>
    </row>
    <row r="62" spans="1:24" ht="15.75">
      <c r="K62" s="11"/>
      <c r="L62" s="11"/>
      <c r="M62" s="11"/>
      <c r="N62" s="30" t="s">
        <v>144</v>
      </c>
      <c r="O62" s="63">
        <f>J72-O60</f>
        <v>8668.9008513848639</v>
      </c>
      <c r="P62" s="79"/>
      <c r="Q62" s="68" t="s">
        <v>126</v>
      </c>
      <c r="R62" s="63">
        <f>R58*R60</f>
        <v>30001.666199406453</v>
      </c>
      <c r="S62" s="51"/>
      <c r="T62" s="68" t="s">
        <v>145</v>
      </c>
      <c r="U62" s="70">
        <f>O67</f>
        <v>1583</v>
      </c>
      <c r="V62" s="74"/>
      <c r="W62" s="51"/>
      <c r="X62" s="65"/>
    </row>
    <row r="63" spans="1:24" ht="15.75">
      <c r="H63" s="39" t="s">
        <v>104</v>
      </c>
      <c r="I63" s="63">
        <f>ONSV_AUX_2021!H56</f>
        <v>1368342</v>
      </c>
      <c r="J63" s="64">
        <f>I63-(L58*I57)</f>
        <v>1366097.9380191183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2244.0619808817282</v>
      </c>
      <c r="V63" s="74"/>
      <c r="W63" s="68" t="s">
        <v>147</v>
      </c>
      <c r="X63" s="70">
        <f>I71</f>
        <v>13381</v>
      </c>
    </row>
    <row r="64" spans="1:24" ht="15.75">
      <c r="H64" s="39" t="s">
        <v>105</v>
      </c>
      <c r="I64" s="63">
        <f>ONSV_AUX_2021!H57</f>
        <v>25725</v>
      </c>
      <c r="J64" s="10">
        <f>I64</f>
        <v>25725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97109.33591605362</v>
      </c>
      <c r="S64" s="51"/>
      <c r="T64" s="68" t="s">
        <v>150</v>
      </c>
      <c r="U64" s="75">
        <f>O69</f>
        <v>268151.6860675785</v>
      </c>
      <c r="V64" s="51"/>
      <c r="W64" s="68" t="s">
        <v>151</v>
      </c>
      <c r="X64" s="70">
        <f>I68</f>
        <v>6370</v>
      </c>
    </row>
    <row r="65" spans="1:24" ht="15.75">
      <c r="H65" s="39" t="s">
        <v>106</v>
      </c>
      <c r="I65" s="63">
        <f>ONSV_AUX_2021!H58</f>
        <v>3968</v>
      </c>
      <c r="J65" s="10">
        <f>I65</f>
        <v>3968</v>
      </c>
      <c r="K65" s="11"/>
      <c r="L65" s="11"/>
      <c r="M65" s="11"/>
      <c r="O65" s="76"/>
      <c r="P65" s="79"/>
      <c r="Q65" s="68" t="s">
        <v>135</v>
      </c>
      <c r="R65" s="63">
        <f>J67-R62</f>
        <v>65730.077164982897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ONSV_AUX_2021!H59</f>
        <v>141666</v>
      </c>
      <c r="J66" s="64">
        <f>I66-(L59*I57)</f>
        <v>141433.66971664716</v>
      </c>
      <c r="K66" s="11"/>
      <c r="L66" s="11"/>
      <c r="M66" s="11"/>
      <c r="N66" s="30" t="s">
        <v>142</v>
      </c>
      <c r="O66" s="63">
        <f>I54</f>
        <v>58036</v>
      </c>
      <c r="P66" s="79"/>
      <c r="Q66" s="51"/>
      <c r="R66" s="51"/>
      <c r="S66" s="80"/>
      <c r="T66" s="68" t="s">
        <v>141</v>
      </c>
      <c r="U66" s="71">
        <f>R61</f>
        <v>44324.333800593544</v>
      </c>
      <c r="V66" s="51"/>
      <c r="W66" s="68" t="s">
        <v>152</v>
      </c>
      <c r="X66" s="70">
        <f>I69</f>
        <v>211898</v>
      </c>
    </row>
    <row r="67" spans="1:24" ht="15.75">
      <c r="H67" s="39" t="s">
        <v>108</v>
      </c>
      <c r="I67" s="63">
        <f>ONSV_AUX_2021!H60</f>
        <v>95889</v>
      </c>
      <c r="J67" s="64">
        <f>I67-(L60*I57)</f>
        <v>95731.743364389346</v>
      </c>
      <c r="K67" s="11"/>
      <c r="L67" s="11"/>
      <c r="M67" s="11"/>
      <c r="N67" s="30" t="s">
        <v>145</v>
      </c>
      <c r="O67" s="63">
        <f>I58</f>
        <v>1583</v>
      </c>
      <c r="P67" s="79"/>
      <c r="Q67" s="51"/>
      <c r="R67" s="51"/>
      <c r="S67" s="51"/>
      <c r="T67" s="68" t="s">
        <v>153</v>
      </c>
      <c r="U67" s="71">
        <f>I66-J66</f>
        <v>232.33028335284325</v>
      </c>
      <c r="V67" s="51"/>
      <c r="W67" s="68" t="s">
        <v>154</v>
      </c>
      <c r="X67" s="70">
        <f>I70</f>
        <v>22797</v>
      </c>
    </row>
    <row r="68" spans="1:24" ht="15.75">
      <c r="H68" s="39" t="s">
        <v>109</v>
      </c>
      <c r="I68" s="63">
        <f>ONSV_AUX_2021!H61</f>
        <v>6370</v>
      </c>
      <c r="J68" s="10">
        <f>I68</f>
        <v>6370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1038327.2519515398</v>
      </c>
      <c r="P68" s="79"/>
      <c r="Q68" s="51"/>
      <c r="R68" s="81"/>
      <c r="S68" s="51"/>
      <c r="T68" s="68" t="s">
        <v>149</v>
      </c>
      <c r="U68" s="75">
        <f>R64</f>
        <v>97109.33591605362</v>
      </c>
      <c r="V68" s="51"/>
      <c r="W68" s="51"/>
      <c r="X68" s="51"/>
    </row>
    <row r="69" spans="1:24" ht="15.75">
      <c r="H69" s="39" t="s">
        <v>110</v>
      </c>
      <c r="I69" s="63">
        <f>ONSV_AUX_2021!H62</f>
        <v>211898</v>
      </c>
      <c r="J69" s="10">
        <f>I69</f>
        <v>211898</v>
      </c>
      <c r="K69" s="11"/>
      <c r="L69" s="11"/>
      <c r="M69" s="11"/>
      <c r="N69" s="30" t="s">
        <v>150</v>
      </c>
      <c r="O69" s="63">
        <f>IF((J63-O66-O68-O67)&lt;0,0,(J63-O66-O68-O67))</f>
        <v>268151.6860675785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ONSV_AUX_2021!H63</f>
        <v>22797</v>
      </c>
      <c r="J70" s="10">
        <f>I70</f>
        <v>22797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1926226</v>
      </c>
    </row>
    <row r="71" spans="1:24" ht="15.75">
      <c r="H71" s="39" t="s">
        <v>112</v>
      </c>
      <c r="I71" s="63">
        <f>ONSV_AUX_2021!H64</f>
        <v>13381</v>
      </c>
      <c r="J71" s="10">
        <f>I71</f>
        <v>13381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ONSV_AUX_2021!H65</f>
        <v>36190</v>
      </c>
      <c r="J72" s="64">
        <f>I72-(L61*I57)</f>
        <v>36130.648899845139</v>
      </c>
      <c r="K72" s="12"/>
      <c r="L72" s="12"/>
      <c r="M72" s="12"/>
      <c r="N72" s="12"/>
      <c r="O72" s="12"/>
      <c r="P72" s="12"/>
      <c r="Q72" s="4"/>
      <c r="R72" s="4"/>
    </row>
    <row r="75" spans="1:24" s="36" customFormat="1" ht="15.75">
      <c r="A75" s="100" t="str">
        <f>"DISTRITO FEDERAL/"&amp;ONSV_AUX_2020!$A$1&amp;""</f>
        <v>DISTRITO FEDERAL/2020</v>
      </c>
      <c r="B75" s="101"/>
      <c r="C75" s="101"/>
      <c r="D75" s="101"/>
      <c r="E75" s="101"/>
      <c r="F75" s="10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ONSV_AUX_2020!H27</f>
        <v>57944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ONSV_AUX_2020!H28</f>
        <v>1025322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ONSV_AUX_2020!H29</f>
        <v>119344</v>
      </c>
      <c r="J81" s="9"/>
      <c r="K81" s="2" t="s">
        <v>122</v>
      </c>
      <c r="L81" s="63">
        <f>I88+I91+I92+I97</f>
        <v>1606954</v>
      </c>
      <c r="N81" s="30" t="s">
        <v>123</v>
      </c>
      <c r="O81" s="63">
        <f>J88+J97</f>
        <v>1376473.3012220636</v>
      </c>
      <c r="P81" s="67"/>
      <c r="Q81" s="68" t="s">
        <v>124</v>
      </c>
      <c r="R81" s="63">
        <f>J91+J92</f>
        <v>228794.6987779364</v>
      </c>
      <c r="S81" s="69"/>
      <c r="T81" s="68" t="s">
        <v>125</v>
      </c>
      <c r="U81" s="70">
        <f>O85</f>
        <v>24286.975328738485</v>
      </c>
      <c r="V81" s="51"/>
      <c r="W81" s="68" t="s">
        <v>126</v>
      </c>
      <c r="X81" s="71">
        <f>R87</f>
        <v>28936.757718252669</v>
      </c>
    </row>
    <row r="82" spans="8:24" ht="15.75">
      <c r="H82" s="38" t="s">
        <v>102</v>
      </c>
      <c r="I82" s="63">
        <f>ONSV_AUX_2020!H30</f>
        <v>1686</v>
      </c>
      <c r="J82" s="9"/>
      <c r="K82" s="29"/>
      <c r="L82" s="65"/>
      <c r="M82" s="22"/>
      <c r="N82" s="30" t="s">
        <v>127</v>
      </c>
      <c r="O82" s="72">
        <f>J88/O81</f>
        <v>0.97631283116061252</v>
      </c>
      <c r="P82" s="67"/>
      <c r="Q82" s="73" t="s">
        <v>128</v>
      </c>
      <c r="R82" s="66">
        <f>J91/R81</f>
        <v>0.59049053638090254</v>
      </c>
      <c r="S82" s="74"/>
      <c r="T82" s="68" t="s">
        <v>129</v>
      </c>
      <c r="U82" s="70">
        <f>I97-J97</f>
        <v>34.244511043874809</v>
      </c>
      <c r="V82" s="51"/>
      <c r="W82" s="68" t="s">
        <v>130</v>
      </c>
      <c r="X82" s="71">
        <f>I92-J92</f>
        <v>98.405624554274254</v>
      </c>
    </row>
    <row r="83" spans="8:24" ht="15.75">
      <c r="H83" s="38" t="s">
        <v>16</v>
      </c>
      <c r="I83" s="63">
        <f>ONSV_AUX_2020!H31</f>
        <v>1576</v>
      </c>
      <c r="J83" s="9"/>
      <c r="K83" s="2" t="s">
        <v>131</v>
      </c>
      <c r="L83" s="66">
        <f>I88/L81</f>
        <v>0.83716148688761471</v>
      </c>
      <c r="M83" s="22"/>
      <c r="N83" s="30" t="s">
        <v>132</v>
      </c>
      <c r="O83" s="72">
        <f>J97/O81</f>
        <v>2.3687168839387512E-2</v>
      </c>
      <c r="P83" s="67"/>
      <c r="Q83" s="73" t="s">
        <v>133</v>
      </c>
      <c r="R83" s="66">
        <f>J92/R81</f>
        <v>0.40950946361909751</v>
      </c>
      <c r="S83" s="74"/>
      <c r="T83" s="68" t="s">
        <v>134</v>
      </c>
      <c r="U83" s="75">
        <f>O87</f>
        <v>8317.7801602176405</v>
      </c>
      <c r="V83" s="76"/>
      <c r="W83" s="68" t="s">
        <v>135</v>
      </c>
      <c r="X83" s="75">
        <f>R90</f>
        <v>64756.836657193053</v>
      </c>
    </row>
    <row r="84" spans="8:24" ht="15.75">
      <c r="H84" s="38" t="s">
        <v>94</v>
      </c>
      <c r="I84" s="63">
        <f>ONSV_AUX_2020!H32</f>
        <v>664576</v>
      </c>
      <c r="J84" s="10"/>
      <c r="K84" s="2" t="s">
        <v>2</v>
      </c>
      <c r="L84" s="66">
        <f>I91/L81</f>
        <v>8.4161089863182145E-2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5.8366325358411006E-2</v>
      </c>
      <c r="M85" s="22"/>
      <c r="N85" s="30" t="s">
        <v>136</v>
      </c>
      <c r="O85" s="63">
        <f>IF(O83*I80&gt;J97,J97,O83*I80)</f>
        <v>24286.975328738485</v>
      </c>
      <c r="P85" s="79"/>
      <c r="Q85" s="68" t="s">
        <v>137</v>
      </c>
      <c r="R85" s="63">
        <f>I81-I89-I90-I93-I96</f>
        <v>70662</v>
      </c>
      <c r="S85" s="80"/>
      <c r="T85" s="68" t="s">
        <v>138</v>
      </c>
      <c r="U85" s="70">
        <f>O93</f>
        <v>1001035.0246712615</v>
      </c>
      <c r="V85" s="79"/>
      <c r="W85" s="68" t="s">
        <v>139</v>
      </c>
      <c r="X85" s="70">
        <f>I89</f>
        <v>25167</v>
      </c>
    </row>
    <row r="86" spans="8:24" ht="15.75">
      <c r="H86" s="26" t="s">
        <v>140</v>
      </c>
      <c r="K86" s="2" t="s">
        <v>0</v>
      </c>
      <c r="L86" s="66">
        <f>I97/L81</f>
        <v>2.0311097890792145E-2</v>
      </c>
      <c r="O86" s="51"/>
      <c r="P86" s="79"/>
      <c r="Q86" s="68" t="s">
        <v>141</v>
      </c>
      <c r="R86" s="63">
        <f>R82*R85</f>
        <v>41725.242281747334</v>
      </c>
      <c r="S86" s="51"/>
      <c r="T86" s="68" t="s">
        <v>142</v>
      </c>
      <c r="U86" s="70">
        <f>O91</f>
        <v>57944</v>
      </c>
      <c r="V86" s="69"/>
      <c r="W86" s="68" t="s">
        <v>143</v>
      </c>
      <c r="X86" s="70">
        <f>I90</f>
        <v>3797</v>
      </c>
    </row>
    <row r="87" spans="8:24" ht="15.75">
      <c r="K87" s="11"/>
      <c r="L87" s="11"/>
      <c r="M87" s="11"/>
      <c r="N87" s="30" t="s">
        <v>144</v>
      </c>
      <c r="O87" s="63">
        <f>J97-O85</f>
        <v>8317.7801602176405</v>
      </c>
      <c r="P87" s="79"/>
      <c r="Q87" s="68" t="s">
        <v>126</v>
      </c>
      <c r="R87" s="63">
        <f>R83*R85</f>
        <v>28936.757718252669</v>
      </c>
      <c r="S87" s="51"/>
      <c r="T87" s="68" t="s">
        <v>145</v>
      </c>
      <c r="U87" s="70">
        <f>O92</f>
        <v>1576</v>
      </c>
      <c r="V87" s="74"/>
      <c r="W87" s="51"/>
      <c r="X87" s="65"/>
    </row>
    <row r="88" spans="8:24" ht="15.75">
      <c r="H88" s="39" t="s">
        <v>104</v>
      </c>
      <c r="I88" s="63">
        <f>ONSV_AUX_2020!H56</f>
        <v>1345280</v>
      </c>
      <c r="J88" s="64">
        <f>I88-(L83*I82)</f>
        <v>1343868.5457331075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1411.4542668925133</v>
      </c>
      <c r="V88" s="74"/>
      <c r="W88" s="68" t="s">
        <v>147</v>
      </c>
      <c r="X88" s="70">
        <f>I96</f>
        <v>13471</v>
      </c>
    </row>
    <row r="89" spans="8:24" ht="15.75">
      <c r="H89" s="39" t="s">
        <v>105</v>
      </c>
      <c r="I89" s="63">
        <f>ONSV_AUX_2020!H57</f>
        <v>25167</v>
      </c>
      <c r="J89" s="10">
        <f>I89</f>
        <v>25167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93375.862120743346</v>
      </c>
      <c r="S89" s="51"/>
      <c r="T89" s="68" t="s">
        <v>150</v>
      </c>
      <c r="U89" s="75">
        <f>O94</f>
        <v>283313.52106184594</v>
      </c>
      <c r="V89" s="51"/>
      <c r="W89" s="68" t="s">
        <v>151</v>
      </c>
      <c r="X89" s="70">
        <f>I93</f>
        <v>6247</v>
      </c>
    </row>
    <row r="90" spans="8:24" ht="15.75">
      <c r="H90" s="39" t="s">
        <v>106</v>
      </c>
      <c r="I90" s="63">
        <f>ONSV_AUX_2020!H58</f>
        <v>3797</v>
      </c>
      <c r="J90" s="10">
        <f>I90</f>
        <v>3797</v>
      </c>
      <c r="K90" s="11"/>
      <c r="L90" s="11"/>
      <c r="M90" s="11"/>
      <c r="O90" s="76"/>
      <c r="P90" s="79"/>
      <c r="Q90" s="68" t="s">
        <v>135</v>
      </c>
      <c r="R90" s="63">
        <f>J92-R87</f>
        <v>64756.836657193053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ONSV_AUX_2020!H59</f>
        <v>135243</v>
      </c>
      <c r="J91" s="64">
        <f>I91-(L84*I82)</f>
        <v>135101.10440249069</v>
      </c>
      <c r="K91" s="11"/>
      <c r="L91" s="11"/>
      <c r="M91" s="11"/>
      <c r="N91" s="30" t="s">
        <v>142</v>
      </c>
      <c r="O91" s="63">
        <f>I79</f>
        <v>57944</v>
      </c>
      <c r="P91" s="79"/>
      <c r="Q91" s="51"/>
      <c r="R91" s="51"/>
      <c r="S91" s="80"/>
      <c r="T91" s="68" t="s">
        <v>141</v>
      </c>
      <c r="U91" s="71">
        <f>R86</f>
        <v>41725.242281747334</v>
      </c>
      <c r="V91" s="51"/>
      <c r="W91" s="68" t="s">
        <v>152</v>
      </c>
      <c r="X91" s="70">
        <f>I94</f>
        <v>202679</v>
      </c>
    </row>
    <row r="92" spans="8:24" ht="15.75">
      <c r="H92" s="39" t="s">
        <v>108</v>
      </c>
      <c r="I92" s="63">
        <f>ONSV_AUX_2020!H60</f>
        <v>93792</v>
      </c>
      <c r="J92" s="64">
        <f>I92-(L85*I82)</f>
        <v>93693.594375445726</v>
      </c>
      <c r="K92" s="11"/>
      <c r="L92" s="11"/>
      <c r="M92" s="11"/>
      <c r="N92" s="30" t="s">
        <v>145</v>
      </c>
      <c r="O92" s="63">
        <f>I83</f>
        <v>1576</v>
      </c>
      <c r="P92" s="79"/>
      <c r="Q92" s="51"/>
      <c r="R92" s="51"/>
      <c r="S92" s="51"/>
      <c r="T92" s="68" t="s">
        <v>153</v>
      </c>
      <c r="U92" s="71">
        <f>I91-J91</f>
        <v>141.89559750931221</v>
      </c>
      <c r="V92" s="51"/>
      <c r="W92" s="68" t="s">
        <v>154</v>
      </c>
      <c r="X92" s="70">
        <f>I95</f>
        <v>21398</v>
      </c>
    </row>
    <row r="93" spans="8:24" ht="15.75">
      <c r="H93" s="39" t="s">
        <v>109</v>
      </c>
      <c r="I93" s="63">
        <f>ONSV_AUX_2020!H61</f>
        <v>6247</v>
      </c>
      <c r="J93" s="10">
        <f>I93</f>
        <v>6247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1001035.0246712615</v>
      </c>
      <c r="P93" s="79"/>
      <c r="Q93" s="51"/>
      <c r="R93" s="81"/>
      <c r="S93" s="51"/>
      <c r="T93" s="68" t="s">
        <v>149</v>
      </c>
      <c r="U93" s="75">
        <f>R89</f>
        <v>93375.862120743346</v>
      </c>
      <c r="V93" s="51"/>
      <c r="W93" s="51"/>
      <c r="X93" s="51"/>
    </row>
    <row r="94" spans="8:24" ht="15.75">
      <c r="H94" s="39" t="s">
        <v>110</v>
      </c>
      <c r="I94" s="63">
        <f>ONSV_AUX_2020!H62</f>
        <v>202679</v>
      </c>
      <c r="J94" s="10">
        <f>I94</f>
        <v>202679</v>
      </c>
      <c r="K94" s="11"/>
      <c r="L94" s="11"/>
      <c r="M94" s="11"/>
      <c r="N94" s="30" t="s">
        <v>150</v>
      </c>
      <c r="O94" s="63">
        <f>IF((J88-O91-O93-O92)&lt;0,0,(J88-O91-O93-O92))</f>
        <v>283313.52106184594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ONSV_AUX_2020!H63</f>
        <v>21398</v>
      </c>
      <c r="J95" s="10">
        <f>I95</f>
        <v>21398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1879713</v>
      </c>
    </row>
    <row r="96" spans="8:24" ht="15.75">
      <c r="H96" s="39" t="s">
        <v>112</v>
      </c>
      <c r="I96" s="63">
        <f>ONSV_AUX_2020!H64</f>
        <v>13471</v>
      </c>
      <c r="J96" s="10">
        <f>I96</f>
        <v>13471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ONSV_AUX_2020!H65</f>
        <v>32639</v>
      </c>
      <c r="J97" s="64">
        <f>I97-(L86*I82)</f>
        <v>32604.755488956125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6" customFormat="1" ht="15.75">
      <c r="A100" s="100" t="str">
        <f>"DISTRITO FEDERAL/"&amp;ONSV_AUX_2019!$A$1&amp;""</f>
        <v>DISTRITO FEDERAL/2019</v>
      </c>
      <c r="B100" s="101"/>
      <c r="C100" s="101"/>
      <c r="D100" s="101"/>
      <c r="E100" s="101"/>
      <c r="F100" s="101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ONSV_AUX_2019!H27</f>
        <v>57905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ONSV_AUX_2019!H28</f>
        <v>974344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ONSV_AUX_2019!H29</f>
        <v>112433</v>
      </c>
      <c r="J106" s="9"/>
      <c r="K106" s="2" t="s">
        <v>122</v>
      </c>
      <c r="L106" s="63">
        <f>I113+I116+I117+I122</f>
        <v>1555475</v>
      </c>
      <c r="N106" s="30" t="s">
        <v>123</v>
      </c>
      <c r="O106" s="63">
        <f>J113+J122</f>
        <v>1336199.2957270285</v>
      </c>
      <c r="P106" s="67"/>
      <c r="Q106" s="68" t="s">
        <v>124</v>
      </c>
      <c r="R106" s="63">
        <f>J116+J117</f>
        <v>218533.70427297128</v>
      </c>
      <c r="S106" s="69"/>
      <c r="T106" s="68" t="s">
        <v>125</v>
      </c>
      <c r="U106" s="70">
        <f>O110</f>
        <v>21761.787826040127</v>
      </c>
      <c r="V106" s="51"/>
      <c r="W106" s="68" t="s">
        <v>126</v>
      </c>
      <c r="X106" s="71">
        <f>R112</f>
        <v>26936.308157776781</v>
      </c>
    </row>
    <row r="107" spans="1:24" ht="15.75">
      <c r="H107" s="38" t="s">
        <v>102</v>
      </c>
      <c r="I107" s="63">
        <f>ONSV_AUX_2019!H30</f>
        <v>742</v>
      </c>
      <c r="J107" s="9"/>
      <c r="K107" s="29"/>
      <c r="L107" s="65"/>
      <c r="M107" s="22"/>
      <c r="N107" s="30" t="s">
        <v>127</v>
      </c>
      <c r="O107" s="72">
        <f>J113/O106</f>
        <v>0.97766519029619925</v>
      </c>
      <c r="P107" s="67"/>
      <c r="Q107" s="73" t="s">
        <v>128</v>
      </c>
      <c r="R107" s="66">
        <f>J116/R106</f>
        <v>0.59006668557158404</v>
      </c>
      <c r="S107" s="74"/>
      <c r="T107" s="68" t="s">
        <v>129</v>
      </c>
      <c r="U107" s="70">
        <f>I122-J122</f>
        <v>14.243003584113467</v>
      </c>
      <c r="V107" s="51"/>
      <c r="W107" s="68" t="s">
        <v>130</v>
      </c>
      <c r="X107" s="71">
        <f>I117-J117</f>
        <v>42.754293061603676</v>
      </c>
    </row>
    <row r="108" spans="1:24" ht="15.75">
      <c r="H108" s="38" t="s">
        <v>16</v>
      </c>
      <c r="I108" s="63">
        <f>ONSV_AUX_2019!H31</f>
        <v>1636</v>
      </c>
      <c r="J108" s="9"/>
      <c r="K108" s="2" t="s">
        <v>131</v>
      </c>
      <c r="L108" s="66">
        <f>I113/L106</f>
        <v>0.84024429836545111</v>
      </c>
      <c r="M108" s="22"/>
      <c r="N108" s="30" t="s">
        <v>132</v>
      </c>
      <c r="O108" s="72">
        <f>J122/O106</f>
        <v>2.2334809703800841E-2</v>
      </c>
      <c r="P108" s="67"/>
      <c r="Q108" s="73" t="s">
        <v>133</v>
      </c>
      <c r="R108" s="66">
        <f>J117/R106</f>
        <v>0.40993331442841591</v>
      </c>
      <c r="S108" s="74"/>
      <c r="T108" s="68" t="s">
        <v>134</v>
      </c>
      <c r="U108" s="75">
        <f>O112</f>
        <v>8081.9691703757599</v>
      </c>
      <c r="V108" s="76"/>
      <c r="W108" s="68" t="s">
        <v>135</v>
      </c>
      <c r="X108" s="75">
        <f>R115</f>
        <v>62647.937549161616</v>
      </c>
    </row>
    <row r="109" spans="1:24" ht="15.75">
      <c r="H109" s="38" t="s">
        <v>94</v>
      </c>
      <c r="I109" s="63">
        <f>ONSV_AUX_2019!H32</f>
        <v>661022</v>
      </c>
      <c r="J109" s="10"/>
      <c r="K109" s="2" t="s">
        <v>2</v>
      </c>
      <c r="L109" s="66">
        <f>I116/L106</f>
        <v>8.293993796107299E-2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5.7620341053375976E-2</v>
      </c>
      <c r="M110" s="22"/>
      <c r="N110" s="30" t="s">
        <v>136</v>
      </c>
      <c r="O110" s="63">
        <f>IF(O108*I105&gt;J122,J122,O108*I105)</f>
        <v>21761.787826040127</v>
      </c>
      <c r="P110" s="79"/>
      <c r="Q110" s="68" t="s">
        <v>137</v>
      </c>
      <c r="R110" s="63">
        <f>I106-I114-I115-I118-I121</f>
        <v>65709</v>
      </c>
      <c r="S110" s="80"/>
      <c r="T110" s="68" t="s">
        <v>138</v>
      </c>
      <c r="U110" s="70">
        <f>O118</f>
        <v>952582.21217395994</v>
      </c>
      <c r="V110" s="79"/>
      <c r="W110" s="68" t="s">
        <v>139</v>
      </c>
      <c r="X110" s="70">
        <f>I114</f>
        <v>24329</v>
      </c>
    </row>
    <row r="111" spans="1:24" ht="15.75">
      <c r="H111" s="26" t="s">
        <v>140</v>
      </c>
      <c r="K111" s="2" t="s">
        <v>0</v>
      </c>
      <c r="L111" s="66">
        <f>I122/L106</f>
        <v>1.9195422620099968E-2</v>
      </c>
      <c r="O111" s="51"/>
      <c r="P111" s="79"/>
      <c r="Q111" s="68" t="s">
        <v>141</v>
      </c>
      <c r="R111" s="63">
        <f>R107*R110</f>
        <v>38772.691842223212</v>
      </c>
      <c r="S111" s="51"/>
      <c r="T111" s="68" t="s">
        <v>142</v>
      </c>
      <c r="U111" s="70">
        <f>O116</f>
        <v>57905</v>
      </c>
      <c r="V111" s="69"/>
      <c r="W111" s="68" t="s">
        <v>143</v>
      </c>
      <c r="X111" s="70">
        <f>I115</f>
        <v>3507</v>
      </c>
    </row>
    <row r="112" spans="1:24" ht="15.75">
      <c r="K112" s="11"/>
      <c r="L112" s="11"/>
      <c r="M112" s="11"/>
      <c r="N112" s="30" t="s">
        <v>144</v>
      </c>
      <c r="O112" s="63">
        <f>J122-O110</f>
        <v>8081.9691703757599</v>
      </c>
      <c r="P112" s="79"/>
      <c r="Q112" s="68" t="s">
        <v>126</v>
      </c>
      <c r="R112" s="63">
        <f>R108*R110</f>
        <v>26936.308157776781</v>
      </c>
      <c r="S112" s="51"/>
      <c r="T112" s="68" t="s">
        <v>145</v>
      </c>
      <c r="U112" s="70">
        <f>O117</f>
        <v>1636</v>
      </c>
      <c r="V112" s="74"/>
      <c r="W112" s="51"/>
      <c r="X112" s="65"/>
    </row>
    <row r="113" spans="8:24" ht="15.75">
      <c r="H113" s="39" t="s">
        <v>104</v>
      </c>
      <c r="I113" s="63">
        <f>ONSV_AUX_2019!H56</f>
        <v>1306979</v>
      </c>
      <c r="J113" s="64">
        <f>I113-(L108*I107)</f>
        <v>1306355.5387306127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623.46126938727684</v>
      </c>
      <c r="V113" s="74"/>
      <c r="W113" s="68" t="s">
        <v>147</v>
      </c>
      <c r="X113" s="70">
        <f>I121</f>
        <v>12847</v>
      </c>
    </row>
    <row r="114" spans="8:24" ht="15.75">
      <c r="H114" s="39" t="s">
        <v>105</v>
      </c>
      <c r="I114" s="63">
        <f>ONSV_AUX_2019!H57</f>
        <v>24329</v>
      </c>
      <c r="J114" s="10">
        <f>I114</f>
        <v>24329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90176.766723809676</v>
      </c>
      <c r="S114" s="51"/>
      <c r="T114" s="68" t="s">
        <v>150</v>
      </c>
      <c r="U114" s="75">
        <f>O119</f>
        <v>294232.32655665278</v>
      </c>
      <c r="V114" s="51"/>
      <c r="W114" s="68" t="s">
        <v>151</v>
      </c>
      <c r="X114" s="70">
        <f>I118</f>
        <v>6041</v>
      </c>
    </row>
    <row r="115" spans="8:24" ht="15.75">
      <c r="H115" s="39" t="s">
        <v>106</v>
      </c>
      <c r="I115" s="63">
        <f>ONSV_AUX_2019!H58</f>
        <v>3507</v>
      </c>
      <c r="J115" s="10">
        <f>I115</f>
        <v>3507</v>
      </c>
      <c r="K115" s="11"/>
      <c r="L115" s="11"/>
      <c r="M115" s="11"/>
      <c r="O115" s="76"/>
      <c r="P115" s="79"/>
      <c r="Q115" s="68" t="s">
        <v>135</v>
      </c>
      <c r="R115" s="63">
        <f>J117-R112</f>
        <v>62647.937549161616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ONSV_AUX_2019!H59</f>
        <v>129011</v>
      </c>
      <c r="J116" s="64">
        <f>I116-(L109*I107)</f>
        <v>128949.45856603289</v>
      </c>
      <c r="K116" s="11"/>
      <c r="L116" s="11"/>
      <c r="M116" s="11"/>
      <c r="N116" s="30" t="s">
        <v>142</v>
      </c>
      <c r="O116" s="63">
        <f>I104</f>
        <v>57905</v>
      </c>
      <c r="P116" s="79"/>
      <c r="Q116" s="51"/>
      <c r="R116" s="51"/>
      <c r="S116" s="80"/>
      <c r="T116" s="68" t="s">
        <v>141</v>
      </c>
      <c r="U116" s="71">
        <f>R111</f>
        <v>38772.691842223212</v>
      </c>
      <c r="V116" s="51"/>
      <c r="W116" s="68" t="s">
        <v>152</v>
      </c>
      <c r="X116" s="70">
        <f>I119</f>
        <v>194584</v>
      </c>
    </row>
    <row r="117" spans="8:24" ht="15.75">
      <c r="H117" s="39" t="s">
        <v>108</v>
      </c>
      <c r="I117" s="63">
        <f>ONSV_AUX_2019!H60</f>
        <v>89627</v>
      </c>
      <c r="J117" s="64">
        <f>I117-(L110*I107)</f>
        <v>89584.245706938396</v>
      </c>
      <c r="K117" s="11"/>
      <c r="L117" s="11"/>
      <c r="M117" s="11"/>
      <c r="N117" s="30" t="s">
        <v>145</v>
      </c>
      <c r="O117" s="63">
        <f>I108</f>
        <v>1636</v>
      </c>
      <c r="P117" s="79"/>
      <c r="Q117" s="51"/>
      <c r="R117" s="51"/>
      <c r="S117" s="51"/>
      <c r="T117" s="68" t="s">
        <v>153</v>
      </c>
      <c r="U117" s="71">
        <f>I116-J116</f>
        <v>61.541433967111516</v>
      </c>
      <c r="V117" s="51"/>
      <c r="W117" s="68" t="s">
        <v>154</v>
      </c>
      <c r="X117" s="70">
        <f>I120</f>
        <v>20403</v>
      </c>
    </row>
    <row r="118" spans="8:24" ht="15.75">
      <c r="H118" s="39" t="s">
        <v>109</v>
      </c>
      <c r="I118" s="63">
        <f>ONSV_AUX_2019!H61</f>
        <v>6041</v>
      </c>
      <c r="J118" s="10">
        <f>I118</f>
        <v>6041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952582.21217395994</v>
      </c>
      <c r="P118" s="79"/>
      <c r="Q118" s="51"/>
      <c r="R118" s="81"/>
      <c r="S118" s="51"/>
      <c r="T118" s="68" t="s">
        <v>149</v>
      </c>
      <c r="U118" s="75">
        <f>R114</f>
        <v>90176.766723809676</v>
      </c>
      <c r="V118" s="51"/>
      <c r="W118" s="51"/>
      <c r="X118" s="51"/>
    </row>
    <row r="119" spans="8:24" ht="15.75">
      <c r="H119" s="39" t="s">
        <v>110</v>
      </c>
      <c r="I119" s="63">
        <f>ONSV_AUX_2019!H62</f>
        <v>194584</v>
      </c>
      <c r="J119" s="10">
        <f>I119</f>
        <v>194584</v>
      </c>
      <c r="K119" s="11"/>
      <c r="L119" s="11"/>
      <c r="M119" s="11"/>
      <c r="N119" s="30" t="s">
        <v>150</v>
      </c>
      <c r="O119" s="63">
        <f>IF((J113-O116-O118-O117)&lt;0,0,(J113-O116-O118-O117))</f>
        <v>294232.32655665278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ONSV_AUX_2019!H63</f>
        <v>20403</v>
      </c>
      <c r="J120" s="10">
        <f>I120</f>
        <v>20403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1817186.0000000002</v>
      </c>
    </row>
    <row r="121" spans="8:24" ht="15.75">
      <c r="H121" s="39" t="s">
        <v>112</v>
      </c>
      <c r="I121" s="63">
        <f>ONSV_AUX_2019!H64</f>
        <v>12847</v>
      </c>
      <c r="J121" s="10">
        <f>I121</f>
        <v>12847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ONSV_AUX_2019!H65</f>
        <v>29858</v>
      </c>
      <c r="J122" s="64">
        <f>I122-(L111*I107)</f>
        <v>29843.756996415887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K104:L104"/>
    <mergeCell ref="K54:L54"/>
    <mergeCell ref="A75:F75"/>
    <mergeCell ref="K79:L79"/>
    <mergeCell ref="A100:F100"/>
    <mergeCell ref="T52:X52"/>
    <mergeCell ref="A1:F1"/>
    <mergeCell ref="Q4:R4"/>
    <mergeCell ref="T4:X4"/>
    <mergeCell ref="K5:L5"/>
    <mergeCell ref="T27:X27"/>
    <mergeCell ref="K29:L29"/>
    <mergeCell ref="A25:F25"/>
    <mergeCell ref="A50:F5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0.39997558519241921"/>
  </sheetPr>
  <dimension ref="A1:X122"/>
  <sheetViews>
    <sheetView showGridLines="0" topLeftCell="A24" zoomScale="90" zoomScaleNormal="90" workbookViewId="0">
      <selection activeCell="E102" sqref="E102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</cols>
  <sheetData>
    <row r="1" spans="1:24" s="33" customFormat="1" ht="15.75">
      <c r="A1" s="100" t="str">
        <f>"ESPÍRITO SANTO/"&amp;ONSV_AUX_2023!$A$1&amp;""</f>
        <v>ESPÍRITO SANTO/2023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ONSV_AUX_2023!I27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ONSV_AUX_2023!I28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ONSV_AUX_2023!I29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ONSV_AUX_2023!I30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ONSV_AUX_2023!I31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ONSV_AUX_2023!I32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ONSV_AUX_2023!I56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ONSV_AUX_2023!I57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ONSV_AUX_2023!I58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ONSV_AUX_2023!I59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ONSV_AUX_2023!I60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ONSV_AUX_2023!I61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ONSV_AUX_2023!I62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ONSV_AUX_2023!I63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ONSV_AUX_2023!I64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ONSV_AUX_2023!I65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6" customFormat="1" ht="15.75">
      <c r="A25" s="100" t="str">
        <f>"ESPÍRITO SANTO/"&amp;ONSV_AUX_2022!$A$1&amp;""</f>
        <v>ESPÍRITO SANTO/2022</v>
      </c>
      <c r="B25" s="101"/>
      <c r="C25" s="101"/>
      <c r="D25" s="101"/>
      <c r="E25" s="101"/>
      <c r="F25" s="10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5.75">
      <c r="A26" s="3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ONSV_AUX_2022!I27</f>
        <v>53382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ONSV_AUX_2022!I28</f>
        <v>933548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ONSV_AUX_2022!I29</f>
        <v>226897</v>
      </c>
      <c r="J31" s="9"/>
      <c r="K31" s="2" t="s">
        <v>122</v>
      </c>
      <c r="L31" s="63">
        <f>I38+I41+I42+I47</f>
        <v>1363444</v>
      </c>
      <c r="N31" s="30" t="s">
        <v>123</v>
      </c>
      <c r="O31" s="63">
        <f>J38+J47</f>
        <v>1089850.9734877266</v>
      </c>
      <c r="P31" s="67"/>
      <c r="Q31" s="68" t="s">
        <v>124</v>
      </c>
      <c r="R31" s="63">
        <f>J41+J42</f>
        <v>270840.02651227335</v>
      </c>
      <c r="S31" s="69"/>
      <c r="T31" s="68" t="s">
        <v>125</v>
      </c>
      <c r="U31" s="70">
        <f>O35</f>
        <v>25801.191272242449</v>
      </c>
      <c r="V31" s="51"/>
      <c r="W31" s="68" t="s">
        <v>126</v>
      </c>
      <c r="X31" s="71">
        <f>R37</f>
        <v>25734.917792975368</v>
      </c>
    </row>
    <row r="32" spans="1:24" ht="15.75">
      <c r="H32" s="38" t="s">
        <v>102</v>
      </c>
      <c r="I32" s="63">
        <f>ONSV_AUX_2022!I30</f>
        <v>2753</v>
      </c>
      <c r="J32" s="9"/>
      <c r="K32" s="29"/>
      <c r="L32" s="65"/>
      <c r="M32" s="22"/>
      <c r="N32" s="30" t="s">
        <v>127</v>
      </c>
      <c r="O32" s="72">
        <f>J38/O31</f>
        <v>0.97236222318269383</v>
      </c>
      <c r="P32" s="67"/>
      <c r="Q32" s="73" t="s">
        <v>128</v>
      </c>
      <c r="R32" s="66">
        <f>J41/R31</f>
        <v>0.7416613851754682</v>
      </c>
      <c r="S32" s="74"/>
      <c r="T32" s="68" t="s">
        <v>129</v>
      </c>
      <c r="U32" s="70">
        <f>I47-J47</f>
        <v>60.942030622452876</v>
      </c>
      <c r="V32" s="51"/>
      <c r="W32" s="68" t="s">
        <v>130</v>
      </c>
      <c r="X32" s="71">
        <f>I42-J42</f>
        <v>141.56271177987219</v>
      </c>
    </row>
    <row r="33" spans="8:24" ht="15.75">
      <c r="H33" s="38" t="s">
        <v>16</v>
      </c>
      <c r="I33" s="63">
        <f>ONSV_AUX_2022!I31</f>
        <v>41698</v>
      </c>
      <c r="J33" s="9"/>
      <c r="K33" s="2" t="s">
        <v>131</v>
      </c>
      <c r="L33" s="66">
        <f>I38/L31</f>
        <v>0.77881746518375528</v>
      </c>
      <c r="M33" s="22"/>
      <c r="N33" s="30" t="s">
        <v>132</v>
      </c>
      <c r="O33" s="72">
        <f>J47/O31</f>
        <v>2.7637776817306073E-2</v>
      </c>
      <c r="P33" s="67"/>
      <c r="Q33" s="73" t="s">
        <v>133</v>
      </c>
      <c r="R33" s="66">
        <f>J42/R31</f>
        <v>0.25833861482453163</v>
      </c>
      <c r="S33" s="74"/>
      <c r="T33" s="68" t="s">
        <v>134</v>
      </c>
      <c r="U33" s="75">
        <f>O37</f>
        <v>4319.8666971350976</v>
      </c>
      <c r="V33" s="76"/>
      <c r="W33" s="68" t="s">
        <v>135</v>
      </c>
      <c r="X33" s="75">
        <f>R40</f>
        <v>44233.519495244764</v>
      </c>
    </row>
    <row r="34" spans="8:24" ht="15.75">
      <c r="H34" s="38" t="s">
        <v>94</v>
      </c>
      <c r="I34" s="63">
        <f>ONSV_AUX_2022!I32</f>
        <v>866004</v>
      </c>
      <c r="J34" s="10"/>
      <c r="K34" s="2" t="s">
        <v>2</v>
      </c>
      <c r="L34" s="66">
        <f>I41/L31</f>
        <v>0.14762469158982694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5.1421253824872892E-2</v>
      </c>
      <c r="M35" s="22"/>
      <c r="N35" s="30" t="s">
        <v>136</v>
      </c>
      <c r="O35" s="63">
        <f>IF(O33*I30&gt;J47,J47,O33*I30)</f>
        <v>25801.191272242449</v>
      </c>
      <c r="P35" s="79"/>
      <c r="Q35" s="68" t="s">
        <v>137</v>
      </c>
      <c r="R35" s="63">
        <f>I31-I39-I40-I43-I46</f>
        <v>99617</v>
      </c>
      <c r="S35" s="80"/>
      <c r="T35" s="68" t="s">
        <v>138</v>
      </c>
      <c r="U35" s="70">
        <f>O43</f>
        <v>907746.80872775742</v>
      </c>
      <c r="V35" s="79"/>
      <c r="W35" s="68" t="s">
        <v>139</v>
      </c>
      <c r="X35" s="70">
        <f>I39</f>
        <v>80115</v>
      </c>
    </row>
    <row r="36" spans="8:24" ht="15.75">
      <c r="H36" s="26" t="s">
        <v>140</v>
      </c>
      <c r="K36" s="2" t="s">
        <v>0</v>
      </c>
      <c r="L36" s="66">
        <f>I47/L31</f>
        <v>2.213658940154491E-2</v>
      </c>
      <c r="O36" s="51"/>
      <c r="P36" s="79"/>
      <c r="Q36" s="68" t="s">
        <v>141</v>
      </c>
      <c r="R36" s="63">
        <f>R32*R35</f>
        <v>73882.082207024621</v>
      </c>
      <c r="S36" s="51"/>
      <c r="T36" s="68" t="s">
        <v>142</v>
      </c>
      <c r="U36" s="70">
        <f>O41</f>
        <v>53382</v>
      </c>
      <c r="V36" s="69"/>
      <c r="W36" s="68" t="s">
        <v>143</v>
      </c>
      <c r="X36" s="70">
        <f>I40</f>
        <v>21622</v>
      </c>
    </row>
    <row r="37" spans="8:24" ht="15.75">
      <c r="K37" s="11"/>
      <c r="L37" s="11"/>
      <c r="M37" s="11"/>
      <c r="N37" s="30" t="s">
        <v>144</v>
      </c>
      <c r="O37" s="63">
        <f>J47-O35</f>
        <v>4319.8666971350976</v>
      </c>
      <c r="P37" s="79"/>
      <c r="Q37" s="68" t="s">
        <v>126</v>
      </c>
      <c r="R37" s="63">
        <f>R33*R35</f>
        <v>25734.917792975368</v>
      </c>
      <c r="S37" s="51"/>
      <c r="T37" s="68" t="s">
        <v>145</v>
      </c>
      <c r="U37" s="70">
        <f>O42</f>
        <v>41698</v>
      </c>
      <c r="V37" s="74"/>
      <c r="W37" s="51"/>
      <c r="X37" s="65"/>
    </row>
    <row r="38" spans="8:24" ht="15.75">
      <c r="H38" s="39" t="s">
        <v>104</v>
      </c>
      <c r="I38" s="63">
        <f>ONSV_AUX_2022!I56</f>
        <v>1061874</v>
      </c>
      <c r="J38" s="64">
        <f>I38-(L33*I32)</f>
        <v>1059729.915518349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2144.0844816509634</v>
      </c>
      <c r="V38" s="74"/>
      <c r="W38" s="68" t="s">
        <v>147</v>
      </c>
      <c r="X38" s="70">
        <f>I46</f>
        <v>16314</v>
      </c>
    </row>
    <row r="39" spans="8:24" ht="15.75">
      <c r="H39" s="39" t="s">
        <v>105</v>
      </c>
      <c r="I39" s="63">
        <f>ONSV_AUX_2022!I57</f>
        <v>80115</v>
      </c>
      <c r="J39" s="10">
        <f>I39</f>
        <v>80115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126989.50701702858</v>
      </c>
      <c r="S39" s="51"/>
      <c r="T39" s="68" t="s">
        <v>150</v>
      </c>
      <c r="U39" s="75">
        <f>O44</f>
        <v>56903.106790591613</v>
      </c>
      <c r="V39" s="51"/>
      <c r="W39" s="68" t="s">
        <v>151</v>
      </c>
      <c r="X39" s="70">
        <f>I43</f>
        <v>9229</v>
      </c>
    </row>
    <row r="40" spans="8:24" ht="15.75">
      <c r="H40" s="39" t="s">
        <v>106</v>
      </c>
      <c r="I40" s="63">
        <f>ONSV_AUX_2022!I58</f>
        <v>21622</v>
      </c>
      <c r="J40" s="10">
        <f>I40</f>
        <v>21622</v>
      </c>
      <c r="K40" s="11"/>
      <c r="L40" s="11"/>
      <c r="M40" s="11"/>
      <c r="O40" s="76"/>
      <c r="P40" s="79"/>
      <c r="Q40" s="68" t="s">
        <v>135</v>
      </c>
      <c r="R40" s="63">
        <f>J42-R37</f>
        <v>44233.519495244764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ONSV_AUX_2022!I59</f>
        <v>201278</v>
      </c>
      <c r="J41" s="64">
        <f>I41-(L34*I32)</f>
        <v>200871.5892240532</v>
      </c>
      <c r="K41" s="11"/>
      <c r="L41" s="11"/>
      <c r="M41" s="11"/>
      <c r="N41" s="30" t="s">
        <v>142</v>
      </c>
      <c r="O41" s="63">
        <f>I29</f>
        <v>53382</v>
      </c>
      <c r="P41" s="79"/>
      <c r="Q41" s="51"/>
      <c r="R41" s="51"/>
      <c r="S41" s="80"/>
      <c r="T41" s="68" t="s">
        <v>141</v>
      </c>
      <c r="U41" s="71">
        <f>R36</f>
        <v>73882.082207024621</v>
      </c>
      <c r="V41" s="51"/>
      <c r="W41" s="68" t="s">
        <v>152</v>
      </c>
      <c r="X41" s="70">
        <f>I44</f>
        <v>501648</v>
      </c>
    </row>
    <row r="42" spans="8:24" ht="15.75">
      <c r="H42" s="39" t="s">
        <v>108</v>
      </c>
      <c r="I42" s="63">
        <f>ONSV_AUX_2022!I60</f>
        <v>70110</v>
      </c>
      <c r="J42" s="64">
        <f>I42-(L35*I32)</f>
        <v>69968.437288220128</v>
      </c>
      <c r="K42" s="11"/>
      <c r="L42" s="11"/>
      <c r="M42" s="11"/>
      <c r="N42" s="30" t="s">
        <v>145</v>
      </c>
      <c r="O42" s="63">
        <f>I33</f>
        <v>41698</v>
      </c>
      <c r="P42" s="79"/>
      <c r="Q42" s="51"/>
      <c r="R42" s="51"/>
      <c r="S42" s="51"/>
      <c r="T42" s="68" t="s">
        <v>153</v>
      </c>
      <c r="U42" s="71">
        <f>I41-J41</f>
        <v>406.41077594680246</v>
      </c>
      <c r="V42" s="51"/>
      <c r="W42" s="68" t="s">
        <v>154</v>
      </c>
      <c r="X42" s="70">
        <f>I45</f>
        <v>132008</v>
      </c>
    </row>
    <row r="43" spans="8:24" ht="15.75">
      <c r="H43" s="39" t="s">
        <v>109</v>
      </c>
      <c r="I43" s="63">
        <f>ONSV_AUX_2022!I61</f>
        <v>9229</v>
      </c>
      <c r="J43" s="10">
        <f>I43</f>
        <v>9229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907746.80872775742</v>
      </c>
      <c r="P43" s="79"/>
      <c r="Q43" s="51"/>
      <c r="R43" s="81"/>
      <c r="S43" s="51"/>
      <c r="T43" s="68" t="s">
        <v>149</v>
      </c>
      <c r="U43" s="75">
        <f>R39</f>
        <v>126989.50701702858</v>
      </c>
      <c r="V43" s="51"/>
      <c r="W43" s="51"/>
      <c r="X43" s="51"/>
    </row>
    <row r="44" spans="8:24" ht="15.75">
      <c r="H44" s="39" t="s">
        <v>110</v>
      </c>
      <c r="I44" s="63">
        <f>ONSV_AUX_2022!I62</f>
        <v>501648</v>
      </c>
      <c r="J44" s="10">
        <f>I44</f>
        <v>501648</v>
      </c>
      <c r="K44" s="11"/>
      <c r="L44" s="11"/>
      <c r="M44" s="11"/>
      <c r="N44" s="30" t="s">
        <v>150</v>
      </c>
      <c r="O44" s="63">
        <f>IF((J38-O41-O43-O42)&lt;0,0,(J38-O41-O43-O42))</f>
        <v>56903.106790591613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ONSV_AUX_2022!I63</f>
        <v>132008</v>
      </c>
      <c r="J45" s="10">
        <f>I45</f>
        <v>132008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2124380</v>
      </c>
    </row>
    <row r="46" spans="8:24" ht="15.75">
      <c r="H46" s="39" t="s">
        <v>112</v>
      </c>
      <c r="I46" s="63">
        <f>ONSV_AUX_2022!I64</f>
        <v>16314</v>
      </c>
      <c r="J46" s="10">
        <f>I46</f>
        <v>16314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ONSV_AUX_2022!I65</f>
        <v>30182</v>
      </c>
      <c r="J47" s="64">
        <f>I47-(L36*I32)</f>
        <v>30121.057969377547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6" customFormat="1" ht="15.75">
      <c r="A50" s="100" t="str">
        <f>"ESPÍRITO SANTO/"&amp;ONSV_AUX_2021!$A$1&amp;""</f>
        <v>ESPÍRITO SANTO/2021</v>
      </c>
      <c r="B50" s="101"/>
      <c r="C50" s="101"/>
      <c r="D50" s="101"/>
      <c r="E50" s="101"/>
      <c r="F50" s="101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ONSV_AUX_2021!I27</f>
        <v>53337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ONSV_AUX_2021!I28</f>
        <v>881441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ONSV_AUX_2021!I29</f>
        <v>214285</v>
      </c>
      <c r="J56" s="9"/>
      <c r="K56" s="2" t="s">
        <v>122</v>
      </c>
      <c r="L56" s="63">
        <f>I63+I66+I67+I72</f>
        <v>1317951</v>
      </c>
      <c r="N56" s="30" t="s">
        <v>123</v>
      </c>
      <c r="O56" s="63">
        <f>J63+J72</f>
        <v>1060110.5858412036</v>
      </c>
      <c r="P56" s="67"/>
      <c r="Q56" s="68" t="s">
        <v>124</v>
      </c>
      <c r="R56" s="63">
        <f>J66+J67</f>
        <v>256229.41415879648</v>
      </c>
      <c r="S56" s="69"/>
      <c r="T56" s="68" t="s">
        <v>125</v>
      </c>
      <c r="U56" s="70">
        <f>O60</f>
        <v>21589.079484043836</v>
      </c>
      <c r="V56" s="51"/>
      <c r="W56" s="68" t="s">
        <v>126</v>
      </c>
      <c r="X56" s="71">
        <f>R62</f>
        <v>23395.226554612676</v>
      </c>
    </row>
    <row r="57" spans="1:24" ht="15.75">
      <c r="H57" s="38" t="s">
        <v>102</v>
      </c>
      <c r="I57" s="63">
        <f>ONSV_AUX_2021!I30</f>
        <v>1611</v>
      </c>
      <c r="J57" s="9"/>
      <c r="K57" s="29"/>
      <c r="L57" s="65"/>
      <c r="M57" s="22"/>
      <c r="N57" s="30" t="s">
        <v>127</v>
      </c>
      <c r="O57" s="72">
        <f>J63/O56</f>
        <v>0.97550706231722384</v>
      </c>
      <c r="P57" s="67"/>
      <c r="Q57" s="73" t="s">
        <v>128</v>
      </c>
      <c r="R57" s="66">
        <f>J66/R56</f>
        <v>0.74422221615869466</v>
      </c>
      <c r="S57" s="74"/>
      <c r="T57" s="68" t="s">
        <v>129</v>
      </c>
      <c r="U57" s="70">
        <f>I72-J72</f>
        <v>31.777484140155138</v>
      </c>
      <c r="V57" s="51"/>
      <c r="W57" s="68" t="s">
        <v>130</v>
      </c>
      <c r="X57" s="71">
        <f>I67-J67</f>
        <v>80.20829150704958</v>
      </c>
    </row>
    <row r="58" spans="1:24" ht="15.75">
      <c r="H58" s="38" t="s">
        <v>16</v>
      </c>
      <c r="I58" s="63">
        <f>ONSV_AUX_2021!I31</f>
        <v>40432</v>
      </c>
      <c r="J58" s="9"/>
      <c r="K58" s="2" t="s">
        <v>131</v>
      </c>
      <c r="L58" s="66">
        <f>I63/L56</f>
        <v>0.78562177197786565</v>
      </c>
      <c r="M58" s="22"/>
      <c r="N58" s="30" t="s">
        <v>132</v>
      </c>
      <c r="O58" s="72">
        <f>J72/O56</f>
        <v>2.4492937682776085E-2</v>
      </c>
      <c r="P58" s="67"/>
      <c r="Q58" s="73" t="s">
        <v>133</v>
      </c>
      <c r="R58" s="66">
        <f>J67/R56</f>
        <v>0.25577778384130534</v>
      </c>
      <c r="S58" s="74"/>
      <c r="T58" s="68" t="s">
        <v>134</v>
      </c>
      <c r="U58" s="75">
        <f>O62</f>
        <v>4376.1430318160092</v>
      </c>
      <c r="V58" s="76"/>
      <c r="W58" s="68" t="s">
        <v>135</v>
      </c>
      <c r="X58" s="75">
        <f>R65</f>
        <v>42142.565153880278</v>
      </c>
    </row>
    <row r="59" spans="1:24" ht="15.75">
      <c r="H59" s="38" t="s">
        <v>94</v>
      </c>
      <c r="I59" s="63">
        <f>ONSV_AUX_2021!I32</f>
        <v>854651</v>
      </c>
      <c r="J59" s="10"/>
      <c r="K59" s="2" t="s">
        <v>2</v>
      </c>
      <c r="L59" s="66">
        <f>I66/L56</f>
        <v>0.14486502153721953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4.9787890445092423E-2</v>
      </c>
      <c r="M60" s="22"/>
      <c r="N60" s="30" t="s">
        <v>136</v>
      </c>
      <c r="O60" s="63">
        <f>IF(O58*I55&gt;J72,J72,O58*I55)</f>
        <v>21589.079484043836</v>
      </c>
      <c r="P60" s="79"/>
      <c r="Q60" s="68" t="s">
        <v>137</v>
      </c>
      <c r="R60" s="63">
        <f>I56-I64-I65-I68-I71</f>
        <v>91467</v>
      </c>
      <c r="S60" s="80"/>
      <c r="T60" s="68" t="s">
        <v>138</v>
      </c>
      <c r="U60" s="70">
        <f>O68</f>
        <v>859851.92051595612</v>
      </c>
      <c r="V60" s="79"/>
      <c r="W60" s="68" t="s">
        <v>139</v>
      </c>
      <c r="X60" s="70">
        <f>I64</f>
        <v>77641</v>
      </c>
    </row>
    <row r="61" spans="1:24" ht="15.75">
      <c r="H61" s="26" t="s">
        <v>140</v>
      </c>
      <c r="K61" s="2" t="s">
        <v>0</v>
      </c>
      <c r="L61" s="66">
        <f>I72/L56</f>
        <v>1.9725316039822423E-2</v>
      </c>
      <c r="O61" s="51"/>
      <c r="P61" s="79"/>
      <c r="Q61" s="68" t="s">
        <v>141</v>
      </c>
      <c r="R61" s="63">
        <f>R57*R60</f>
        <v>68071.773445387327</v>
      </c>
      <c r="S61" s="51"/>
      <c r="T61" s="68" t="s">
        <v>142</v>
      </c>
      <c r="U61" s="70">
        <f>O66</f>
        <v>53337</v>
      </c>
      <c r="V61" s="69"/>
      <c r="W61" s="68" t="s">
        <v>143</v>
      </c>
      <c r="X61" s="70">
        <f>I65</f>
        <v>20351</v>
      </c>
    </row>
    <row r="62" spans="1:24" ht="15.75">
      <c r="K62" s="11"/>
      <c r="L62" s="11"/>
      <c r="M62" s="11"/>
      <c r="N62" s="30" t="s">
        <v>144</v>
      </c>
      <c r="O62" s="63">
        <f>J72-O60</f>
        <v>4376.1430318160092</v>
      </c>
      <c r="P62" s="79"/>
      <c r="Q62" s="68" t="s">
        <v>126</v>
      </c>
      <c r="R62" s="63">
        <f>R58*R60</f>
        <v>23395.226554612676</v>
      </c>
      <c r="S62" s="51"/>
      <c r="T62" s="68" t="s">
        <v>145</v>
      </c>
      <c r="U62" s="70">
        <f>O67</f>
        <v>40432</v>
      </c>
      <c r="V62" s="74"/>
      <c r="W62" s="51"/>
      <c r="X62" s="65"/>
    </row>
    <row r="63" spans="1:24" ht="15.75">
      <c r="H63" s="39" t="s">
        <v>104</v>
      </c>
      <c r="I63" s="63">
        <f>ONSV_AUX_2021!I56</f>
        <v>1035411</v>
      </c>
      <c r="J63" s="64">
        <f>I63-(L58*I57)</f>
        <v>1034145.3633253437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1265.6366746562999</v>
      </c>
      <c r="V63" s="74"/>
      <c r="W63" s="68" t="s">
        <v>147</v>
      </c>
      <c r="X63" s="70">
        <f>I71</f>
        <v>15897</v>
      </c>
    </row>
    <row r="64" spans="1:24" ht="15.75">
      <c r="H64" s="39" t="s">
        <v>105</v>
      </c>
      <c r="I64" s="63">
        <f>ONSV_AUX_2021!I57</f>
        <v>77641</v>
      </c>
      <c r="J64" s="10">
        <f>I64</f>
        <v>77641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122619.84900491622</v>
      </c>
      <c r="S64" s="51"/>
      <c r="T64" s="68" t="s">
        <v>150</v>
      </c>
      <c r="U64" s="75">
        <f>O69</f>
        <v>80524.442809387576</v>
      </c>
      <c r="V64" s="51"/>
      <c r="W64" s="68" t="s">
        <v>151</v>
      </c>
      <c r="X64" s="70">
        <f>I68</f>
        <v>8929</v>
      </c>
    </row>
    <row r="65" spans="1:24" ht="15.75">
      <c r="H65" s="39" t="s">
        <v>106</v>
      </c>
      <c r="I65" s="63">
        <f>ONSV_AUX_2021!I58</f>
        <v>20351</v>
      </c>
      <c r="J65" s="10">
        <f>I65</f>
        <v>20351</v>
      </c>
      <c r="K65" s="11"/>
      <c r="L65" s="11"/>
      <c r="M65" s="11"/>
      <c r="O65" s="76"/>
      <c r="P65" s="79"/>
      <c r="Q65" s="68" t="s">
        <v>135</v>
      </c>
      <c r="R65" s="63">
        <f>J67-R62</f>
        <v>42142.565153880278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ONSV_AUX_2021!I59</f>
        <v>190925</v>
      </c>
      <c r="J66" s="64">
        <f>I66-(L59*I57)</f>
        <v>190691.62245030355</v>
      </c>
      <c r="K66" s="11"/>
      <c r="L66" s="11"/>
      <c r="M66" s="11"/>
      <c r="N66" s="30" t="s">
        <v>142</v>
      </c>
      <c r="O66" s="63">
        <f>I54</f>
        <v>53337</v>
      </c>
      <c r="P66" s="79"/>
      <c r="Q66" s="51"/>
      <c r="R66" s="51"/>
      <c r="S66" s="80"/>
      <c r="T66" s="68" t="s">
        <v>141</v>
      </c>
      <c r="U66" s="71">
        <f>R61</f>
        <v>68071.773445387327</v>
      </c>
      <c r="V66" s="51"/>
      <c r="W66" s="68" t="s">
        <v>152</v>
      </c>
      <c r="X66" s="70">
        <f>I69</f>
        <v>482046</v>
      </c>
    </row>
    <row r="67" spans="1:24" ht="15.75">
      <c r="H67" s="39" t="s">
        <v>108</v>
      </c>
      <c r="I67" s="63">
        <f>ONSV_AUX_2021!I60</f>
        <v>65618</v>
      </c>
      <c r="J67" s="64">
        <f>I67-(L60*I57)</f>
        <v>65537.79170849295</v>
      </c>
      <c r="K67" s="11"/>
      <c r="L67" s="11"/>
      <c r="M67" s="11"/>
      <c r="N67" s="30" t="s">
        <v>145</v>
      </c>
      <c r="O67" s="63">
        <f>I58</f>
        <v>40432</v>
      </c>
      <c r="P67" s="79"/>
      <c r="Q67" s="51"/>
      <c r="R67" s="51"/>
      <c r="S67" s="51"/>
      <c r="T67" s="68" t="s">
        <v>153</v>
      </c>
      <c r="U67" s="71">
        <f>I66-J66</f>
        <v>233.37754969645175</v>
      </c>
      <c r="V67" s="51"/>
      <c r="W67" s="68" t="s">
        <v>154</v>
      </c>
      <c r="X67" s="70">
        <f>I70</f>
        <v>123286</v>
      </c>
    </row>
    <row r="68" spans="1:24" ht="15.75">
      <c r="H68" s="39" t="s">
        <v>109</v>
      </c>
      <c r="I68" s="63">
        <f>ONSV_AUX_2021!I61</f>
        <v>8929</v>
      </c>
      <c r="J68" s="10">
        <f>I68</f>
        <v>8929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859851.92051595612</v>
      </c>
      <c r="P68" s="79"/>
      <c r="Q68" s="51"/>
      <c r="R68" s="81"/>
      <c r="S68" s="51"/>
      <c r="T68" s="68" t="s">
        <v>149</v>
      </c>
      <c r="U68" s="75">
        <f>R64</f>
        <v>122619.84900491622</v>
      </c>
      <c r="V68" s="51"/>
      <c r="W68" s="51"/>
      <c r="X68" s="51"/>
    </row>
    <row r="69" spans="1:24" ht="15.75">
      <c r="H69" s="39" t="s">
        <v>110</v>
      </c>
      <c r="I69" s="63">
        <f>ONSV_AUX_2021!I62</f>
        <v>482046</v>
      </c>
      <c r="J69" s="10">
        <f>I69</f>
        <v>482046</v>
      </c>
      <c r="K69" s="11"/>
      <c r="L69" s="11"/>
      <c r="M69" s="11"/>
      <c r="N69" s="30" t="s">
        <v>150</v>
      </c>
      <c r="O69" s="63">
        <f>IF((J63-O66-O68-O67)&lt;0,0,(J63-O66-O68-O67))</f>
        <v>80524.442809387576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ONSV_AUX_2021!I63</f>
        <v>123286</v>
      </c>
      <c r="J70" s="10">
        <f>I70</f>
        <v>123286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2046101</v>
      </c>
    </row>
    <row r="71" spans="1:24" ht="15.75">
      <c r="H71" s="39" t="s">
        <v>112</v>
      </c>
      <c r="I71" s="63">
        <f>ONSV_AUX_2021!I64</f>
        <v>15897</v>
      </c>
      <c r="J71" s="10">
        <f>I71</f>
        <v>15897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ONSV_AUX_2021!I65</f>
        <v>25997</v>
      </c>
      <c r="J72" s="64">
        <f>I72-(L61*I57)</f>
        <v>25965.222515859845</v>
      </c>
      <c r="K72" s="12"/>
      <c r="L72" s="12"/>
      <c r="M72" s="12"/>
      <c r="N72" s="12"/>
      <c r="O72" s="12"/>
      <c r="P72" s="12"/>
      <c r="Q72" s="4"/>
      <c r="R72" s="4"/>
    </row>
    <row r="75" spans="1:24" s="36" customFormat="1" ht="15.75">
      <c r="A75" s="100" t="str">
        <f>"ESPÍRITO SANTO/"&amp;ONSV_AUX_2020!$A$1&amp;""</f>
        <v>ESPÍRITO SANTO/2020</v>
      </c>
      <c r="B75" s="101"/>
      <c r="C75" s="101"/>
      <c r="D75" s="101"/>
      <c r="E75" s="101"/>
      <c r="F75" s="10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ONSV_AUX_2020!I27</f>
        <v>53288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ONSV_AUX_2020!I28</f>
        <v>826919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ONSV_AUX_2020!I29</f>
        <v>204964</v>
      </c>
      <c r="J81" s="9"/>
      <c r="K81" s="2" t="s">
        <v>122</v>
      </c>
      <c r="L81" s="63">
        <f>I88+I91+I92+I97</f>
        <v>1269609</v>
      </c>
      <c r="N81" s="30" t="s">
        <v>123</v>
      </c>
      <c r="O81" s="63">
        <f>J88+J97</f>
        <v>1024095.9863012943</v>
      </c>
      <c r="P81" s="67"/>
      <c r="Q81" s="68" t="s">
        <v>124</v>
      </c>
      <c r="R81" s="63">
        <f>J91+J92</f>
        <v>244621.01369870568</v>
      </c>
      <c r="S81" s="69"/>
      <c r="T81" s="68" t="s">
        <v>125</v>
      </c>
      <c r="U81" s="70">
        <f>O85</f>
        <v>18108.339641457587</v>
      </c>
      <c r="V81" s="51"/>
      <c r="W81" s="68" t="s">
        <v>126</v>
      </c>
      <c r="X81" s="71">
        <f>R87</f>
        <v>21850.359953103231</v>
      </c>
    </row>
    <row r="82" spans="8:24" ht="15.75">
      <c r="H82" s="38" t="s">
        <v>102</v>
      </c>
      <c r="I82" s="63">
        <f>ONSV_AUX_2020!I30</f>
        <v>892</v>
      </c>
      <c r="J82" s="9"/>
      <c r="K82" s="29"/>
      <c r="L82" s="65"/>
      <c r="M82" s="22"/>
      <c r="N82" s="30" t="s">
        <v>127</v>
      </c>
      <c r="O82" s="72">
        <f>J88/O81</f>
        <v>0.97810143479414835</v>
      </c>
      <c r="P82" s="67"/>
      <c r="Q82" s="73" t="s">
        <v>128</v>
      </c>
      <c r="R82" s="66">
        <f>J91/R81</f>
        <v>0.74395509675521765</v>
      </c>
      <c r="S82" s="74"/>
      <c r="T82" s="68" t="s">
        <v>129</v>
      </c>
      <c r="U82" s="70">
        <f>I97-J97</f>
        <v>15.767266930211917</v>
      </c>
      <c r="V82" s="51"/>
      <c r="W82" s="68" t="s">
        <v>130</v>
      </c>
      <c r="X82" s="71">
        <f>I92-J92</f>
        <v>44.036215874337358</v>
      </c>
    </row>
    <row r="83" spans="8:24" ht="15.75">
      <c r="H83" s="38" t="s">
        <v>16</v>
      </c>
      <c r="I83" s="63">
        <f>ONSV_AUX_2020!I31</f>
        <v>39315</v>
      </c>
      <c r="J83" s="9"/>
      <c r="K83" s="2" t="s">
        <v>131</v>
      </c>
      <c r="L83" s="66">
        <f>I88/L81</f>
        <v>0.78951393696799566</v>
      </c>
      <c r="M83" s="22"/>
      <c r="N83" s="30" t="s">
        <v>132</v>
      </c>
      <c r="O83" s="72">
        <f>J97/O81</f>
        <v>2.1898565205851588E-2</v>
      </c>
      <c r="P83" s="67"/>
      <c r="Q83" s="73" t="s">
        <v>133</v>
      </c>
      <c r="R83" s="66">
        <f>J92/R81</f>
        <v>0.2560449032447823</v>
      </c>
      <c r="S83" s="74"/>
      <c r="T83" s="68" t="s">
        <v>134</v>
      </c>
      <c r="U83" s="75">
        <f>O87</f>
        <v>4317.8930916122008</v>
      </c>
      <c r="V83" s="76"/>
      <c r="W83" s="68" t="s">
        <v>135</v>
      </c>
      <c r="X83" s="75">
        <f>R90</f>
        <v>40783.603831022432</v>
      </c>
    </row>
    <row r="84" spans="8:24" ht="15.75">
      <c r="H84" s="38" t="s">
        <v>94</v>
      </c>
      <c r="I84" s="63">
        <f>ONSV_AUX_2020!I32</f>
        <v>846552</v>
      </c>
      <c r="J84" s="10"/>
      <c r="K84" s="2" t="s">
        <v>2</v>
      </c>
      <c r="L84" s="66">
        <f>I91/L81</f>
        <v>0.14344179979820559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4.9367955016071878E-2</v>
      </c>
      <c r="M85" s="22"/>
      <c r="N85" s="30" t="s">
        <v>136</v>
      </c>
      <c r="O85" s="63">
        <f>IF(O83*I80&gt;J97,J97,O83*I80)</f>
        <v>18108.339641457587</v>
      </c>
      <c r="P85" s="79"/>
      <c r="Q85" s="68" t="s">
        <v>137</v>
      </c>
      <c r="R85" s="63">
        <f>I81-I89-I90-I93-I96</f>
        <v>85338</v>
      </c>
      <c r="S85" s="80"/>
      <c r="T85" s="68" t="s">
        <v>138</v>
      </c>
      <c r="U85" s="70">
        <f>O93</f>
        <v>808810.66035854234</v>
      </c>
      <c r="V85" s="79"/>
      <c r="W85" s="68" t="s">
        <v>139</v>
      </c>
      <c r="X85" s="70">
        <f>I89</f>
        <v>76300</v>
      </c>
    </row>
    <row r="86" spans="8:24" ht="15.75">
      <c r="H86" s="26" t="s">
        <v>140</v>
      </c>
      <c r="K86" s="2" t="s">
        <v>0</v>
      </c>
      <c r="L86" s="66">
        <f>I97/L81</f>
        <v>1.7676308217726876E-2</v>
      </c>
      <c r="O86" s="51"/>
      <c r="P86" s="79"/>
      <c r="Q86" s="68" t="s">
        <v>141</v>
      </c>
      <c r="R86" s="63">
        <f>R82*R85</f>
        <v>63487.640046896762</v>
      </c>
      <c r="S86" s="51"/>
      <c r="T86" s="68" t="s">
        <v>142</v>
      </c>
      <c r="U86" s="70">
        <f>O91</f>
        <v>53288</v>
      </c>
      <c r="V86" s="69"/>
      <c r="W86" s="68" t="s">
        <v>143</v>
      </c>
      <c r="X86" s="70">
        <f>I90</f>
        <v>19259</v>
      </c>
    </row>
    <row r="87" spans="8:24" ht="15.75">
      <c r="K87" s="11"/>
      <c r="L87" s="11"/>
      <c r="M87" s="11"/>
      <c r="N87" s="30" t="s">
        <v>144</v>
      </c>
      <c r="O87" s="63">
        <f>J97-O85</f>
        <v>4317.8930916122008</v>
      </c>
      <c r="P87" s="79"/>
      <c r="Q87" s="68" t="s">
        <v>126</v>
      </c>
      <c r="R87" s="63">
        <f>R83*R85</f>
        <v>21850.359953103231</v>
      </c>
      <c r="S87" s="51"/>
      <c r="T87" s="68" t="s">
        <v>145</v>
      </c>
      <c r="U87" s="70">
        <f>O92</f>
        <v>39315</v>
      </c>
      <c r="V87" s="74"/>
      <c r="W87" s="51"/>
      <c r="X87" s="65"/>
    </row>
    <row r="88" spans="8:24" ht="15.75">
      <c r="H88" s="39" t="s">
        <v>104</v>
      </c>
      <c r="I88" s="63">
        <f>ONSV_AUX_2020!I56</f>
        <v>1002374</v>
      </c>
      <c r="J88" s="64">
        <f>I88-(L83*I82)</f>
        <v>1001669.7535682245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704.24643177550752</v>
      </c>
      <c r="V88" s="74"/>
      <c r="W88" s="68" t="s">
        <v>147</v>
      </c>
      <c r="X88" s="70">
        <f>I96</f>
        <v>15340</v>
      </c>
    </row>
    <row r="89" spans="8:24" ht="15.75">
      <c r="H89" s="39" t="s">
        <v>105</v>
      </c>
      <c r="I89" s="63">
        <f>ONSV_AUX_2020!I57</f>
        <v>76300</v>
      </c>
      <c r="J89" s="10">
        <f>I89</f>
        <v>76300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118499.40986768325</v>
      </c>
      <c r="S89" s="51"/>
      <c r="T89" s="68" t="s">
        <v>150</v>
      </c>
      <c r="U89" s="75">
        <f>O94</f>
        <v>100256.09320968215</v>
      </c>
      <c r="V89" s="51"/>
      <c r="W89" s="68" t="s">
        <v>151</v>
      </c>
      <c r="X89" s="70">
        <f>I93</f>
        <v>8727</v>
      </c>
    </row>
    <row r="90" spans="8:24" ht="15.75">
      <c r="H90" s="39" t="s">
        <v>106</v>
      </c>
      <c r="I90" s="63">
        <f>ONSV_AUX_2020!I58</f>
        <v>19259</v>
      </c>
      <c r="J90" s="10">
        <f>I90</f>
        <v>19259</v>
      </c>
      <c r="K90" s="11"/>
      <c r="L90" s="11"/>
      <c r="M90" s="11"/>
      <c r="O90" s="76"/>
      <c r="P90" s="79"/>
      <c r="Q90" s="68" t="s">
        <v>135</v>
      </c>
      <c r="R90" s="63">
        <f>J92-R87</f>
        <v>40783.603831022432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ONSV_AUX_2020!I59</f>
        <v>182115</v>
      </c>
      <c r="J91" s="64">
        <f>I91-(L84*I82)</f>
        <v>181987.04991458001</v>
      </c>
      <c r="K91" s="11"/>
      <c r="L91" s="11"/>
      <c r="M91" s="11"/>
      <c r="N91" s="30" t="s">
        <v>142</v>
      </c>
      <c r="O91" s="63">
        <f>I79</f>
        <v>53288</v>
      </c>
      <c r="P91" s="79"/>
      <c r="Q91" s="51"/>
      <c r="R91" s="51"/>
      <c r="S91" s="80"/>
      <c r="T91" s="68" t="s">
        <v>141</v>
      </c>
      <c r="U91" s="71">
        <f>R86</f>
        <v>63487.640046896762</v>
      </c>
      <c r="V91" s="51"/>
      <c r="W91" s="68" t="s">
        <v>152</v>
      </c>
      <c r="X91" s="70">
        <f>I94</f>
        <v>466715</v>
      </c>
    </row>
    <row r="92" spans="8:24" ht="15.75">
      <c r="H92" s="39" t="s">
        <v>108</v>
      </c>
      <c r="I92" s="63">
        <f>ONSV_AUX_2020!I60</f>
        <v>62678</v>
      </c>
      <c r="J92" s="64">
        <f>I92-(L85*I82)</f>
        <v>62633.963784125663</v>
      </c>
      <c r="K92" s="11"/>
      <c r="L92" s="11"/>
      <c r="M92" s="11"/>
      <c r="N92" s="30" t="s">
        <v>145</v>
      </c>
      <c r="O92" s="63">
        <f>I83</f>
        <v>39315</v>
      </c>
      <c r="P92" s="79"/>
      <c r="Q92" s="51"/>
      <c r="R92" s="51"/>
      <c r="S92" s="51"/>
      <c r="T92" s="68" t="s">
        <v>153</v>
      </c>
      <c r="U92" s="71">
        <f>I91-J91</f>
        <v>127.95008541998686</v>
      </c>
      <c r="V92" s="51"/>
      <c r="W92" s="68" t="s">
        <v>154</v>
      </c>
      <c r="X92" s="70">
        <f>I95</f>
        <v>116438</v>
      </c>
    </row>
    <row r="93" spans="8:24" ht="15.75">
      <c r="H93" s="39" t="s">
        <v>109</v>
      </c>
      <c r="I93" s="63">
        <f>ONSV_AUX_2020!I61</f>
        <v>8727</v>
      </c>
      <c r="J93" s="10">
        <f>I93</f>
        <v>8727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808810.66035854234</v>
      </c>
      <c r="P93" s="79"/>
      <c r="Q93" s="51"/>
      <c r="R93" s="81"/>
      <c r="S93" s="51"/>
      <c r="T93" s="68" t="s">
        <v>149</v>
      </c>
      <c r="U93" s="75">
        <f>R89</f>
        <v>118499.40986768325</v>
      </c>
      <c r="V93" s="51"/>
      <c r="W93" s="51"/>
      <c r="X93" s="51"/>
    </row>
    <row r="94" spans="8:24" ht="15.75">
      <c r="H94" s="39" t="s">
        <v>110</v>
      </c>
      <c r="I94" s="63">
        <f>ONSV_AUX_2020!I62</f>
        <v>466715</v>
      </c>
      <c r="J94" s="10">
        <f>I94</f>
        <v>466715</v>
      </c>
      <c r="K94" s="11"/>
      <c r="L94" s="11"/>
      <c r="M94" s="11"/>
      <c r="N94" s="30" t="s">
        <v>150</v>
      </c>
      <c r="O94" s="63">
        <f>IF((J88-O91-O93-O92)&lt;0,0,(J88-O91-O93-O92))</f>
        <v>100256.09320968215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ONSV_AUX_2020!I63</f>
        <v>116438</v>
      </c>
      <c r="J95" s="10">
        <f>I95</f>
        <v>116438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1972388</v>
      </c>
    </row>
    <row r="96" spans="8:24" ht="15.75">
      <c r="H96" s="39" t="s">
        <v>112</v>
      </c>
      <c r="I96" s="63">
        <f>ONSV_AUX_2020!I64</f>
        <v>15340</v>
      </c>
      <c r="J96" s="10">
        <f>I96</f>
        <v>15340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ONSV_AUX_2020!I65</f>
        <v>22442</v>
      </c>
      <c r="J97" s="64">
        <f>I97-(L86*I82)</f>
        <v>22426.232733069788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6" customFormat="1" ht="15.75">
      <c r="A100" s="100" t="str">
        <f>"ESPÍRITO SANTO/"&amp;ONSV_AUX_2019!$A$1&amp;""</f>
        <v>ESPÍRITO SANTO/2019</v>
      </c>
      <c r="B100" s="101"/>
      <c r="C100" s="101"/>
      <c r="D100" s="101"/>
      <c r="E100" s="101"/>
      <c r="F100" s="101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ONSV_AUX_2019!I27</f>
        <v>53240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ONSV_AUX_2019!I28</f>
        <v>783626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ONSV_AUX_2019!I29</f>
        <v>195932</v>
      </c>
      <c r="J106" s="9"/>
      <c r="K106" s="2" t="s">
        <v>122</v>
      </c>
      <c r="L106" s="63">
        <f>I113+I116+I117+I122</f>
        <v>1229622</v>
      </c>
      <c r="N106" s="30" t="s">
        <v>123</v>
      </c>
      <c r="O106" s="63">
        <f>J113+J122</f>
        <v>994793.33224356757</v>
      </c>
      <c r="P106" s="67"/>
      <c r="Q106" s="68" t="s">
        <v>124</v>
      </c>
      <c r="R106" s="63">
        <f>J116+J117</f>
        <v>234412.66775643246</v>
      </c>
      <c r="S106" s="69"/>
      <c r="T106" s="68" t="s">
        <v>125</v>
      </c>
      <c r="U106" s="70">
        <f>O110</f>
        <v>16198.8588887884</v>
      </c>
      <c r="V106" s="51"/>
      <c r="W106" s="68" t="s">
        <v>126</v>
      </c>
      <c r="X106" s="71">
        <f>R112</f>
        <v>20560.02997543626</v>
      </c>
    </row>
    <row r="107" spans="1:24" ht="15.75">
      <c r="H107" s="38" t="s">
        <v>102</v>
      </c>
      <c r="I107" s="63">
        <f>ONSV_AUX_2019!I30</f>
        <v>416</v>
      </c>
      <c r="J107" s="9"/>
      <c r="K107" s="29"/>
      <c r="L107" s="65"/>
      <c r="M107" s="22"/>
      <c r="N107" s="30" t="s">
        <v>127</v>
      </c>
      <c r="O107" s="72">
        <f>J113/O106</f>
        <v>0.97932832896204514</v>
      </c>
      <c r="P107" s="67"/>
      <c r="Q107" s="73" t="s">
        <v>128</v>
      </c>
      <c r="R107" s="66">
        <f>J116/R106</f>
        <v>0.74174385480101668</v>
      </c>
      <c r="S107" s="74"/>
      <c r="T107" s="68" t="s">
        <v>129</v>
      </c>
      <c r="U107" s="70">
        <f>I122-J122</f>
        <v>6.9594851100591768</v>
      </c>
      <c r="V107" s="51"/>
      <c r="W107" s="68" t="s">
        <v>130</v>
      </c>
      <c r="X107" s="71">
        <f>I117-J117</f>
        <v>20.48803941373626</v>
      </c>
    </row>
    <row r="108" spans="1:24" ht="15.75">
      <c r="H108" s="38" t="s">
        <v>16</v>
      </c>
      <c r="I108" s="63">
        <f>ONSV_AUX_2019!I31</f>
        <v>37288</v>
      </c>
      <c r="J108" s="9"/>
      <c r="K108" s="2" t="s">
        <v>131</v>
      </c>
      <c r="L108" s="66">
        <f>I113/L106</f>
        <v>0.7925679599096308</v>
      </c>
      <c r="M108" s="22"/>
      <c r="N108" s="30" t="s">
        <v>132</v>
      </c>
      <c r="O108" s="72">
        <f>J122/O106</f>
        <v>2.067167103795484E-2</v>
      </c>
      <c r="P108" s="67"/>
      <c r="Q108" s="73" t="s">
        <v>133</v>
      </c>
      <c r="R108" s="66">
        <f>J117/R106</f>
        <v>0.25825614519898332</v>
      </c>
      <c r="S108" s="74"/>
      <c r="T108" s="68" t="s">
        <v>134</v>
      </c>
      <c r="U108" s="75">
        <f>O112</f>
        <v>4365.181626101541</v>
      </c>
      <c r="V108" s="76"/>
      <c r="W108" s="68" t="s">
        <v>135</v>
      </c>
      <c r="X108" s="75">
        <f>R115</f>
        <v>39978.481985150007</v>
      </c>
    </row>
    <row r="109" spans="1:24" ht="15.75">
      <c r="H109" s="38" t="s">
        <v>94</v>
      </c>
      <c r="I109" s="63">
        <f>ONSV_AUX_2019!I32</f>
        <v>838841</v>
      </c>
      <c r="J109" s="10"/>
      <c r="K109" s="2" t="s">
        <v>2</v>
      </c>
      <c r="L109" s="66">
        <f>I116/L106</f>
        <v>0.14145241383124244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4.925009474456378E-2</v>
      </c>
      <c r="M110" s="22"/>
      <c r="N110" s="30" t="s">
        <v>136</v>
      </c>
      <c r="O110" s="63">
        <f>IF(O108*I105&gt;J122,J122,O108*I105)</f>
        <v>16198.8588887884</v>
      </c>
      <c r="P110" s="79"/>
      <c r="Q110" s="68" t="s">
        <v>137</v>
      </c>
      <c r="R110" s="63">
        <f>I106-I114-I115-I118-I121</f>
        <v>79611</v>
      </c>
      <c r="S110" s="80"/>
      <c r="T110" s="68" t="s">
        <v>138</v>
      </c>
      <c r="U110" s="70">
        <f>O118</f>
        <v>767427.14111121162</v>
      </c>
      <c r="V110" s="79"/>
      <c r="W110" s="68" t="s">
        <v>139</v>
      </c>
      <c r="X110" s="70">
        <f>I114</f>
        <v>74505</v>
      </c>
    </row>
    <row r="111" spans="1:24" ht="15.75">
      <c r="H111" s="26" t="s">
        <v>140</v>
      </c>
      <c r="K111" s="2" t="s">
        <v>0</v>
      </c>
      <c r="L111" s="66">
        <f>I122/L106</f>
        <v>1.6729531514563013E-2</v>
      </c>
      <c r="O111" s="51"/>
      <c r="P111" s="79"/>
      <c r="Q111" s="68" t="s">
        <v>141</v>
      </c>
      <c r="R111" s="63">
        <f>R107*R110</f>
        <v>59050.970024563736</v>
      </c>
      <c r="S111" s="51"/>
      <c r="T111" s="68" t="s">
        <v>142</v>
      </c>
      <c r="U111" s="70">
        <f>O116</f>
        <v>53240</v>
      </c>
      <c r="V111" s="69"/>
      <c r="W111" s="68" t="s">
        <v>143</v>
      </c>
      <c r="X111" s="70">
        <f>I115</f>
        <v>18399</v>
      </c>
    </row>
    <row r="112" spans="1:24" ht="15.75">
      <c r="K112" s="11"/>
      <c r="L112" s="11"/>
      <c r="M112" s="11"/>
      <c r="N112" s="30" t="s">
        <v>144</v>
      </c>
      <c r="O112" s="63">
        <f>J122-O110</f>
        <v>4365.181626101541</v>
      </c>
      <c r="P112" s="79"/>
      <c r="Q112" s="68" t="s">
        <v>126</v>
      </c>
      <c r="R112" s="63">
        <f>R108*R110</f>
        <v>20560.02997543626</v>
      </c>
      <c r="S112" s="51"/>
      <c r="T112" s="68" t="s">
        <v>145</v>
      </c>
      <c r="U112" s="70">
        <f>O117</f>
        <v>37288</v>
      </c>
      <c r="V112" s="74"/>
      <c r="W112" s="51"/>
      <c r="X112" s="65"/>
    </row>
    <row r="113" spans="8:24" ht="15.75">
      <c r="H113" s="39" t="s">
        <v>104</v>
      </c>
      <c r="I113" s="63">
        <f>ONSV_AUX_2019!I56</f>
        <v>974559</v>
      </c>
      <c r="J113" s="64">
        <f>I113-(L108*I107)</f>
        <v>974229.29172867758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329.70827132242266</v>
      </c>
      <c r="V113" s="74"/>
      <c r="W113" s="68" t="s">
        <v>147</v>
      </c>
      <c r="X113" s="70">
        <f>I121</f>
        <v>14990</v>
      </c>
    </row>
    <row r="114" spans="8:24" ht="15.75">
      <c r="H114" s="39" t="s">
        <v>105</v>
      </c>
      <c r="I114" s="63">
        <f>ONSV_AUX_2019!I57</f>
        <v>74505</v>
      </c>
      <c r="J114" s="10">
        <f>I114</f>
        <v>74505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114823.18577128246</v>
      </c>
      <c r="S114" s="51"/>
      <c r="T114" s="68" t="s">
        <v>150</v>
      </c>
      <c r="U114" s="75">
        <f>O119</f>
        <v>116274.15061746596</v>
      </c>
      <c r="V114" s="51"/>
      <c r="W114" s="68" t="s">
        <v>151</v>
      </c>
      <c r="X114" s="70">
        <f>I118</f>
        <v>8427</v>
      </c>
    </row>
    <row r="115" spans="8:24" ht="15.75">
      <c r="H115" s="39" t="s">
        <v>106</v>
      </c>
      <c r="I115" s="63">
        <f>ONSV_AUX_2019!I58</f>
        <v>18399</v>
      </c>
      <c r="J115" s="10">
        <f>I115</f>
        <v>18399</v>
      </c>
      <c r="K115" s="11"/>
      <c r="L115" s="11"/>
      <c r="M115" s="11"/>
      <c r="O115" s="76"/>
      <c r="P115" s="79"/>
      <c r="Q115" s="68" t="s">
        <v>135</v>
      </c>
      <c r="R115" s="63">
        <f>J117-R112</f>
        <v>39978.481985150007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ONSV_AUX_2019!I59</f>
        <v>173933</v>
      </c>
      <c r="J116" s="64">
        <f>I116-(L109*I107)</f>
        <v>173874.15579584619</v>
      </c>
      <c r="K116" s="11"/>
      <c r="L116" s="11"/>
      <c r="M116" s="11"/>
      <c r="N116" s="30" t="s">
        <v>142</v>
      </c>
      <c r="O116" s="63">
        <f>I104</f>
        <v>53240</v>
      </c>
      <c r="P116" s="79"/>
      <c r="Q116" s="51"/>
      <c r="R116" s="51"/>
      <c r="S116" s="80"/>
      <c r="T116" s="68" t="s">
        <v>141</v>
      </c>
      <c r="U116" s="71">
        <f>R111</f>
        <v>59050.970024563736</v>
      </c>
      <c r="V116" s="51"/>
      <c r="W116" s="68" t="s">
        <v>152</v>
      </c>
      <c r="X116" s="70">
        <f>I119</f>
        <v>453138</v>
      </c>
    </row>
    <row r="117" spans="8:24" ht="15.75">
      <c r="H117" s="39" t="s">
        <v>108</v>
      </c>
      <c r="I117" s="63">
        <f>ONSV_AUX_2019!I60</f>
        <v>60559</v>
      </c>
      <c r="J117" s="64">
        <f>I117-(L110*I107)</f>
        <v>60538.511960586264</v>
      </c>
      <c r="K117" s="11"/>
      <c r="L117" s="11"/>
      <c r="M117" s="11"/>
      <c r="N117" s="30" t="s">
        <v>145</v>
      </c>
      <c r="O117" s="63">
        <f>I108</f>
        <v>37288</v>
      </c>
      <c r="P117" s="79"/>
      <c r="Q117" s="51"/>
      <c r="R117" s="51"/>
      <c r="S117" s="51"/>
      <c r="T117" s="68" t="s">
        <v>153</v>
      </c>
      <c r="U117" s="71">
        <f>I116-J116</f>
        <v>58.844204153807368</v>
      </c>
      <c r="V117" s="51"/>
      <c r="W117" s="68" t="s">
        <v>154</v>
      </c>
      <c r="X117" s="70">
        <f>I120</f>
        <v>110759</v>
      </c>
    </row>
    <row r="118" spans="8:24" ht="15.75">
      <c r="H118" s="39" t="s">
        <v>109</v>
      </c>
      <c r="I118" s="63">
        <f>ONSV_AUX_2019!I61</f>
        <v>8427</v>
      </c>
      <c r="J118" s="10">
        <f>I118</f>
        <v>8427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767427.14111121162</v>
      </c>
      <c r="P118" s="79"/>
      <c r="Q118" s="51"/>
      <c r="R118" s="81"/>
      <c r="S118" s="51"/>
      <c r="T118" s="68" t="s">
        <v>149</v>
      </c>
      <c r="U118" s="75">
        <f>R114</f>
        <v>114823.18577128246</v>
      </c>
      <c r="V118" s="51"/>
      <c r="W118" s="51"/>
      <c r="X118" s="51"/>
    </row>
    <row r="119" spans="8:24" ht="15.75">
      <c r="H119" s="39" t="s">
        <v>110</v>
      </c>
      <c r="I119" s="63">
        <f>ONSV_AUX_2019!I62</f>
        <v>453138</v>
      </c>
      <c r="J119" s="10">
        <f>I119</f>
        <v>453138</v>
      </c>
      <c r="K119" s="11"/>
      <c r="L119" s="11"/>
      <c r="M119" s="11"/>
      <c r="N119" s="30" t="s">
        <v>150</v>
      </c>
      <c r="O119" s="63">
        <f>IF((J113-O116-O118-O117)&lt;0,0,(J113-O116-O118-O117))</f>
        <v>116274.15061746596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ONSV_AUX_2019!I63</f>
        <v>110759</v>
      </c>
      <c r="J120" s="10">
        <f>I120</f>
        <v>110759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1909840</v>
      </c>
    </row>
    <row r="121" spans="8:24" ht="15.75">
      <c r="H121" s="39" t="s">
        <v>112</v>
      </c>
      <c r="I121" s="63">
        <f>ONSV_AUX_2019!I64</f>
        <v>14990</v>
      </c>
      <c r="J121" s="10">
        <f>I121</f>
        <v>14990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ONSV_AUX_2019!I65</f>
        <v>20571</v>
      </c>
      <c r="J122" s="64">
        <f>I122-(L111*I107)</f>
        <v>20564.040514889941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K104:L104"/>
    <mergeCell ref="A1:F1"/>
    <mergeCell ref="Q4:R4"/>
    <mergeCell ref="T4:X4"/>
    <mergeCell ref="K5:L5"/>
    <mergeCell ref="T27:X27"/>
    <mergeCell ref="T52:X52"/>
    <mergeCell ref="K29:L29"/>
    <mergeCell ref="A25:F25"/>
    <mergeCell ref="A75:F75"/>
    <mergeCell ref="A100:F100"/>
    <mergeCell ref="A50:F50"/>
    <mergeCell ref="K54:L54"/>
    <mergeCell ref="K79:L7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1:X122"/>
  <sheetViews>
    <sheetView showGridLines="0" topLeftCell="A88" zoomScale="90" zoomScaleNormal="90" workbookViewId="0">
      <selection sqref="A1:F1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</cols>
  <sheetData>
    <row r="1" spans="1:24" s="33" customFormat="1" ht="15.75">
      <c r="A1" s="100" t="str">
        <f>"GOIÁS/"&amp;ONSV_AUX_2023!$A$1&amp;""</f>
        <v>GOIÁS/2023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ONSV_AUX_2023!J27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ONSV_AUX_2023!J28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ONSV_AUX_2023!J29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ONSV_AUX_2023!J30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ONSV_AUX_2023!J31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ONSV_AUX_2023!J32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ONSV_AUX_2023!J56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ONSV_AUX_2023!J57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ONSV_AUX_2023!J58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ONSV_AUX_2023!J59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ONSV_AUX_2023!J60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ONSV_AUX_2023!J61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ONSV_AUX_2023!J62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ONSV_AUX_2023!J63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ONSV_AUX_2023!J64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ONSV_AUX_2023!J65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6" customFormat="1" ht="15.75">
      <c r="A25" s="100" t="str">
        <f>"GOIÁS/"&amp;ONSV_AUX_2022!$A$1&amp;""</f>
        <v>GOIÁS/2022</v>
      </c>
      <c r="B25" s="101"/>
      <c r="C25" s="101"/>
      <c r="D25" s="101"/>
      <c r="E25" s="101"/>
      <c r="F25" s="10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5.75">
      <c r="A26" s="3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ONSV_AUX_2022!J27</f>
        <v>159929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ONSV_AUX_2022!J28</f>
        <v>1778559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ONSV_AUX_2022!J29</f>
        <v>396622</v>
      </c>
      <c r="J31" s="9"/>
      <c r="K31" s="2" t="s">
        <v>122</v>
      </c>
      <c r="L31" s="63">
        <f>I38+I41+I42+I47</f>
        <v>2649691</v>
      </c>
      <c r="N31" s="30" t="s">
        <v>123</v>
      </c>
      <c r="O31" s="63">
        <f>J38+J47</f>
        <v>2100130.327951448</v>
      </c>
      <c r="P31" s="67"/>
      <c r="Q31" s="68" t="s">
        <v>124</v>
      </c>
      <c r="R31" s="63">
        <f>J41+J42</f>
        <v>546269.67204855208</v>
      </c>
      <c r="S31" s="69"/>
      <c r="T31" s="68" t="s">
        <v>125</v>
      </c>
      <c r="U31" s="70">
        <f>O35</f>
        <v>39870.661327923248</v>
      </c>
      <c r="V31" s="51"/>
      <c r="W31" s="68" t="s">
        <v>126</v>
      </c>
      <c r="X31" s="71">
        <f>R37</f>
        <v>43339.176877551654</v>
      </c>
    </row>
    <row r="32" spans="1:24" ht="15.75">
      <c r="H32" s="38" t="s">
        <v>102</v>
      </c>
      <c r="I32" s="63">
        <f>ONSV_AUX_2022!J30</f>
        <v>3291</v>
      </c>
      <c r="J32" s="9"/>
      <c r="K32" s="29"/>
      <c r="L32" s="65"/>
      <c r="M32" s="22"/>
      <c r="N32" s="30" t="s">
        <v>127</v>
      </c>
      <c r="O32" s="72">
        <f>J38/O31</f>
        <v>0.97758260404747699</v>
      </c>
      <c r="P32" s="67"/>
      <c r="Q32" s="73" t="s">
        <v>128</v>
      </c>
      <c r="R32" s="66">
        <f>J41/R31</f>
        <v>0.78116058352789752</v>
      </c>
      <c r="S32" s="74"/>
      <c r="T32" s="68" t="s">
        <v>129</v>
      </c>
      <c r="U32" s="70">
        <f>I47-J47</f>
        <v>58.546886410527804</v>
      </c>
      <c r="V32" s="51"/>
      <c r="W32" s="68" t="s">
        <v>130</v>
      </c>
      <c r="X32" s="71">
        <f>I42-J42</f>
        <v>148.66373248805758</v>
      </c>
    </row>
    <row r="33" spans="8:24" ht="15.75">
      <c r="H33" s="38" t="s">
        <v>16</v>
      </c>
      <c r="I33" s="63">
        <f>ONSV_AUX_2022!J31</f>
        <v>5190</v>
      </c>
      <c r="J33" s="9"/>
      <c r="K33" s="2" t="s">
        <v>131</v>
      </c>
      <c r="L33" s="66">
        <f>I38/L31</f>
        <v>0.77579008269266114</v>
      </c>
      <c r="M33" s="22"/>
      <c r="N33" s="30" t="s">
        <v>132</v>
      </c>
      <c r="O33" s="72">
        <f>J47/O31</f>
        <v>2.2417395952522942E-2</v>
      </c>
      <c r="P33" s="67"/>
      <c r="Q33" s="73" t="s">
        <v>133</v>
      </c>
      <c r="R33" s="66">
        <f>J42/R31</f>
        <v>0.2188394164721025</v>
      </c>
      <c r="S33" s="74"/>
      <c r="T33" s="68" t="s">
        <v>134</v>
      </c>
      <c r="U33" s="75">
        <f>O37</f>
        <v>7208.7917856662243</v>
      </c>
      <c r="V33" s="76"/>
      <c r="W33" s="68" t="s">
        <v>135</v>
      </c>
      <c r="X33" s="75">
        <f>R40</f>
        <v>76206.159389960289</v>
      </c>
    </row>
    <row r="34" spans="8:24" ht="15.75">
      <c r="H34" s="38" t="s">
        <v>94</v>
      </c>
      <c r="I34" s="63">
        <f>ONSV_AUX_2022!J32</f>
        <v>1811232</v>
      </c>
      <c r="J34" s="10"/>
      <c r="K34" s="2" t="s">
        <v>2</v>
      </c>
      <c r="L34" s="66">
        <f>I41/L31</f>
        <v>0.1612471039075877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4.5172814490444357E-2</v>
      </c>
      <c r="M35" s="22"/>
      <c r="N35" s="30" t="s">
        <v>136</v>
      </c>
      <c r="O35" s="63">
        <f>IF(O33*I30&gt;J47,J47,O33*I30)</f>
        <v>39870.661327923248</v>
      </c>
      <c r="P35" s="79"/>
      <c r="Q35" s="68" t="s">
        <v>137</v>
      </c>
      <c r="R35" s="63">
        <f>I31-I39-I40-I43-I46</f>
        <v>198041</v>
      </c>
      <c r="S35" s="80"/>
      <c r="T35" s="68" t="s">
        <v>138</v>
      </c>
      <c r="U35" s="70">
        <f>O43</f>
        <v>1738688.3386720766</v>
      </c>
      <c r="V35" s="79"/>
      <c r="W35" s="68" t="s">
        <v>139</v>
      </c>
      <c r="X35" s="70">
        <f>I39</f>
        <v>123085</v>
      </c>
    </row>
    <row r="36" spans="8:24" ht="15.75">
      <c r="H36" s="26" t="s">
        <v>140</v>
      </c>
      <c r="K36" s="2" t="s">
        <v>0</v>
      </c>
      <c r="L36" s="66">
        <f>I47/L31</f>
        <v>1.7789998909306784E-2</v>
      </c>
      <c r="O36" s="51"/>
      <c r="P36" s="79"/>
      <c r="Q36" s="68" t="s">
        <v>141</v>
      </c>
      <c r="R36" s="63">
        <f>R32*R35</f>
        <v>154701.82312244835</v>
      </c>
      <c r="S36" s="51"/>
      <c r="T36" s="68" t="s">
        <v>142</v>
      </c>
      <c r="U36" s="70">
        <f>O41</f>
        <v>159929</v>
      </c>
      <c r="V36" s="69"/>
      <c r="W36" s="68" t="s">
        <v>143</v>
      </c>
      <c r="X36" s="70">
        <f>I40</f>
        <v>39156</v>
      </c>
    </row>
    <row r="37" spans="8:24" ht="15.75">
      <c r="K37" s="11"/>
      <c r="L37" s="11"/>
      <c r="M37" s="11"/>
      <c r="N37" s="30" t="s">
        <v>144</v>
      </c>
      <c r="O37" s="63">
        <f>J47-O35</f>
        <v>7208.7917856662243</v>
      </c>
      <c r="P37" s="79"/>
      <c r="Q37" s="68" t="s">
        <v>126</v>
      </c>
      <c r="R37" s="63">
        <f>R33*R35</f>
        <v>43339.176877551654</v>
      </c>
      <c r="S37" s="51"/>
      <c r="T37" s="68" t="s">
        <v>145</v>
      </c>
      <c r="U37" s="70">
        <f>O42</f>
        <v>5190</v>
      </c>
      <c r="V37" s="74"/>
      <c r="W37" s="51"/>
      <c r="X37" s="65"/>
    </row>
    <row r="38" spans="8:24" ht="15.75">
      <c r="H38" s="39" t="s">
        <v>104</v>
      </c>
      <c r="I38" s="63">
        <f>ONSV_AUX_2022!J56</f>
        <v>2055604</v>
      </c>
      <c r="J38" s="64">
        <f>I38-(L33*I32)</f>
        <v>2053050.8748378584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2553.1251621416304</v>
      </c>
      <c r="V38" s="74"/>
      <c r="W38" s="68" t="s">
        <v>147</v>
      </c>
      <c r="X38" s="70">
        <f>I46</f>
        <v>25299</v>
      </c>
    </row>
    <row r="39" spans="8:24" ht="15.75">
      <c r="H39" s="39" t="s">
        <v>105</v>
      </c>
      <c r="I39" s="63">
        <f>ONSV_AUX_2022!J57</f>
        <v>123085</v>
      </c>
      <c r="J39" s="10">
        <f>I39</f>
        <v>123085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272022.51265859179</v>
      </c>
      <c r="S39" s="51"/>
      <c r="T39" s="68" t="s">
        <v>150</v>
      </c>
      <c r="U39" s="75">
        <f>O44</f>
        <v>149243.53616578178</v>
      </c>
      <c r="V39" s="51"/>
      <c r="W39" s="68" t="s">
        <v>151</v>
      </c>
      <c r="X39" s="70">
        <f>I43</f>
        <v>11041</v>
      </c>
    </row>
    <row r="40" spans="8:24" ht="15.75">
      <c r="H40" s="39" t="s">
        <v>106</v>
      </c>
      <c r="I40" s="63">
        <f>ONSV_AUX_2022!J58</f>
        <v>39156</v>
      </c>
      <c r="J40" s="10">
        <f>I40</f>
        <v>39156</v>
      </c>
      <c r="K40" s="11"/>
      <c r="L40" s="11"/>
      <c r="M40" s="11"/>
      <c r="O40" s="76"/>
      <c r="P40" s="79"/>
      <c r="Q40" s="68" t="s">
        <v>135</v>
      </c>
      <c r="R40" s="63">
        <f>J42-R37</f>
        <v>76206.159389960289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ONSV_AUX_2022!J59</f>
        <v>427255</v>
      </c>
      <c r="J41" s="64">
        <f>I41-(L34*I32)</f>
        <v>426724.33578104014</v>
      </c>
      <c r="K41" s="11"/>
      <c r="L41" s="11"/>
      <c r="M41" s="11"/>
      <c r="N41" s="30" t="s">
        <v>142</v>
      </c>
      <c r="O41" s="63">
        <f>I29</f>
        <v>159929</v>
      </c>
      <c r="P41" s="79"/>
      <c r="Q41" s="51"/>
      <c r="R41" s="51"/>
      <c r="S41" s="80"/>
      <c r="T41" s="68" t="s">
        <v>141</v>
      </c>
      <c r="U41" s="71">
        <f>R36</f>
        <v>154701.82312244835</v>
      </c>
      <c r="V41" s="51"/>
      <c r="W41" s="68" t="s">
        <v>152</v>
      </c>
      <c r="X41" s="70">
        <f>I44</f>
        <v>973610</v>
      </c>
    </row>
    <row r="42" spans="8:24" ht="15.75">
      <c r="H42" s="39" t="s">
        <v>108</v>
      </c>
      <c r="I42" s="63">
        <f>ONSV_AUX_2022!J60</f>
        <v>119694</v>
      </c>
      <c r="J42" s="64">
        <f>I42-(L35*I32)</f>
        <v>119545.33626751194</v>
      </c>
      <c r="K42" s="11"/>
      <c r="L42" s="11"/>
      <c r="M42" s="11"/>
      <c r="N42" s="30" t="s">
        <v>145</v>
      </c>
      <c r="O42" s="63">
        <f>I33</f>
        <v>5190</v>
      </c>
      <c r="P42" s="79"/>
      <c r="Q42" s="51"/>
      <c r="R42" s="51"/>
      <c r="S42" s="51"/>
      <c r="T42" s="68" t="s">
        <v>153</v>
      </c>
      <c r="U42" s="71">
        <f>I41-J41</f>
        <v>530.66421895986423</v>
      </c>
      <c r="V42" s="51"/>
      <c r="W42" s="68" t="s">
        <v>154</v>
      </c>
      <c r="X42" s="70">
        <f>I45</f>
        <v>320293</v>
      </c>
    </row>
    <row r="43" spans="8:24" ht="15.75">
      <c r="H43" s="39" t="s">
        <v>109</v>
      </c>
      <c r="I43" s="63">
        <f>ONSV_AUX_2022!J61</f>
        <v>11041</v>
      </c>
      <c r="J43" s="10">
        <f>I43</f>
        <v>11041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1738688.3386720766</v>
      </c>
      <c r="P43" s="79"/>
      <c r="Q43" s="51"/>
      <c r="R43" s="81"/>
      <c r="S43" s="51"/>
      <c r="T43" s="68" t="s">
        <v>149</v>
      </c>
      <c r="U43" s="75">
        <f>R39</f>
        <v>272022.51265859179</v>
      </c>
      <c r="V43" s="51"/>
      <c r="W43" s="51"/>
      <c r="X43" s="51"/>
    </row>
    <row r="44" spans="8:24" ht="15.75">
      <c r="H44" s="39" t="s">
        <v>110</v>
      </c>
      <c r="I44" s="63">
        <f>ONSV_AUX_2022!J62</f>
        <v>973610</v>
      </c>
      <c r="J44" s="10">
        <f>I44</f>
        <v>973610</v>
      </c>
      <c r="K44" s="11"/>
      <c r="L44" s="11"/>
      <c r="M44" s="11"/>
      <c r="N44" s="30" t="s">
        <v>150</v>
      </c>
      <c r="O44" s="63">
        <f>IF((J38-O41-O43-O42)&lt;0,0,(J38-O41-O43-O42))</f>
        <v>149243.53616578178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ONSV_AUX_2022!J63</f>
        <v>320293</v>
      </c>
      <c r="J45" s="10">
        <f>I45</f>
        <v>320293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4142175</v>
      </c>
    </row>
    <row r="46" spans="8:24" ht="15.75">
      <c r="H46" s="39" t="s">
        <v>112</v>
      </c>
      <c r="I46" s="63">
        <f>ONSV_AUX_2022!J64</f>
        <v>25299</v>
      </c>
      <c r="J46" s="10">
        <f>I46</f>
        <v>25299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ONSV_AUX_2022!J65</f>
        <v>47138</v>
      </c>
      <c r="J47" s="64">
        <f>I47-(L36*I32)</f>
        <v>47079.453113589472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6" customFormat="1" ht="15.75">
      <c r="A50" s="100" t="str">
        <f>"GOIÁS/"&amp;ONSV_AUX_2021!$A$1&amp;""</f>
        <v>GOIÁS/2021</v>
      </c>
      <c r="B50" s="101"/>
      <c r="C50" s="101"/>
      <c r="D50" s="101"/>
      <c r="E50" s="101"/>
      <c r="F50" s="101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ONSV_AUX_2021!J27</f>
        <v>159761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ONSV_AUX_2021!J28</f>
        <v>1677848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ONSV_AUX_2021!J29</f>
        <v>372763</v>
      </c>
      <c r="J56" s="9"/>
      <c r="K56" s="2" t="s">
        <v>122</v>
      </c>
      <c r="L56" s="63">
        <f>I63+I66+I67+I72</f>
        <v>2560294</v>
      </c>
      <c r="N56" s="30" t="s">
        <v>123</v>
      </c>
      <c r="O56" s="63">
        <f>J63+J72</f>
        <v>2043717.1122667943</v>
      </c>
      <c r="P56" s="67"/>
      <c r="Q56" s="68" t="s">
        <v>124</v>
      </c>
      <c r="R56" s="63">
        <f>J66+J67</f>
        <v>514856.88773320569</v>
      </c>
      <c r="S56" s="69"/>
      <c r="T56" s="68" t="s">
        <v>125</v>
      </c>
      <c r="U56" s="70">
        <f>O60</f>
        <v>32033.574623329718</v>
      </c>
      <c r="V56" s="51"/>
      <c r="W56" s="68" t="s">
        <v>126</v>
      </c>
      <c r="X56" s="71">
        <f>R62</f>
        <v>39478.182906543632</v>
      </c>
    </row>
    <row r="57" spans="1:24" ht="15.75">
      <c r="H57" s="38" t="s">
        <v>102</v>
      </c>
      <c r="I57" s="63">
        <f>ONSV_AUX_2021!J30</f>
        <v>1720</v>
      </c>
      <c r="J57" s="9"/>
      <c r="K57" s="29"/>
      <c r="L57" s="65"/>
      <c r="M57" s="22"/>
      <c r="N57" s="30" t="s">
        <v>127</v>
      </c>
      <c r="O57" s="72">
        <f>J63/O56</f>
        <v>0.98090794003787607</v>
      </c>
      <c r="P57" s="67"/>
      <c r="Q57" s="73" t="s">
        <v>128</v>
      </c>
      <c r="R57" s="66">
        <f>J66/R56</f>
        <v>0.7835008724716277</v>
      </c>
      <c r="S57" s="74"/>
      <c r="T57" s="68" t="s">
        <v>129</v>
      </c>
      <c r="U57" s="70">
        <f>I72-J72</f>
        <v>26.230346983589698</v>
      </c>
      <c r="V57" s="51"/>
      <c r="W57" s="68" t="s">
        <v>130</v>
      </c>
      <c r="X57" s="71">
        <f>I67-J67</f>
        <v>74.93300378783897</v>
      </c>
    </row>
    <row r="58" spans="1:24" ht="15.75">
      <c r="H58" s="38" t="s">
        <v>16</v>
      </c>
      <c r="I58" s="63">
        <f>ONSV_AUX_2021!J31</f>
        <v>5025</v>
      </c>
      <c r="J58" s="9"/>
      <c r="K58" s="2" t="s">
        <v>131</v>
      </c>
      <c r="L58" s="66">
        <f>I63/L56</f>
        <v>0.78352173617561105</v>
      </c>
      <c r="M58" s="22"/>
      <c r="N58" s="30" t="s">
        <v>132</v>
      </c>
      <c r="O58" s="72">
        <f>J72/O56</f>
        <v>1.9092059962123934E-2</v>
      </c>
      <c r="P58" s="67"/>
      <c r="Q58" s="73" t="s">
        <v>133</v>
      </c>
      <c r="R58" s="66">
        <f>J67/R56</f>
        <v>0.2164991275283723</v>
      </c>
      <c r="S58" s="74"/>
      <c r="T58" s="68" t="s">
        <v>134</v>
      </c>
      <c r="U58" s="75">
        <f>O62</f>
        <v>6985.1950296866926</v>
      </c>
      <c r="V58" s="76"/>
      <c r="W58" s="68" t="s">
        <v>135</v>
      </c>
      <c r="X58" s="75">
        <f>R65</f>
        <v>71987.884089668529</v>
      </c>
    </row>
    <row r="59" spans="1:24" ht="15.75">
      <c r="H59" s="38" t="s">
        <v>94</v>
      </c>
      <c r="I59" s="63">
        <f>ONSV_AUX_2021!J32</f>
        <v>1790796</v>
      </c>
      <c r="J59" s="10"/>
      <c r="K59" s="2" t="s">
        <v>2</v>
      </c>
      <c r="L59" s="66">
        <f>I66/L56</f>
        <v>0.1576623622130896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4.356569987665479E-2</v>
      </c>
      <c r="M60" s="22"/>
      <c r="N60" s="30" t="s">
        <v>136</v>
      </c>
      <c r="O60" s="63">
        <f>IF(O58*I55&gt;J72,J72,O58*I55)</f>
        <v>32033.574623329718</v>
      </c>
      <c r="P60" s="79"/>
      <c r="Q60" s="68" t="s">
        <v>137</v>
      </c>
      <c r="R60" s="63">
        <f>I56-I64-I65-I68-I71</f>
        <v>182348</v>
      </c>
      <c r="S60" s="80"/>
      <c r="T60" s="68" t="s">
        <v>138</v>
      </c>
      <c r="U60" s="70">
        <f>O68</f>
        <v>1645814.4253766702</v>
      </c>
      <c r="V60" s="79"/>
      <c r="W60" s="68" t="s">
        <v>139</v>
      </c>
      <c r="X60" s="70">
        <f>I64</f>
        <v>118843</v>
      </c>
    </row>
    <row r="61" spans="1:24" ht="15.75">
      <c r="H61" s="26" t="s">
        <v>140</v>
      </c>
      <c r="K61" s="2" t="s">
        <v>0</v>
      </c>
      <c r="L61" s="66">
        <f>I72/L56</f>
        <v>1.5250201734644538E-2</v>
      </c>
      <c r="O61" s="51"/>
      <c r="P61" s="79"/>
      <c r="Q61" s="68" t="s">
        <v>141</v>
      </c>
      <c r="R61" s="63">
        <f>R57*R60</f>
        <v>142869.81709345637</v>
      </c>
      <c r="S61" s="51"/>
      <c r="T61" s="68" t="s">
        <v>142</v>
      </c>
      <c r="U61" s="70">
        <f>O66</f>
        <v>159761</v>
      </c>
      <c r="V61" s="69"/>
      <c r="W61" s="68" t="s">
        <v>143</v>
      </c>
      <c r="X61" s="70">
        <f>I65</f>
        <v>36182</v>
      </c>
    </row>
    <row r="62" spans="1:24" ht="15.75">
      <c r="K62" s="11"/>
      <c r="L62" s="11"/>
      <c r="M62" s="11"/>
      <c r="N62" s="30" t="s">
        <v>144</v>
      </c>
      <c r="O62" s="63">
        <f>J72-O60</f>
        <v>6985.1950296866926</v>
      </c>
      <c r="P62" s="79"/>
      <c r="Q62" s="68" t="s">
        <v>126</v>
      </c>
      <c r="R62" s="63">
        <f>R58*R60</f>
        <v>39478.182906543632</v>
      </c>
      <c r="S62" s="51"/>
      <c r="T62" s="68" t="s">
        <v>145</v>
      </c>
      <c r="U62" s="70">
        <f>O67</f>
        <v>5025</v>
      </c>
      <c r="V62" s="74"/>
      <c r="W62" s="51"/>
      <c r="X62" s="65"/>
    </row>
    <row r="63" spans="1:24" ht="15.75">
      <c r="H63" s="39" t="s">
        <v>104</v>
      </c>
      <c r="I63" s="63">
        <f>ONSV_AUX_2021!J56</f>
        <v>2006046</v>
      </c>
      <c r="J63" s="64">
        <f>I63-(L58*I57)</f>
        <v>2004698.3426137778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1347.6573862221558</v>
      </c>
      <c r="V63" s="74"/>
      <c r="W63" s="68" t="s">
        <v>147</v>
      </c>
      <c r="X63" s="70">
        <f>I71</f>
        <v>24635</v>
      </c>
    </row>
    <row r="64" spans="1:24" ht="15.75">
      <c r="H64" s="39" t="s">
        <v>105</v>
      </c>
      <c r="I64" s="63">
        <f>ONSV_AUX_2021!J57</f>
        <v>118843</v>
      </c>
      <c r="J64" s="10">
        <f>I64</f>
        <v>118843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260521.00364353714</v>
      </c>
      <c r="S64" s="51"/>
      <c r="T64" s="68" t="s">
        <v>150</v>
      </c>
      <c r="U64" s="75">
        <f>O69</f>
        <v>194097.91723710764</v>
      </c>
      <c r="V64" s="51"/>
      <c r="W64" s="68" t="s">
        <v>151</v>
      </c>
      <c r="X64" s="70">
        <f>I68</f>
        <v>10755</v>
      </c>
    </row>
    <row r="65" spans="1:24" ht="15.75">
      <c r="H65" s="39" t="s">
        <v>106</v>
      </c>
      <c r="I65" s="63">
        <f>ONSV_AUX_2021!J58</f>
        <v>36182</v>
      </c>
      <c r="J65" s="10">
        <f>I65</f>
        <v>36182</v>
      </c>
      <c r="K65" s="11"/>
      <c r="L65" s="11"/>
      <c r="M65" s="11"/>
      <c r="O65" s="76"/>
      <c r="P65" s="79"/>
      <c r="Q65" s="68" t="s">
        <v>135</v>
      </c>
      <c r="R65" s="63">
        <f>J67-R62</f>
        <v>71987.884089668529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ONSV_AUX_2021!J59</f>
        <v>403662</v>
      </c>
      <c r="J66" s="64">
        <f>I66-(L59*I57)</f>
        <v>403390.82073699351</v>
      </c>
      <c r="K66" s="11"/>
      <c r="L66" s="11"/>
      <c r="M66" s="11"/>
      <c r="N66" s="30" t="s">
        <v>142</v>
      </c>
      <c r="O66" s="63">
        <f>I54</f>
        <v>159761</v>
      </c>
      <c r="P66" s="79"/>
      <c r="Q66" s="51"/>
      <c r="R66" s="51"/>
      <c r="S66" s="80"/>
      <c r="T66" s="68" t="s">
        <v>141</v>
      </c>
      <c r="U66" s="71">
        <f>R61</f>
        <v>142869.81709345637</v>
      </c>
      <c r="V66" s="51"/>
      <c r="W66" s="68" t="s">
        <v>152</v>
      </c>
      <c r="X66" s="70">
        <f>I69</f>
        <v>939835</v>
      </c>
    </row>
    <row r="67" spans="1:24" ht="15.75">
      <c r="H67" s="39" t="s">
        <v>108</v>
      </c>
      <c r="I67" s="63">
        <f>ONSV_AUX_2021!J60</f>
        <v>111541</v>
      </c>
      <c r="J67" s="64">
        <f>I67-(L60*I57)</f>
        <v>111466.06699621216</v>
      </c>
      <c r="K67" s="11"/>
      <c r="L67" s="11"/>
      <c r="M67" s="11"/>
      <c r="N67" s="30" t="s">
        <v>145</v>
      </c>
      <c r="O67" s="63">
        <f>I58</f>
        <v>5025</v>
      </c>
      <c r="P67" s="79"/>
      <c r="Q67" s="51"/>
      <c r="R67" s="51"/>
      <c r="S67" s="51"/>
      <c r="T67" s="68" t="s">
        <v>153</v>
      </c>
      <c r="U67" s="71">
        <f>I66-J66</f>
        <v>271.17926300648833</v>
      </c>
      <c r="V67" s="51"/>
      <c r="W67" s="68" t="s">
        <v>154</v>
      </c>
      <c r="X67" s="70">
        <f>I70</f>
        <v>306458</v>
      </c>
    </row>
    <row r="68" spans="1:24" ht="15.75">
      <c r="H68" s="39" t="s">
        <v>109</v>
      </c>
      <c r="I68" s="63">
        <f>ONSV_AUX_2021!J61</f>
        <v>10755</v>
      </c>
      <c r="J68" s="10">
        <f>I68</f>
        <v>10755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1645814.4253766702</v>
      </c>
      <c r="P68" s="79"/>
      <c r="Q68" s="51"/>
      <c r="R68" s="81"/>
      <c r="S68" s="51"/>
      <c r="T68" s="68" t="s">
        <v>149</v>
      </c>
      <c r="U68" s="75">
        <f>R64</f>
        <v>260521.00364353714</v>
      </c>
      <c r="V68" s="51"/>
      <c r="W68" s="51"/>
      <c r="X68" s="51"/>
    </row>
    <row r="69" spans="1:24" ht="15.75">
      <c r="H69" s="39" t="s">
        <v>110</v>
      </c>
      <c r="I69" s="63">
        <f>ONSV_AUX_2021!J62</f>
        <v>939835</v>
      </c>
      <c r="J69" s="10">
        <f>I69</f>
        <v>939835</v>
      </c>
      <c r="K69" s="11"/>
      <c r="L69" s="11"/>
      <c r="M69" s="11"/>
      <c r="N69" s="30" t="s">
        <v>150</v>
      </c>
      <c r="O69" s="63">
        <f>IF((J63-O66-O68-O67)&lt;0,0,(J63-O66-O68-O67))</f>
        <v>194097.91723710764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ONSV_AUX_2021!J63</f>
        <v>306458</v>
      </c>
      <c r="J70" s="10">
        <f>I70</f>
        <v>306458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3997002</v>
      </c>
    </row>
    <row r="71" spans="1:24" ht="15.75">
      <c r="H71" s="39" t="s">
        <v>112</v>
      </c>
      <c r="I71" s="63">
        <f>ONSV_AUX_2021!J64</f>
        <v>24635</v>
      </c>
      <c r="J71" s="10">
        <f>I71</f>
        <v>24635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ONSV_AUX_2021!J65</f>
        <v>39045</v>
      </c>
      <c r="J72" s="64">
        <f>I72-(L61*I57)</f>
        <v>39018.76965301641</v>
      </c>
      <c r="K72" s="12"/>
      <c r="L72" s="12"/>
      <c r="M72" s="12"/>
      <c r="N72" s="12"/>
      <c r="O72" s="12"/>
      <c r="P72" s="12"/>
      <c r="Q72" s="4"/>
      <c r="R72" s="4"/>
    </row>
    <row r="75" spans="1:24" s="36" customFormat="1" ht="15.75">
      <c r="A75" s="100" t="str">
        <f>"GOIÁS/"&amp;ONSV_AUX_2020!$A$1&amp;""</f>
        <v>GOIÁS/2020</v>
      </c>
      <c r="B75" s="101"/>
      <c r="C75" s="101"/>
      <c r="D75" s="101"/>
      <c r="E75" s="101"/>
      <c r="F75" s="10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ONSV_AUX_2020!J27</f>
        <v>159664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ONSV_AUX_2020!J28</f>
        <v>1569514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ONSV_AUX_2020!J29</f>
        <v>354309</v>
      </c>
      <c r="J81" s="9"/>
      <c r="K81" s="2" t="s">
        <v>122</v>
      </c>
      <c r="L81" s="63">
        <f>I88+I91+I92+I97</f>
        <v>2463149</v>
      </c>
      <c r="N81" s="30" t="s">
        <v>123</v>
      </c>
      <c r="O81" s="63">
        <f>J88+J97</f>
        <v>1974157.2604621158</v>
      </c>
      <c r="P81" s="67"/>
      <c r="Q81" s="68" t="s">
        <v>124</v>
      </c>
      <c r="R81" s="63">
        <f>J91+J92</f>
        <v>488117.73953788425</v>
      </c>
      <c r="S81" s="69"/>
      <c r="T81" s="68" t="s">
        <v>125</v>
      </c>
      <c r="U81" s="70">
        <f>O85</f>
        <v>27286.87008179829</v>
      </c>
      <c r="V81" s="51"/>
      <c r="W81" s="68" t="s">
        <v>126</v>
      </c>
      <c r="X81" s="71">
        <f>R87</f>
        <v>37003.315590498292</v>
      </c>
    </row>
    <row r="82" spans="8:24" ht="15.75">
      <c r="H82" s="38" t="s">
        <v>102</v>
      </c>
      <c r="I82" s="63">
        <f>ONSV_AUX_2020!J30</f>
        <v>874</v>
      </c>
      <c r="J82" s="9"/>
      <c r="K82" s="29"/>
      <c r="L82" s="65"/>
      <c r="M82" s="22"/>
      <c r="N82" s="30" t="s">
        <v>127</v>
      </c>
      <c r="O82" s="72">
        <f>J88/O81</f>
        <v>0.98261444620322069</v>
      </c>
      <c r="P82" s="67"/>
      <c r="Q82" s="73" t="s">
        <v>128</v>
      </c>
      <c r="R82" s="66">
        <f>J91/R81</f>
        <v>0.78270539493867375</v>
      </c>
      <c r="S82" s="74"/>
      <c r="T82" s="68" t="s">
        <v>129</v>
      </c>
      <c r="U82" s="70">
        <f>I97-J97</f>
        <v>12.182744933415961</v>
      </c>
      <c r="V82" s="51"/>
      <c r="W82" s="68" t="s">
        <v>130</v>
      </c>
      <c r="X82" s="71">
        <f>I92-J92</f>
        <v>37.648563688184367</v>
      </c>
    </row>
    <row r="83" spans="8:24" ht="15.75">
      <c r="H83" s="38" t="s">
        <v>16</v>
      </c>
      <c r="I83" s="63">
        <f>ONSV_AUX_2020!J31</f>
        <v>4821</v>
      </c>
      <c r="J83" s="9"/>
      <c r="K83" s="2" t="s">
        <v>131</v>
      </c>
      <c r="L83" s="66">
        <f>I88/L81</f>
        <v>0.78782241756385829</v>
      </c>
      <c r="M83" s="22"/>
      <c r="N83" s="30" t="s">
        <v>132</v>
      </c>
      <c r="O83" s="72">
        <f>J97/O81</f>
        <v>1.7385553796779314E-2</v>
      </c>
      <c r="P83" s="67"/>
      <c r="Q83" s="73" t="s">
        <v>133</v>
      </c>
      <c r="R83" s="66">
        <f>J92/R81</f>
        <v>0.21729460506132614</v>
      </c>
      <c r="S83" s="74"/>
      <c r="T83" s="68" t="s">
        <v>134</v>
      </c>
      <c r="U83" s="75">
        <f>O87</f>
        <v>7034.9471732682941</v>
      </c>
      <c r="V83" s="76"/>
      <c r="W83" s="68" t="s">
        <v>135</v>
      </c>
      <c r="X83" s="75">
        <f>R90</f>
        <v>69062.035845813516</v>
      </c>
    </row>
    <row r="84" spans="8:24" ht="15.75">
      <c r="H84" s="38" t="s">
        <v>94</v>
      </c>
      <c r="I84" s="63">
        <f>ONSV_AUX_2020!J32</f>
        <v>1775014</v>
      </c>
      <c r="J84" s="10"/>
      <c r="K84" s="2" t="s">
        <v>2</v>
      </c>
      <c r="L84" s="66">
        <f>I91/L81</f>
        <v>0.15516235518029969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4.3076159826303646E-2</v>
      </c>
      <c r="M85" s="22"/>
      <c r="N85" s="30" t="s">
        <v>136</v>
      </c>
      <c r="O85" s="63">
        <f>IF(O83*I80&gt;J97,J97,O83*I80)</f>
        <v>27286.87008179829</v>
      </c>
      <c r="P85" s="79"/>
      <c r="Q85" s="68" t="s">
        <v>137</v>
      </c>
      <c r="R85" s="63">
        <f>I81-I89-I90-I93-I96</f>
        <v>170291</v>
      </c>
      <c r="S85" s="80"/>
      <c r="T85" s="68" t="s">
        <v>138</v>
      </c>
      <c r="U85" s="70">
        <f>O93</f>
        <v>1542227.1299182018</v>
      </c>
      <c r="V85" s="79"/>
      <c r="W85" s="68" t="s">
        <v>139</v>
      </c>
      <c r="X85" s="70">
        <f>I89</f>
        <v>115939</v>
      </c>
    </row>
    <row r="86" spans="8:24" ht="15.75">
      <c r="H86" s="26" t="s">
        <v>140</v>
      </c>
      <c r="K86" s="2" t="s">
        <v>0</v>
      </c>
      <c r="L86" s="66">
        <f>I97/L81</f>
        <v>1.3939067429538368E-2</v>
      </c>
      <c r="O86" s="51"/>
      <c r="P86" s="79"/>
      <c r="Q86" s="68" t="s">
        <v>141</v>
      </c>
      <c r="R86" s="63">
        <f>R82*R85</f>
        <v>133287.6844095017</v>
      </c>
      <c r="S86" s="51"/>
      <c r="T86" s="68" t="s">
        <v>142</v>
      </c>
      <c r="U86" s="70">
        <f>O91</f>
        <v>159664</v>
      </c>
      <c r="V86" s="69"/>
      <c r="W86" s="68" t="s">
        <v>143</v>
      </c>
      <c r="X86" s="70">
        <f>I90</f>
        <v>33657</v>
      </c>
    </row>
    <row r="87" spans="8:24" ht="15.75">
      <c r="K87" s="11"/>
      <c r="L87" s="11"/>
      <c r="M87" s="11"/>
      <c r="N87" s="30" t="s">
        <v>144</v>
      </c>
      <c r="O87" s="63">
        <f>J97-O85</f>
        <v>7034.9471732682941</v>
      </c>
      <c r="P87" s="79"/>
      <c r="Q87" s="68" t="s">
        <v>126</v>
      </c>
      <c r="R87" s="63">
        <f>R83*R85</f>
        <v>37003.315590498292</v>
      </c>
      <c r="S87" s="51"/>
      <c r="T87" s="68" t="s">
        <v>145</v>
      </c>
      <c r="U87" s="70">
        <f>O92</f>
        <v>4821</v>
      </c>
      <c r="V87" s="74"/>
      <c r="W87" s="51"/>
      <c r="X87" s="65"/>
    </row>
    <row r="88" spans="8:24" ht="15.75">
      <c r="H88" s="39" t="s">
        <v>104</v>
      </c>
      <c r="I88" s="63">
        <f>ONSV_AUX_2020!J56</f>
        <v>1940524</v>
      </c>
      <c r="J88" s="64">
        <f>I88-(L83*I82)</f>
        <v>1939835.4432070493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688.55679295072332</v>
      </c>
      <c r="V88" s="74"/>
      <c r="W88" s="68" t="s">
        <v>147</v>
      </c>
      <c r="X88" s="70">
        <f>I96</f>
        <v>23903</v>
      </c>
    </row>
    <row r="89" spans="8:24" ht="15.75">
      <c r="H89" s="39" t="s">
        <v>105</v>
      </c>
      <c r="I89" s="63">
        <f>ONSV_AUX_2020!J57</f>
        <v>115939</v>
      </c>
      <c r="J89" s="10">
        <f>I89</f>
        <v>115939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248764.7036920707</v>
      </c>
      <c r="S89" s="51"/>
      <c r="T89" s="68" t="s">
        <v>150</v>
      </c>
      <c r="U89" s="75">
        <f>O94</f>
        <v>233123.31328884745</v>
      </c>
      <c r="V89" s="51"/>
      <c r="W89" s="68" t="s">
        <v>151</v>
      </c>
      <c r="X89" s="70">
        <f>I93</f>
        <v>10519</v>
      </c>
    </row>
    <row r="90" spans="8:24" ht="15.75">
      <c r="H90" s="39" t="s">
        <v>106</v>
      </c>
      <c r="I90" s="63">
        <f>ONSV_AUX_2020!J58</f>
        <v>33657</v>
      </c>
      <c r="J90" s="10">
        <f>I90</f>
        <v>33657</v>
      </c>
      <c r="K90" s="11"/>
      <c r="L90" s="11"/>
      <c r="M90" s="11"/>
      <c r="O90" s="76"/>
      <c r="P90" s="79"/>
      <c r="Q90" s="68" t="s">
        <v>135</v>
      </c>
      <c r="R90" s="63">
        <f>J92-R87</f>
        <v>69062.035845813516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ONSV_AUX_2020!J59</f>
        <v>382188</v>
      </c>
      <c r="J91" s="64">
        <f>I91-(L84*I82)</f>
        <v>382052.3881015724</v>
      </c>
      <c r="K91" s="11"/>
      <c r="L91" s="11"/>
      <c r="M91" s="11"/>
      <c r="N91" s="30" t="s">
        <v>142</v>
      </c>
      <c r="O91" s="63">
        <f>I79</f>
        <v>159664</v>
      </c>
      <c r="P91" s="79"/>
      <c r="Q91" s="51"/>
      <c r="R91" s="51"/>
      <c r="S91" s="80"/>
      <c r="T91" s="68" t="s">
        <v>141</v>
      </c>
      <c r="U91" s="71">
        <f>R86</f>
        <v>133287.6844095017</v>
      </c>
      <c r="V91" s="51"/>
      <c r="W91" s="68" t="s">
        <v>152</v>
      </c>
      <c r="X91" s="70">
        <f>I94</f>
        <v>912134</v>
      </c>
    </row>
    <row r="92" spans="8:24" ht="15.75">
      <c r="H92" s="39" t="s">
        <v>108</v>
      </c>
      <c r="I92" s="63">
        <f>ONSV_AUX_2020!J60</f>
        <v>106103</v>
      </c>
      <c r="J92" s="64">
        <f>I92-(L85*I82)</f>
        <v>106065.35143631182</v>
      </c>
      <c r="K92" s="11"/>
      <c r="L92" s="11"/>
      <c r="M92" s="11"/>
      <c r="N92" s="30" t="s">
        <v>145</v>
      </c>
      <c r="O92" s="63">
        <f>I83</f>
        <v>4821</v>
      </c>
      <c r="P92" s="79"/>
      <c r="Q92" s="51"/>
      <c r="R92" s="51"/>
      <c r="S92" s="51"/>
      <c r="T92" s="68" t="s">
        <v>153</v>
      </c>
      <c r="U92" s="71">
        <f>I91-J91</f>
        <v>135.61189842759632</v>
      </c>
      <c r="V92" s="51"/>
      <c r="W92" s="68" t="s">
        <v>154</v>
      </c>
      <c r="X92" s="70">
        <f>I95</f>
        <v>294558</v>
      </c>
    </row>
    <row r="93" spans="8:24" ht="15.75">
      <c r="H93" s="39" t="s">
        <v>109</v>
      </c>
      <c r="I93" s="63">
        <f>ONSV_AUX_2020!J61</f>
        <v>10519</v>
      </c>
      <c r="J93" s="10">
        <f>I93</f>
        <v>10519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1542227.1299182018</v>
      </c>
      <c r="P93" s="79"/>
      <c r="Q93" s="51"/>
      <c r="R93" s="81"/>
      <c r="S93" s="51"/>
      <c r="T93" s="68" t="s">
        <v>149</v>
      </c>
      <c r="U93" s="75">
        <f>R89</f>
        <v>248764.7036920707</v>
      </c>
      <c r="V93" s="51"/>
      <c r="W93" s="51"/>
      <c r="X93" s="51"/>
    </row>
    <row r="94" spans="8:24" ht="15.75">
      <c r="H94" s="39" t="s">
        <v>110</v>
      </c>
      <c r="I94" s="63">
        <f>ONSV_AUX_2020!J62</f>
        <v>912134</v>
      </c>
      <c r="J94" s="10">
        <f>I94</f>
        <v>912134</v>
      </c>
      <c r="K94" s="11"/>
      <c r="L94" s="11"/>
      <c r="M94" s="11"/>
      <c r="N94" s="30" t="s">
        <v>150</v>
      </c>
      <c r="O94" s="63">
        <f>IF((J88-O91-O93-O92)&lt;0,0,(J88-O91-O93-O92))</f>
        <v>233123.31328884745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ONSV_AUX_2020!J63</f>
        <v>294558</v>
      </c>
      <c r="J95" s="10">
        <f>I95</f>
        <v>294558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3853858.9999999995</v>
      </c>
    </row>
    <row r="96" spans="8:24" ht="15.75">
      <c r="H96" s="39" t="s">
        <v>112</v>
      </c>
      <c r="I96" s="63">
        <f>ONSV_AUX_2020!J64</f>
        <v>23903</v>
      </c>
      <c r="J96" s="10">
        <f>I96</f>
        <v>23903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ONSV_AUX_2020!J65</f>
        <v>34334</v>
      </c>
      <c r="J97" s="64">
        <f>I97-(L86*I82)</f>
        <v>34321.817255066584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6" customFormat="1" ht="15.75">
      <c r="A100" s="100" t="str">
        <f>"GOIÁS/"&amp;ONSV_AUX_2019!$A$1&amp;""</f>
        <v>GOIÁS/2019</v>
      </c>
      <c r="B100" s="101"/>
      <c r="C100" s="101"/>
      <c r="D100" s="101"/>
      <c r="E100" s="101"/>
      <c r="F100" s="101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ONSV_AUX_2019!J27</f>
        <v>159643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ONSV_AUX_2019!J28</f>
        <v>1474557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ONSV_AUX_2019!J29</f>
        <v>339435</v>
      </c>
      <c r="J106" s="9"/>
      <c r="K106" s="2" t="s">
        <v>122</v>
      </c>
      <c r="L106" s="63">
        <f>I113+I116+I117+I122</f>
        <v>2377182</v>
      </c>
      <c r="N106" s="30" t="s">
        <v>123</v>
      </c>
      <c r="O106" s="63">
        <f>J113+J122</f>
        <v>1908414.7949370304</v>
      </c>
      <c r="P106" s="67"/>
      <c r="Q106" s="68" t="s">
        <v>124</v>
      </c>
      <c r="R106" s="63">
        <f>J116+J117</f>
        <v>468423.20506296953</v>
      </c>
      <c r="S106" s="69"/>
      <c r="T106" s="68" t="s">
        <v>125</v>
      </c>
      <c r="U106" s="70">
        <f>O110</f>
        <v>21806.735840950681</v>
      </c>
      <c r="V106" s="51"/>
      <c r="W106" s="68" t="s">
        <v>126</v>
      </c>
      <c r="X106" s="71">
        <f>R112</f>
        <v>35165.502728974512</v>
      </c>
    </row>
    <row r="107" spans="1:24" ht="15.75">
      <c r="H107" s="38" t="s">
        <v>102</v>
      </c>
      <c r="I107" s="63">
        <f>ONSV_AUX_2019!J30</f>
        <v>344</v>
      </c>
      <c r="J107" s="9"/>
      <c r="K107" s="29"/>
      <c r="L107" s="65"/>
      <c r="M107" s="22"/>
      <c r="N107" s="30" t="s">
        <v>127</v>
      </c>
      <c r="O107" s="72">
        <f>J113/O106</f>
        <v>0.98521133069732081</v>
      </c>
      <c r="P107" s="67"/>
      <c r="Q107" s="73" t="s">
        <v>128</v>
      </c>
      <c r="R107" s="66">
        <f>J116/R106</f>
        <v>0.78066387614703381</v>
      </c>
      <c r="S107" s="74"/>
      <c r="T107" s="68" t="s">
        <v>129</v>
      </c>
      <c r="U107" s="70">
        <f>I122-J122</f>
        <v>4.084705335983017</v>
      </c>
      <c r="V107" s="51"/>
      <c r="W107" s="68" t="s">
        <v>130</v>
      </c>
      <c r="X107" s="71">
        <f>I117-J117</f>
        <v>14.869878705125302</v>
      </c>
    </row>
    <row r="108" spans="1:24" ht="15.75">
      <c r="H108" s="38" t="s">
        <v>16</v>
      </c>
      <c r="I108" s="63">
        <f>ONSV_AUX_2019!J31</f>
        <v>4650</v>
      </c>
      <c r="J108" s="9"/>
      <c r="K108" s="2" t="s">
        <v>131</v>
      </c>
      <c r="L108" s="66">
        <f>I113/L106</f>
        <v>0.79104755126027371</v>
      </c>
      <c r="M108" s="22"/>
      <c r="N108" s="30" t="s">
        <v>132</v>
      </c>
      <c r="O108" s="72">
        <f>J122/O106</f>
        <v>1.4788669302679166E-2</v>
      </c>
      <c r="P108" s="67"/>
      <c r="Q108" s="73" t="s">
        <v>133</v>
      </c>
      <c r="R108" s="66">
        <f>J117/R106</f>
        <v>0.21933612385296622</v>
      </c>
      <c r="S108" s="74"/>
      <c r="T108" s="68" t="s">
        <v>134</v>
      </c>
      <c r="U108" s="75">
        <f>O112</f>
        <v>6416.1794537133355</v>
      </c>
      <c r="V108" s="76"/>
      <c r="W108" s="68" t="s">
        <v>135</v>
      </c>
      <c r="X108" s="75">
        <f>R115</f>
        <v>67576.62739232037</v>
      </c>
    </row>
    <row r="109" spans="1:24" ht="15.75">
      <c r="H109" s="38" t="s">
        <v>94</v>
      </c>
      <c r="I109" s="63">
        <f>ONSV_AUX_2019!J32</f>
        <v>1762039</v>
      </c>
      <c r="J109" s="10"/>
      <c r="K109" s="2" t="s">
        <v>2</v>
      </c>
      <c r="L109" s="66">
        <f>I116/L106</f>
        <v>0.1538519137365166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4.3226391584657797E-2</v>
      </c>
      <c r="M110" s="22"/>
      <c r="N110" s="30" t="s">
        <v>136</v>
      </c>
      <c r="O110" s="63">
        <f>IF(O108*I105&gt;J122,J122,O108*I105)</f>
        <v>21806.735840950681</v>
      </c>
      <c r="P110" s="79"/>
      <c r="Q110" s="68" t="s">
        <v>137</v>
      </c>
      <c r="R110" s="63">
        <f>I106-I114-I115-I118-I121</f>
        <v>160327</v>
      </c>
      <c r="S110" s="80"/>
      <c r="T110" s="68" t="s">
        <v>138</v>
      </c>
      <c r="U110" s="70">
        <f>O118</f>
        <v>1452750.2641590494</v>
      </c>
      <c r="V110" s="79"/>
      <c r="W110" s="68" t="s">
        <v>139</v>
      </c>
      <c r="X110" s="70">
        <f>I114</f>
        <v>113855</v>
      </c>
    </row>
    <row r="111" spans="1:24" ht="15.75">
      <c r="H111" s="26" t="s">
        <v>140</v>
      </c>
      <c r="K111" s="2" t="s">
        <v>0</v>
      </c>
      <c r="L111" s="66">
        <f>I122/L106</f>
        <v>1.1874143418551883E-2</v>
      </c>
      <c r="O111" s="51"/>
      <c r="P111" s="79"/>
      <c r="Q111" s="68" t="s">
        <v>141</v>
      </c>
      <c r="R111" s="63">
        <f>R107*R110</f>
        <v>125161.4972710255</v>
      </c>
      <c r="S111" s="51"/>
      <c r="T111" s="68" t="s">
        <v>142</v>
      </c>
      <c r="U111" s="70">
        <f>O116</f>
        <v>159643</v>
      </c>
      <c r="V111" s="69"/>
      <c r="W111" s="68" t="s">
        <v>143</v>
      </c>
      <c r="X111" s="70">
        <f>I115</f>
        <v>31580</v>
      </c>
    </row>
    <row r="112" spans="1:24" ht="15.75">
      <c r="K112" s="11"/>
      <c r="L112" s="11"/>
      <c r="M112" s="11"/>
      <c r="N112" s="30" t="s">
        <v>144</v>
      </c>
      <c r="O112" s="63">
        <f>J122-O110</f>
        <v>6416.1794537133355</v>
      </c>
      <c r="P112" s="79"/>
      <c r="Q112" s="68" t="s">
        <v>126</v>
      </c>
      <c r="R112" s="63">
        <f>R108*R110</f>
        <v>35165.502728974512</v>
      </c>
      <c r="S112" s="51"/>
      <c r="T112" s="68" t="s">
        <v>145</v>
      </c>
      <c r="U112" s="70">
        <f>O117</f>
        <v>4650</v>
      </c>
      <c r="V112" s="74"/>
      <c r="W112" s="51"/>
      <c r="X112" s="65"/>
    </row>
    <row r="113" spans="8:24" ht="15.75">
      <c r="H113" s="39" t="s">
        <v>104</v>
      </c>
      <c r="I113" s="63">
        <f>ONSV_AUX_2019!J56</f>
        <v>1880464</v>
      </c>
      <c r="J113" s="64">
        <f>I113-(L108*I107)</f>
        <v>1880191.8796423664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272.12035763356835</v>
      </c>
      <c r="V113" s="74"/>
      <c r="W113" s="68" t="s">
        <v>147</v>
      </c>
      <c r="X113" s="70">
        <f>I121</f>
        <v>23488</v>
      </c>
    </row>
    <row r="114" spans="8:24" ht="15.75">
      <c r="H114" s="39" t="s">
        <v>105</v>
      </c>
      <c r="I114" s="63">
        <f>ONSV_AUX_2019!J57</f>
        <v>113855</v>
      </c>
      <c r="J114" s="10">
        <f>I114</f>
        <v>113855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240519.57767064916</v>
      </c>
      <c r="S114" s="51"/>
      <c r="T114" s="68" t="s">
        <v>150</v>
      </c>
      <c r="U114" s="75">
        <f>O119</f>
        <v>263148.61548331706</v>
      </c>
      <c r="V114" s="51"/>
      <c r="W114" s="68" t="s">
        <v>151</v>
      </c>
      <c r="X114" s="70">
        <f>I118</f>
        <v>10185</v>
      </c>
    </row>
    <row r="115" spans="8:24" ht="15.75">
      <c r="H115" s="39" t="s">
        <v>106</v>
      </c>
      <c r="I115" s="63">
        <f>ONSV_AUX_2019!J58</f>
        <v>31580</v>
      </c>
      <c r="J115" s="10">
        <f>I115</f>
        <v>31580</v>
      </c>
      <c r="K115" s="11"/>
      <c r="L115" s="11"/>
      <c r="M115" s="11"/>
      <c r="O115" s="76"/>
      <c r="P115" s="79"/>
      <c r="Q115" s="68" t="s">
        <v>135</v>
      </c>
      <c r="R115" s="63">
        <f>J117-R112</f>
        <v>67576.62739232037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ONSV_AUX_2019!J59</f>
        <v>365734</v>
      </c>
      <c r="J116" s="64">
        <f>I116-(L109*I107)</f>
        <v>365681.07494167465</v>
      </c>
      <c r="K116" s="11"/>
      <c r="L116" s="11"/>
      <c r="M116" s="11"/>
      <c r="N116" s="30" t="s">
        <v>142</v>
      </c>
      <c r="O116" s="63">
        <f>I104</f>
        <v>159643</v>
      </c>
      <c r="P116" s="79"/>
      <c r="Q116" s="51"/>
      <c r="R116" s="51"/>
      <c r="S116" s="80"/>
      <c r="T116" s="68" t="s">
        <v>141</v>
      </c>
      <c r="U116" s="71">
        <f>R111</f>
        <v>125161.4972710255</v>
      </c>
      <c r="V116" s="51"/>
      <c r="W116" s="68" t="s">
        <v>152</v>
      </c>
      <c r="X116" s="70">
        <f>I119</f>
        <v>890070</v>
      </c>
    </row>
    <row r="117" spans="8:24" ht="15.75">
      <c r="H117" s="39" t="s">
        <v>108</v>
      </c>
      <c r="I117" s="63">
        <f>ONSV_AUX_2019!J60</f>
        <v>102757</v>
      </c>
      <c r="J117" s="64">
        <f>I117-(L110*I107)</f>
        <v>102742.13012129487</v>
      </c>
      <c r="K117" s="11"/>
      <c r="L117" s="11"/>
      <c r="M117" s="11"/>
      <c r="N117" s="30" t="s">
        <v>145</v>
      </c>
      <c r="O117" s="63">
        <f>I108</f>
        <v>4650</v>
      </c>
      <c r="P117" s="79"/>
      <c r="Q117" s="51"/>
      <c r="R117" s="51"/>
      <c r="S117" s="51"/>
      <c r="T117" s="68" t="s">
        <v>153</v>
      </c>
      <c r="U117" s="71">
        <f>I116-J116</f>
        <v>52.925058325345162</v>
      </c>
      <c r="V117" s="51"/>
      <c r="W117" s="68" t="s">
        <v>154</v>
      </c>
      <c r="X117" s="70">
        <f>I120</f>
        <v>284662</v>
      </c>
    </row>
    <row r="118" spans="8:24" ht="15.75">
      <c r="H118" s="39" t="s">
        <v>109</v>
      </c>
      <c r="I118" s="63">
        <f>ONSV_AUX_2019!J61</f>
        <v>10185</v>
      </c>
      <c r="J118" s="10">
        <f>I118</f>
        <v>10185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1452750.2641590494</v>
      </c>
      <c r="P118" s="79"/>
      <c r="Q118" s="51"/>
      <c r="R118" s="81"/>
      <c r="S118" s="51"/>
      <c r="T118" s="68" t="s">
        <v>149</v>
      </c>
      <c r="U118" s="75">
        <f>R114</f>
        <v>240519.57767064916</v>
      </c>
      <c r="V118" s="51"/>
      <c r="W118" s="51"/>
      <c r="X118" s="51"/>
    </row>
    <row r="119" spans="8:24" ht="15.75">
      <c r="H119" s="39" t="s">
        <v>110</v>
      </c>
      <c r="I119" s="63">
        <f>ONSV_AUX_2019!J62</f>
        <v>890070</v>
      </c>
      <c r="J119" s="10">
        <f>I119</f>
        <v>890070</v>
      </c>
      <c r="K119" s="11"/>
      <c r="L119" s="11"/>
      <c r="M119" s="11"/>
      <c r="N119" s="30" t="s">
        <v>150</v>
      </c>
      <c r="O119" s="63">
        <f>IF((J113-O116-O118-O117)&lt;0,0,(J113-O116-O118-O117))</f>
        <v>263148.61548331706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ONSV_AUX_2019!J63</f>
        <v>284662</v>
      </c>
      <c r="J120" s="10">
        <f>I120</f>
        <v>284662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3731022</v>
      </c>
    </row>
    <row r="121" spans="8:24" ht="15.75">
      <c r="H121" s="39" t="s">
        <v>112</v>
      </c>
      <c r="I121" s="63">
        <f>ONSV_AUX_2019!J64</f>
        <v>23488</v>
      </c>
      <c r="J121" s="10">
        <f>I121</f>
        <v>23488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ONSV_AUX_2019!J65</f>
        <v>28227</v>
      </c>
      <c r="J122" s="64">
        <f>I122-(L111*I107)</f>
        <v>28222.915294664017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K29:L29"/>
    <mergeCell ref="A25:F25"/>
    <mergeCell ref="A50:F50"/>
    <mergeCell ref="T27:X27"/>
    <mergeCell ref="T52:X52"/>
    <mergeCell ref="K104:L104"/>
    <mergeCell ref="K54:L54"/>
    <mergeCell ref="A75:F75"/>
    <mergeCell ref="K79:L79"/>
    <mergeCell ref="A100:F10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AM36"/>
  <sheetViews>
    <sheetView showGridLines="0" topLeftCell="A17" workbookViewId="0">
      <pane xSplit="1" topLeftCell="X1" activePane="topRight" state="frozen"/>
      <selection pane="topRight" activeCell="C4" sqref="C4:AK36"/>
    </sheetView>
  </sheetViews>
  <sheetFormatPr defaultRowHeight="15"/>
  <cols>
    <col min="1" max="1" width="32.85546875" style="4" customWidth="1"/>
    <col min="2" max="2" width="2.5703125" customWidth="1"/>
    <col min="7" max="7" width="5.5703125" customWidth="1"/>
    <col min="8" max="8" width="10.140625" bestFit="1" customWidth="1"/>
    <col min="12" max="13" width="10.140625" bestFit="1" customWidth="1"/>
    <col min="14" max="14" width="5.140625" customWidth="1"/>
    <col min="15" max="15" width="11" bestFit="1" customWidth="1"/>
    <col min="19" max="19" width="5.140625" customWidth="1"/>
    <col min="24" max="24" width="5.140625" customWidth="1"/>
    <col min="25" max="25" width="10.28515625" bestFit="1" customWidth="1"/>
    <col min="26" max="26" width="5.140625" customWidth="1"/>
    <col min="27" max="27" width="17.28515625" bestFit="1" customWidth="1"/>
    <col min="28" max="28" width="5.140625" customWidth="1"/>
    <col min="29" max="29" width="7.5703125" bestFit="1" customWidth="1"/>
    <col min="30" max="30" width="5.140625" customWidth="1"/>
    <col min="31" max="31" width="13.140625" bestFit="1" customWidth="1"/>
    <col min="32" max="32" width="5.140625" customWidth="1"/>
    <col min="33" max="33" width="12" bestFit="1" customWidth="1"/>
    <col min="34" max="34" width="5.140625" customWidth="1"/>
    <col min="35" max="35" width="10" bestFit="1" customWidth="1"/>
    <col min="37" max="37" width="11.140625" bestFit="1" customWidth="1"/>
  </cols>
  <sheetData>
    <row r="1" spans="1:39">
      <c r="A1" s="49"/>
    </row>
    <row r="2" spans="1:39" ht="15.75" customHeight="1">
      <c r="A2" s="88" t="str">
        <f>"Frota por tipo de veículo e combustível - Junho/"&amp;ONSV_AUX_2022!A1&amp;""</f>
        <v>Frota por tipo de veículo e combustível - Junho/2022</v>
      </c>
      <c r="C2" s="92" t="s">
        <v>0</v>
      </c>
      <c r="D2" s="92"/>
      <c r="E2" s="92"/>
      <c r="F2" s="92"/>
      <c r="H2" s="92" t="s">
        <v>1</v>
      </c>
      <c r="I2" s="92"/>
      <c r="J2" s="92"/>
      <c r="K2" s="92"/>
      <c r="L2" s="92"/>
      <c r="M2" s="92"/>
      <c r="O2" s="93" t="s">
        <v>2</v>
      </c>
      <c r="P2" s="94"/>
      <c r="Q2" s="94"/>
      <c r="R2" s="95"/>
      <c r="T2" s="93" t="s">
        <v>3</v>
      </c>
      <c r="U2" s="94"/>
      <c r="V2" s="94"/>
      <c r="W2" s="95"/>
      <c r="Y2" s="30" t="s">
        <v>4</v>
      </c>
      <c r="AA2" s="30" t="s">
        <v>5</v>
      </c>
      <c r="AC2" s="30" t="s">
        <v>6</v>
      </c>
      <c r="AE2" s="30" t="s">
        <v>7</v>
      </c>
      <c r="AG2" s="30" t="s">
        <v>8</v>
      </c>
      <c r="AI2" s="30" t="s">
        <v>9</v>
      </c>
      <c r="AK2" s="90" t="s">
        <v>10</v>
      </c>
    </row>
    <row r="3" spans="1:39" ht="15.75">
      <c r="A3" s="89"/>
      <c r="C3" s="30" t="s">
        <v>11</v>
      </c>
      <c r="D3" s="30" t="s">
        <v>12</v>
      </c>
      <c r="E3" s="30" t="s">
        <v>13</v>
      </c>
      <c r="F3" s="30" t="s">
        <v>14</v>
      </c>
      <c r="H3" s="30" t="s">
        <v>11</v>
      </c>
      <c r="I3" s="30" t="s">
        <v>15</v>
      </c>
      <c r="J3" s="30" t="s">
        <v>16</v>
      </c>
      <c r="K3" s="30" t="s">
        <v>12</v>
      </c>
      <c r="L3" s="30" t="s">
        <v>13</v>
      </c>
      <c r="M3" s="30" t="s">
        <v>14</v>
      </c>
      <c r="O3" s="30" t="s">
        <v>17</v>
      </c>
      <c r="P3" s="30" t="s">
        <v>12</v>
      </c>
      <c r="Q3" s="30" t="s">
        <v>13</v>
      </c>
      <c r="R3" s="30" t="s">
        <v>14</v>
      </c>
      <c r="T3" s="30" t="s">
        <v>17</v>
      </c>
      <c r="U3" s="30" t="s">
        <v>12</v>
      </c>
      <c r="V3" s="30" t="s">
        <v>13</v>
      </c>
      <c r="W3" s="30" t="s">
        <v>14</v>
      </c>
      <c r="Y3" s="30" t="s">
        <v>17</v>
      </c>
      <c r="AA3" s="30" t="s">
        <v>17</v>
      </c>
      <c r="AC3" s="30" t="s">
        <v>17</v>
      </c>
      <c r="AE3" s="30" t="s">
        <v>17</v>
      </c>
      <c r="AG3" s="30" t="s">
        <v>13</v>
      </c>
      <c r="AI3" s="30" t="s">
        <v>13</v>
      </c>
      <c r="AK3" s="91"/>
      <c r="AM3" t="s">
        <v>18</v>
      </c>
    </row>
    <row r="4" spans="1:39">
      <c r="A4" s="44" t="s">
        <v>19</v>
      </c>
      <c r="C4" s="48">
        <f>SUM(C5,C13,C32,C28,C23)</f>
        <v>1009917.5423623951</v>
      </c>
      <c r="D4" s="48">
        <f>SUM(D5,D13,D32,D28,D23)</f>
        <v>2042.736797674112</v>
      </c>
      <c r="E4" s="48">
        <f t="shared" ref="E4:F4" si="0">SUM(E5,E13,E32,E28,E23)</f>
        <v>358759.72083993081</v>
      </c>
      <c r="F4" s="48">
        <f t="shared" si="0"/>
        <v>1370720</v>
      </c>
      <c r="H4" s="48">
        <f>SUM(H5,H13,H32,H28,H23)</f>
        <v>42530099.242204048</v>
      </c>
      <c r="I4" s="48">
        <f t="shared" ref="I4:L4" si="1">SUM(I5,I13,I32,I28,I23)</f>
        <v>4157437</v>
      </c>
      <c r="J4" s="48">
        <f t="shared" si="1"/>
        <v>2627672</v>
      </c>
      <c r="K4" s="48">
        <f t="shared" ref="K4" si="2">SUM(K5,K13,K32,K28,K23)</f>
        <v>87323.080576021326</v>
      </c>
      <c r="L4" s="48">
        <f t="shared" si="1"/>
        <v>10504698.677219931</v>
      </c>
      <c r="M4" s="48">
        <f>SUM(M5,M13,M32,M28,M23)</f>
        <v>59907230</v>
      </c>
      <c r="O4" s="48">
        <f>SUM(O5,O13,O32,O28,O23)</f>
        <v>2773320.1503533009</v>
      </c>
      <c r="P4" s="48">
        <f>SUM(P5,P13,P32,P28,P23)</f>
        <v>12852.415921388896</v>
      </c>
      <c r="Q4" s="48">
        <f t="shared" ref="Q4:R4" si="3">SUM(Q5,Q13,Q32,Q28,Q23)</f>
        <v>6108381.4337253096</v>
      </c>
      <c r="R4" s="48">
        <f t="shared" si="3"/>
        <v>8894554</v>
      </c>
      <c r="T4" s="48">
        <f>SUM(T5,T13,T32,T28,T23)</f>
        <v>1142028.8496466987</v>
      </c>
      <c r="U4" s="48">
        <f>SUM(U5,U13,U32,U28,U23)</f>
        <v>5888.7667049148267</v>
      </c>
      <c r="V4" s="48">
        <f t="shared" ref="V4" si="4">SUM(V5,V13,V32,V28,V23)</f>
        <v>2852901.3836483862</v>
      </c>
      <c r="W4" s="48">
        <f>SUM(W5,W13,W32,W28,W23)</f>
        <v>4000819</v>
      </c>
      <c r="Y4" s="48">
        <f>SUM(Y5,Y13,Y32,Y28,Y23)</f>
        <v>2990805</v>
      </c>
      <c r="AA4" s="48">
        <f>SUM(AA5,AA13,AA32,AA28,AA23)</f>
        <v>821115</v>
      </c>
      <c r="AC4" s="48">
        <f>SUM(AC5,AC13,AC32,AC28,AC23)</f>
        <v>681325</v>
      </c>
      <c r="AE4" s="48">
        <f>SUM(AE5,AE13,AE32,AE28,AE23)</f>
        <v>431004</v>
      </c>
      <c r="AG4" s="48">
        <f>SUM(AG5,AG13,AG32,AG28,AG23)</f>
        <v>25265099</v>
      </c>
      <c r="AI4" s="48">
        <f>SUM(AI5,AI13,AI32,AI28,AI23)</f>
        <v>5219557</v>
      </c>
      <c r="AK4" s="48">
        <f>SUM(F4,M4,R4,W4,Y4,AA4,AC4,AE4,AG4,AI4)</f>
        <v>109582228</v>
      </c>
    </row>
    <row r="5" spans="1:39">
      <c r="A5" s="44" t="s">
        <v>20</v>
      </c>
      <c r="C5" s="48">
        <f>SUM(C6:C12)</f>
        <v>46336.599107214446</v>
      </c>
      <c r="D5" s="48">
        <f>SUM(D6:D12)</f>
        <v>62.400892785555243</v>
      </c>
      <c r="E5" s="48">
        <f t="shared" ref="E5:AG5" si="5">SUM(E6:E12)</f>
        <v>0</v>
      </c>
      <c r="F5" s="48">
        <f>SUM(C5:E5)</f>
        <v>46399</v>
      </c>
      <c r="H5" s="48">
        <f t="shared" si="5"/>
        <v>1939771.2103165479</v>
      </c>
      <c r="I5" s="48">
        <f t="shared" si="5"/>
        <v>68297</v>
      </c>
      <c r="J5" s="48">
        <f t="shared" si="5"/>
        <v>3677</v>
      </c>
      <c r="K5" s="48">
        <f t="shared" ref="K5" si="6">SUM(K6:K12)</f>
        <v>2712.7896834522107</v>
      </c>
      <c r="L5" s="48">
        <f t="shared" si="5"/>
        <v>0</v>
      </c>
      <c r="M5" s="48">
        <f>SUM(H5:L5)</f>
        <v>2014458</v>
      </c>
      <c r="O5" s="48">
        <f t="shared" si="5"/>
        <v>255417.40640203515</v>
      </c>
      <c r="P5" s="48">
        <f t="shared" ref="P5" si="7">SUM(P6:P12)</f>
        <v>767.84368900177287</v>
      </c>
      <c r="Q5" s="48">
        <f t="shared" si="5"/>
        <v>327151.74990896299</v>
      </c>
      <c r="R5" s="48">
        <f>SUM(O5:Q5)</f>
        <v>583336.99999999988</v>
      </c>
      <c r="T5" s="48">
        <f t="shared" si="5"/>
        <v>52505.593597964813</v>
      </c>
      <c r="U5" s="48">
        <f t="shared" ref="U5" si="8">SUM(U6:U12)</f>
        <v>167.96573476039794</v>
      </c>
      <c r="V5" s="48">
        <f t="shared" si="5"/>
        <v>70414.440667274801</v>
      </c>
      <c r="W5" s="48">
        <f>SUM(T5:V5)</f>
        <v>123088.00000000001</v>
      </c>
      <c r="Y5" s="48">
        <f t="shared" si="5"/>
        <v>167553</v>
      </c>
      <c r="AA5" s="48">
        <f t="shared" si="5"/>
        <v>36999</v>
      </c>
      <c r="AC5" s="48">
        <f t="shared" si="5"/>
        <v>49285</v>
      </c>
      <c r="AE5" s="48">
        <f t="shared" si="5"/>
        <v>16157</v>
      </c>
      <c r="AG5" s="48">
        <f t="shared" si="5"/>
        <v>2347823</v>
      </c>
      <c r="AI5" s="48">
        <f>SUM(AI6:AI12)</f>
        <v>637268</v>
      </c>
      <c r="AK5" s="48">
        <f t="shared" ref="AK5:AK36" si="9">SUM(F5,M5,R5,W5,Y5,AA5,AC5,AE5,AG5,AI5)</f>
        <v>6022367</v>
      </c>
    </row>
    <row r="6" spans="1:39">
      <c r="A6" s="45" t="s">
        <v>21</v>
      </c>
      <c r="C6" s="47">
        <f>AC!$U$31</f>
        <v>1714.6171910575276</v>
      </c>
      <c r="D6" s="47">
        <f>AC!$U$32</f>
        <v>2.3828089424723657</v>
      </c>
      <c r="E6" s="47">
        <f>AC!$U$33</f>
        <v>0</v>
      </c>
      <c r="F6" s="48">
        <f>SUM(C6:E6)</f>
        <v>1717</v>
      </c>
      <c r="H6" s="47">
        <f>AC!$U$35</f>
        <v>96589.678535030471</v>
      </c>
      <c r="I6" s="47">
        <f>AC!$U$36</f>
        <v>3642</v>
      </c>
      <c r="J6" s="47">
        <f>AC!$U$37</f>
        <v>21</v>
      </c>
      <c r="K6" s="47">
        <f>AC!$U$38</f>
        <v>139.32146496952919</v>
      </c>
      <c r="L6" s="47">
        <f>AC!$U$39</f>
        <v>0</v>
      </c>
      <c r="M6" s="48">
        <f t="shared" ref="M6:M36" si="10">SUM(H6:L6)</f>
        <v>100392</v>
      </c>
      <c r="O6" s="47">
        <f>AC!$U$41</f>
        <v>16346.318083990947</v>
      </c>
      <c r="P6" s="47">
        <f>AC!$U$42</f>
        <v>43.555304985147814</v>
      </c>
      <c r="Q6" s="47">
        <f>AC!$U$43</f>
        <v>14995.126611023905</v>
      </c>
      <c r="R6" s="48">
        <f t="shared" ref="R6:R36" si="11">SUM(O6:Q6)</f>
        <v>31385</v>
      </c>
      <c r="T6" s="47">
        <f>AC!$X$31</f>
        <v>2529.6819160090499</v>
      </c>
      <c r="U6" s="47">
        <f>AC!$X$32</f>
        <v>6.7404211028469945</v>
      </c>
      <c r="V6" s="47">
        <f>AC!$X$33</f>
        <v>2320.5776628881031</v>
      </c>
      <c r="W6" s="48">
        <f t="shared" ref="W6:W36" si="12">SUM(T6:V6)</f>
        <v>4857</v>
      </c>
      <c r="Y6" s="47">
        <f>AC!$X$35</f>
        <v>8101</v>
      </c>
      <c r="AA6" s="47">
        <f>AC!$X$36</f>
        <v>1293</v>
      </c>
      <c r="AC6" s="47">
        <f>AC!$X$38</f>
        <v>1416</v>
      </c>
      <c r="AE6" s="47">
        <f>AC!$X$39</f>
        <v>440</v>
      </c>
      <c r="AG6" s="47">
        <f>AC!$X$41</f>
        <v>137900</v>
      </c>
      <c r="AI6" s="47">
        <f>AC!$X$42</f>
        <v>32446</v>
      </c>
      <c r="AK6" s="47">
        <f>SUM(F6,M6,R6,W6,Y6,AA6,AC6,AE6,AG6,AI6)</f>
        <v>319947</v>
      </c>
      <c r="AM6" t="str">
        <f>IF((AK6=AC!X45),"ok","erro")</f>
        <v>ok</v>
      </c>
    </row>
    <row r="7" spans="1:39">
      <c r="A7" s="45" t="s">
        <v>22</v>
      </c>
      <c r="C7" s="47">
        <f>AP!$U$31</f>
        <v>1370.0914809981166</v>
      </c>
      <c r="D7" s="47">
        <f>AP!$U$32</f>
        <v>1.9085190018834055</v>
      </c>
      <c r="E7" s="47">
        <f>AP!$U$33</f>
        <v>0</v>
      </c>
      <c r="F7" s="48">
        <f t="shared" ref="F7:F36" si="13">SUM(C7:E7)</f>
        <v>1372</v>
      </c>
      <c r="H7" s="47">
        <f>AP!$U$35</f>
        <v>93608.551285157198</v>
      </c>
      <c r="I7" s="47">
        <f>AP!$U$36</f>
        <v>1456</v>
      </c>
      <c r="J7" s="47">
        <f>AP!$U$37</f>
        <v>18</v>
      </c>
      <c r="K7" s="47">
        <f>AP!$U$38</f>
        <v>132.44871484280156</v>
      </c>
      <c r="L7" s="47">
        <f>AP!$U$39</f>
        <v>0</v>
      </c>
      <c r="M7" s="48">
        <f t="shared" si="10"/>
        <v>95215</v>
      </c>
      <c r="O7" s="47">
        <f>AP!$U$41</f>
        <v>7438.1283865621217</v>
      </c>
      <c r="P7" s="47">
        <f>AP!$U$42</f>
        <v>36.278553621807077</v>
      </c>
      <c r="Q7" s="47">
        <f>AP!$U$43</f>
        <v>18605.59305981607</v>
      </c>
      <c r="R7" s="48">
        <f t="shared" si="11"/>
        <v>26080</v>
      </c>
      <c r="T7" s="47">
        <f>AP!$X$31</f>
        <v>1509.8716134378785</v>
      </c>
      <c r="U7" s="47">
        <f>AP!$X$32</f>
        <v>7.3642125335063611</v>
      </c>
      <c r="V7" s="47">
        <f>AP!$X$33</f>
        <v>3776.7641740286153</v>
      </c>
      <c r="W7" s="48">
        <f t="shared" si="12"/>
        <v>5294</v>
      </c>
      <c r="Y7" s="47">
        <f>AP!$X$35</f>
        <v>4602</v>
      </c>
      <c r="AA7" s="47">
        <f>AP!$X$36</f>
        <v>529</v>
      </c>
      <c r="AC7" s="47">
        <f>AP!$X$38</f>
        <v>1510</v>
      </c>
      <c r="AE7" s="47">
        <f>AP!$X$39</f>
        <v>518</v>
      </c>
      <c r="AG7" s="47">
        <f>AP!$X$41</f>
        <v>73566</v>
      </c>
      <c r="AI7" s="47">
        <f>AP!$X$42</f>
        <v>15198</v>
      </c>
      <c r="AK7" s="47">
        <f t="shared" si="9"/>
        <v>223884</v>
      </c>
      <c r="AM7" t="str">
        <f>IF((AK7=AP!X45),"ok","erro")</f>
        <v>ok</v>
      </c>
    </row>
    <row r="8" spans="1:39">
      <c r="A8" s="45" t="s">
        <v>23</v>
      </c>
      <c r="C8" s="47">
        <f>AM!$U$31</f>
        <v>7045.2122765859676</v>
      </c>
      <c r="D8" s="47">
        <f>AM!$U$32</f>
        <v>10.787723414032371</v>
      </c>
      <c r="E8" s="47">
        <f>AM!$U$33</f>
        <v>0</v>
      </c>
      <c r="F8" s="48">
        <f t="shared" si="13"/>
        <v>7056</v>
      </c>
      <c r="H8" s="47">
        <f>AM!$U$35</f>
        <v>423479.69883978454</v>
      </c>
      <c r="I8" s="47">
        <f>AM!$U$36</f>
        <v>16222</v>
      </c>
      <c r="J8" s="47">
        <f>AM!$U$37</f>
        <v>2628</v>
      </c>
      <c r="K8" s="47">
        <f>AM!$U$38</f>
        <v>677.30116021545837</v>
      </c>
      <c r="L8" s="47">
        <f>AM!$U$39</f>
        <v>0</v>
      </c>
      <c r="M8" s="48">
        <f t="shared" si="10"/>
        <v>443007</v>
      </c>
      <c r="O8" s="47">
        <f>AM!$U$41</f>
        <v>28542.494002096355</v>
      </c>
      <c r="P8" s="47">
        <f>AM!$U$42</f>
        <v>152.68083882403153</v>
      </c>
      <c r="Q8" s="47">
        <f>AM!$U$43</f>
        <v>71169.825159079614</v>
      </c>
      <c r="R8" s="48">
        <f t="shared" si="11"/>
        <v>99865</v>
      </c>
      <c r="T8" s="47">
        <f>AM!$X$31</f>
        <v>8268.505997903645</v>
      </c>
      <c r="U8" s="47">
        <f>AM!$X$32</f>
        <v>44.230277546477737</v>
      </c>
      <c r="V8" s="47">
        <f>AM!$X$33</f>
        <v>20617.263724549877</v>
      </c>
      <c r="W8" s="48">
        <f t="shared" si="12"/>
        <v>28930</v>
      </c>
      <c r="Y8" s="47">
        <f>AM!$X$35</f>
        <v>22070</v>
      </c>
      <c r="AA8" s="47">
        <f>AM!$X$36</f>
        <v>4482</v>
      </c>
      <c r="AC8" s="47">
        <f>AM!$X$38</f>
        <v>10441</v>
      </c>
      <c r="AE8" s="47">
        <f>AM!$X$39</f>
        <v>3730</v>
      </c>
      <c r="AG8" s="47">
        <f>AM!$X$41</f>
        <v>321726</v>
      </c>
      <c r="AI8" s="47">
        <f>AM!$X$42</f>
        <v>76218</v>
      </c>
      <c r="AK8" s="47">
        <f t="shared" si="9"/>
        <v>1017525</v>
      </c>
      <c r="AM8" t="str">
        <f>IF((AK8=AM!X45),"ok","erro")</f>
        <v>ok</v>
      </c>
    </row>
    <row r="9" spans="1:39">
      <c r="A9" s="45" t="s">
        <v>24</v>
      </c>
      <c r="C9" s="47">
        <f>PA!$U$31</f>
        <v>20715.439220755659</v>
      </c>
      <c r="D9" s="47">
        <f>PA!$U$32</f>
        <v>30.560779244340665</v>
      </c>
      <c r="E9" s="47">
        <f>PA!$U$33</f>
        <v>0</v>
      </c>
      <c r="F9" s="48">
        <f t="shared" si="13"/>
        <v>20746</v>
      </c>
      <c r="H9" s="47">
        <f>PA!$U$35</f>
        <v>682953.35955314478</v>
      </c>
      <c r="I9" s="47">
        <f>PA!$U$36</f>
        <v>23983</v>
      </c>
      <c r="J9" s="47">
        <f>PA!$U$37</f>
        <v>489</v>
      </c>
      <c r="K9" s="47">
        <f>PA!$U$38</f>
        <v>1043.6404468552209</v>
      </c>
      <c r="L9" s="47">
        <f>PA!$U$39</f>
        <v>0</v>
      </c>
      <c r="M9" s="48">
        <f t="shared" si="10"/>
        <v>708469</v>
      </c>
      <c r="O9" s="47">
        <f>PA!$U$41</f>
        <v>93358.047215521496</v>
      </c>
      <c r="P9" s="47">
        <f>PA!$U$42</f>
        <v>283.73825958592352</v>
      </c>
      <c r="Q9" s="47">
        <f>PA!$U$43</f>
        <v>98972.214524892581</v>
      </c>
      <c r="R9" s="48">
        <f t="shared" si="11"/>
        <v>192614</v>
      </c>
      <c r="T9" s="47">
        <f>PA!$X$31</f>
        <v>23380.952784478497</v>
      </c>
      <c r="U9" s="47">
        <f>PA!$X$32</f>
        <v>71.060514314463944</v>
      </c>
      <c r="V9" s="47">
        <f>PA!$X$33</f>
        <v>24786.986701207039</v>
      </c>
      <c r="W9" s="48">
        <f t="shared" si="12"/>
        <v>48239</v>
      </c>
      <c r="Y9" s="47">
        <f>PA!$X$35</f>
        <v>69789</v>
      </c>
      <c r="AA9" s="47">
        <f>PA!$X$36</f>
        <v>12708</v>
      </c>
      <c r="AC9" s="47">
        <f>PA!$X$38</f>
        <v>21392</v>
      </c>
      <c r="AE9" s="47">
        <f>PA!$X$39</f>
        <v>7429</v>
      </c>
      <c r="AG9" s="47">
        <f>PA!$X$41</f>
        <v>1028248</v>
      </c>
      <c r="AI9" s="47">
        <f>PA!$X$42</f>
        <v>240146</v>
      </c>
      <c r="AK9" s="47">
        <f t="shared" si="9"/>
        <v>2349780</v>
      </c>
      <c r="AM9" t="str">
        <f>IF((AK9=PA!$X45),"ok","erro")</f>
        <v>ok</v>
      </c>
    </row>
    <row r="10" spans="1:39">
      <c r="A10" s="45" t="s">
        <v>25</v>
      </c>
      <c r="C10" s="47">
        <f>RO!$U$31</f>
        <v>6839.6392708604944</v>
      </c>
      <c r="D10" s="47">
        <f>RO!$U$32</f>
        <v>7.3607291395055654</v>
      </c>
      <c r="E10" s="47">
        <f>RO!$U$33</f>
        <v>0</v>
      </c>
      <c r="F10" s="48">
        <f t="shared" si="13"/>
        <v>6847</v>
      </c>
      <c r="H10" s="47">
        <f>RO!$U$35</f>
        <v>315939.59102916473</v>
      </c>
      <c r="I10" s="47">
        <f>RO!$U$36</f>
        <v>10492</v>
      </c>
      <c r="J10" s="47">
        <f>RO!$U$37</f>
        <v>100</v>
      </c>
      <c r="K10" s="47">
        <f>RO!$U$38</f>
        <v>351.40897083526943</v>
      </c>
      <c r="L10" s="47">
        <f>RO!$U$39</f>
        <v>0</v>
      </c>
      <c r="M10" s="48">
        <f t="shared" si="10"/>
        <v>326883</v>
      </c>
      <c r="O10" s="47">
        <f>RO!$U$41</f>
        <v>55622.617811037242</v>
      </c>
      <c r="P10" s="47">
        <f>RO!$U$42</f>
        <v>127.19537758552178</v>
      </c>
      <c r="Q10" s="47">
        <f>RO!$U$43</f>
        <v>62568.186811377236</v>
      </c>
      <c r="R10" s="48">
        <f t="shared" si="11"/>
        <v>118318</v>
      </c>
      <c r="T10" s="47">
        <f>RO!$X$31</f>
        <v>7449.3821889627625</v>
      </c>
      <c r="U10" s="47">
        <f>RO!$X$32</f>
        <v>17.034922439697766</v>
      </c>
      <c r="V10" s="47">
        <f>RO!$X$33</f>
        <v>8379.5828885975388</v>
      </c>
      <c r="W10" s="48">
        <f t="shared" si="12"/>
        <v>15846</v>
      </c>
      <c r="Y10" s="47">
        <f>RO!$X$35</f>
        <v>32566</v>
      </c>
      <c r="AA10" s="47">
        <f>RO!$X$36</f>
        <v>8493</v>
      </c>
      <c r="AC10" s="47">
        <f>RO!$X$38</f>
        <v>6941</v>
      </c>
      <c r="AE10" s="47">
        <f>RO!$X$39</f>
        <v>1486</v>
      </c>
      <c r="AG10" s="47">
        <f>RO!$X$41</f>
        <v>437760</v>
      </c>
      <c r="AI10" s="47">
        <f>RO!$X$42</f>
        <v>141119</v>
      </c>
      <c r="AK10" s="47">
        <f t="shared" si="9"/>
        <v>1096259</v>
      </c>
      <c r="AM10" t="str">
        <f>IF((AK10=RO!$X45),"ok","erro")</f>
        <v>ok</v>
      </c>
    </row>
    <row r="11" spans="1:39">
      <c r="A11" s="45" t="s">
        <v>26</v>
      </c>
      <c r="C11" s="47">
        <f>RR!$U$31</f>
        <v>1821.0964782298249</v>
      </c>
      <c r="D11" s="47">
        <f>RR!$U$32</f>
        <v>1.9035217701750753</v>
      </c>
      <c r="E11" s="47">
        <f>RR!$U$33</f>
        <v>0</v>
      </c>
      <c r="F11" s="48">
        <f t="shared" si="13"/>
        <v>1823</v>
      </c>
      <c r="H11" s="47">
        <f>RR!$U$35</f>
        <v>87079.382127803328</v>
      </c>
      <c r="I11" s="47">
        <f>RR!$U$36</f>
        <v>1458</v>
      </c>
      <c r="J11" s="47">
        <f>RR!$U$37</f>
        <v>70</v>
      </c>
      <c r="K11" s="47">
        <f>RR!$U$38</f>
        <v>92.617872196671669</v>
      </c>
      <c r="L11" s="47">
        <f>RR!$U$39</f>
        <v>0</v>
      </c>
      <c r="M11" s="48">
        <f t="shared" si="10"/>
        <v>88700</v>
      </c>
      <c r="O11" s="47">
        <f>RR!$U$41</f>
        <v>13058.950231598026</v>
      </c>
      <c r="P11" s="47">
        <f>RR!$U$42</f>
        <v>35.35454943300283</v>
      </c>
      <c r="Q11" s="47">
        <f>RR!$U$43</f>
        <v>20764.695218968969</v>
      </c>
      <c r="R11" s="48">
        <f t="shared" si="11"/>
        <v>33859</v>
      </c>
      <c r="T11" s="47">
        <f>RR!$X$31</f>
        <v>2262.0497684019733</v>
      </c>
      <c r="U11" s="47">
        <f>RR!$X$32</f>
        <v>6.1240566001524712</v>
      </c>
      <c r="V11" s="47">
        <f>RR!$X$33</f>
        <v>3596.8261749978742</v>
      </c>
      <c r="W11" s="48">
        <f t="shared" si="12"/>
        <v>5865</v>
      </c>
      <c r="Y11" s="47">
        <f>RR!$X$35</f>
        <v>5977</v>
      </c>
      <c r="AA11" s="47">
        <f>RR!$X$36</f>
        <v>1346</v>
      </c>
      <c r="AC11" s="47">
        <f>RR!$X$38</f>
        <v>1360</v>
      </c>
      <c r="AE11" s="47">
        <f>RR!$X$39</f>
        <v>767</v>
      </c>
      <c r="AG11" s="47">
        <f>RR!$X$41</f>
        <v>88111</v>
      </c>
      <c r="AI11" s="47">
        <f>RR!$X$42</f>
        <v>22987</v>
      </c>
      <c r="AK11" s="47">
        <f t="shared" si="9"/>
        <v>250795</v>
      </c>
      <c r="AM11" t="str">
        <f>IF((AK11=RR!$X45),"ok","erro")</f>
        <v>ok</v>
      </c>
    </row>
    <row r="12" spans="1:39">
      <c r="A12" s="45" t="s">
        <v>27</v>
      </c>
      <c r="C12" s="47">
        <f>TO!$U$31</f>
        <v>6830.5031887268542</v>
      </c>
      <c r="D12" s="47">
        <f>TO!$U$32</f>
        <v>7.496811273145795</v>
      </c>
      <c r="E12" s="47">
        <f>TO!$U$33</f>
        <v>0</v>
      </c>
      <c r="F12" s="48">
        <f t="shared" si="13"/>
        <v>6838</v>
      </c>
      <c r="H12" s="47">
        <f>TO!$U$35</f>
        <v>240120.94894646274</v>
      </c>
      <c r="I12" s="47">
        <f>TO!$U$36</f>
        <v>11044</v>
      </c>
      <c r="J12" s="47">
        <f>TO!$U$37</f>
        <v>351</v>
      </c>
      <c r="K12" s="47">
        <f>TO!$U$38</f>
        <v>276.05105353725958</v>
      </c>
      <c r="L12" s="47">
        <f>TO!$U$39</f>
        <v>0</v>
      </c>
      <c r="M12" s="48">
        <f t="shared" si="10"/>
        <v>251792</v>
      </c>
      <c r="O12" s="47">
        <f>TO!$U$41</f>
        <v>41050.850671228996</v>
      </c>
      <c r="P12" s="47">
        <f>TO!$U$42</f>
        <v>89.040804966338328</v>
      </c>
      <c r="Q12" s="47">
        <f>TO!$U$43</f>
        <v>40076.108523804665</v>
      </c>
      <c r="R12" s="48">
        <f t="shared" si="11"/>
        <v>81216</v>
      </c>
      <c r="T12" s="47">
        <f>TO!$X$31</f>
        <v>7105.1493287710064</v>
      </c>
      <c r="U12" s="47">
        <f>TO!$X$32</f>
        <v>15.411330223252662</v>
      </c>
      <c r="V12" s="47">
        <f>TO!$X$33</f>
        <v>6936.439341005741</v>
      </c>
      <c r="W12" s="48">
        <f t="shared" si="12"/>
        <v>14057</v>
      </c>
      <c r="Y12" s="47">
        <f>TO!$X$35</f>
        <v>24448</v>
      </c>
      <c r="AA12" s="47">
        <f>TO!$X$36</f>
        <v>8148</v>
      </c>
      <c r="AC12" s="47">
        <f>TO!$X$38</f>
        <v>6225</v>
      </c>
      <c r="AE12" s="47">
        <f>TO!$X$39</f>
        <v>1787</v>
      </c>
      <c r="AG12" s="47">
        <f>TO!$X$41</f>
        <v>260512</v>
      </c>
      <c r="AI12" s="47">
        <f>TO!$X$42</f>
        <v>109154</v>
      </c>
      <c r="AK12" s="47">
        <f t="shared" si="9"/>
        <v>764177</v>
      </c>
      <c r="AM12" t="str">
        <f>IF((AK12=TO!$X45),"ok","erro")</f>
        <v>ok</v>
      </c>
    </row>
    <row r="13" spans="1:39">
      <c r="A13" s="44" t="s">
        <v>28</v>
      </c>
      <c r="C13" s="48">
        <f>SUM(C14:C22)</f>
        <v>211065.50617449934</v>
      </c>
      <c r="D13" s="48">
        <f>SUM(D14:D22)</f>
        <v>325.79418126662404</v>
      </c>
      <c r="E13" s="48">
        <f t="shared" ref="E13:AI13" si="14">SUM(E14:E22)</f>
        <v>3334.6996442340387</v>
      </c>
      <c r="F13" s="48">
        <f t="shared" si="13"/>
        <v>214726</v>
      </c>
      <c r="H13" s="48">
        <f>SUM(H14:H22)</f>
        <v>6972537.2885118965</v>
      </c>
      <c r="I13" s="48">
        <f t="shared" ref="I13:J13" si="15">SUM(I14:I22)</f>
        <v>391146</v>
      </c>
      <c r="J13" s="48">
        <f t="shared" si="15"/>
        <v>347501</v>
      </c>
      <c r="K13" s="48">
        <f t="shared" ref="K13" si="16">SUM(K14:K22)</f>
        <v>12003.711488103843</v>
      </c>
      <c r="L13" s="48">
        <f t="shared" si="14"/>
        <v>0</v>
      </c>
      <c r="M13" s="48">
        <f t="shared" si="10"/>
        <v>7723188</v>
      </c>
      <c r="O13" s="48">
        <f>SUM(O14:O22)</f>
        <v>563575.34776966739</v>
      </c>
      <c r="P13" s="48">
        <f>SUM(P14:P22)</f>
        <v>2227.7016924693962</v>
      </c>
      <c r="Q13" s="48">
        <f t="shared" si="14"/>
        <v>874523.95053786319</v>
      </c>
      <c r="R13" s="48">
        <f t="shared" si="11"/>
        <v>1440327</v>
      </c>
      <c r="T13" s="48">
        <f t="shared" si="14"/>
        <v>179880.65223033258</v>
      </c>
      <c r="U13" s="48">
        <f>SUM(U14:U22)</f>
        <v>744.79263815996819</v>
      </c>
      <c r="V13" s="48">
        <f>SUM(V14:V22)</f>
        <v>293569.55513150746</v>
      </c>
      <c r="W13" s="48">
        <f t="shared" si="12"/>
        <v>474195</v>
      </c>
      <c r="Y13" s="48">
        <f t="shared" ref="Y13" si="17">SUM(Y14:Y22)</f>
        <v>506879</v>
      </c>
      <c r="AA13" s="48">
        <f>SUM(AA14:AA22)</f>
        <v>78113</v>
      </c>
      <c r="AC13" s="48">
        <f t="shared" ref="AC13" si="18">SUM(AC14:AC22)</f>
        <v>139372</v>
      </c>
      <c r="AE13" s="48">
        <f t="shared" si="14"/>
        <v>98788</v>
      </c>
      <c r="AG13" s="48">
        <f t="shared" ref="AG13" si="19">SUM(AG14:AG22)</f>
        <v>7527100</v>
      </c>
      <c r="AI13" s="48">
        <f t="shared" si="14"/>
        <v>1155516</v>
      </c>
      <c r="AK13" s="48">
        <f t="shared" si="9"/>
        <v>19358204</v>
      </c>
    </row>
    <row r="14" spans="1:39">
      <c r="A14" s="45" t="s">
        <v>29</v>
      </c>
      <c r="C14" s="47">
        <f>AL!$U$31</f>
        <v>10075.806535211928</v>
      </c>
      <c r="D14" s="47">
        <f>AL!$U$32</f>
        <v>16.193464788071651</v>
      </c>
      <c r="E14" s="47">
        <f>AL!$U$33</f>
        <v>0</v>
      </c>
      <c r="F14" s="48">
        <f t="shared" si="13"/>
        <v>10092</v>
      </c>
      <c r="H14" s="47">
        <f>AL!$U$35</f>
        <v>360885.0838742209</v>
      </c>
      <c r="I14" s="47">
        <f>AL!$U$36</f>
        <v>24326</v>
      </c>
      <c r="J14" s="47">
        <f>AL!$U$37</f>
        <v>24776</v>
      </c>
      <c r="K14" s="47">
        <f>AL!$U$38</f>
        <v>658.91612577909837</v>
      </c>
      <c r="L14" s="47">
        <f>AL!$U$39</f>
        <v>0</v>
      </c>
      <c r="M14" s="48">
        <f t="shared" si="10"/>
        <v>410646</v>
      </c>
      <c r="O14" s="47">
        <f>AL!$U$41</f>
        <v>23439.359861858098</v>
      </c>
      <c r="P14" s="47">
        <f>AL!$U$42</f>
        <v>104.04605997353792</v>
      </c>
      <c r="Q14" s="47">
        <f>AL!$U$43</f>
        <v>41299.59407816836</v>
      </c>
      <c r="R14" s="48">
        <f t="shared" si="11"/>
        <v>64843</v>
      </c>
      <c r="T14" s="47">
        <f>AL!$X$31</f>
        <v>9426.6401381419018</v>
      </c>
      <c r="U14" s="47">
        <f>AL!$X$32</f>
        <v>41.844349459308432</v>
      </c>
      <c r="V14" s="47">
        <f>AL!$X$33</f>
        <v>16609.51551239879</v>
      </c>
      <c r="W14" s="48">
        <f t="shared" si="12"/>
        <v>26078</v>
      </c>
      <c r="Y14" s="47">
        <f>AL!$X$35</f>
        <v>24672</v>
      </c>
      <c r="AA14" s="47">
        <f>AL!$X$36</f>
        <v>3086</v>
      </c>
      <c r="AC14" s="47">
        <f>AL!$X$38</f>
        <v>9548</v>
      </c>
      <c r="AE14" s="47">
        <f>AL!$X$39</f>
        <v>7448</v>
      </c>
      <c r="AG14" s="47">
        <f>AL!$X$41</f>
        <v>355764</v>
      </c>
      <c r="AI14" s="47">
        <f>AL!$X$42</f>
        <v>50567</v>
      </c>
      <c r="AK14" s="47">
        <f t="shared" si="9"/>
        <v>962744</v>
      </c>
      <c r="AM14" t="str">
        <f>IF((AK14=AL!$X45),"ok","erro")</f>
        <v>ok</v>
      </c>
    </row>
    <row r="15" spans="1:39">
      <c r="A15" s="45" t="s">
        <v>30</v>
      </c>
      <c r="C15" s="47">
        <f>BA!$U$31</f>
        <v>45077.365025113751</v>
      </c>
      <c r="D15" s="47">
        <f>BA!$U$32</f>
        <v>68.017042017207132</v>
      </c>
      <c r="E15" s="47">
        <f>BA!$U$33</f>
        <v>834.6179328690414</v>
      </c>
      <c r="F15" s="48">
        <f t="shared" si="13"/>
        <v>45980</v>
      </c>
      <c r="H15" s="47">
        <f>BA!$U$35</f>
        <v>1891964.7967232449</v>
      </c>
      <c r="I15" s="47">
        <f>BA!$U$36</f>
        <v>100930</v>
      </c>
      <c r="J15" s="47">
        <f>BA!$U$37</f>
        <v>73439</v>
      </c>
      <c r="K15" s="47">
        <f>BA!$U$38</f>
        <v>3061.2032767550554</v>
      </c>
      <c r="L15" s="47">
        <f>BA!$U$39</f>
        <v>0</v>
      </c>
      <c r="M15" s="48">
        <f t="shared" si="10"/>
        <v>2069395</v>
      </c>
      <c r="O15" s="47">
        <f>BA!$U$41</f>
        <v>135345.17513606034</v>
      </c>
      <c r="P15" s="47">
        <f>BA!$U$42</f>
        <v>637.00814848922892</v>
      </c>
      <c r="Q15" s="47">
        <f>BA!$U$43</f>
        <v>294639.81671545043</v>
      </c>
      <c r="R15" s="48">
        <f t="shared" si="11"/>
        <v>430622</v>
      </c>
      <c r="T15" s="47">
        <f>BA!$X$31</f>
        <v>43507.824863939662</v>
      </c>
      <c r="U15" s="47">
        <f>BA!$X$32</f>
        <v>204.77153273849399</v>
      </c>
      <c r="V15" s="47">
        <f>BA!$X$33</f>
        <v>94714.403603321844</v>
      </c>
      <c r="W15" s="48">
        <f t="shared" si="12"/>
        <v>138427</v>
      </c>
      <c r="Y15" s="47">
        <f>BA!$X$35</f>
        <v>132077</v>
      </c>
      <c r="AA15" s="47">
        <f>BA!$X$36</f>
        <v>27479</v>
      </c>
      <c r="AC15" s="47">
        <f>BA!$X$38</f>
        <v>44582</v>
      </c>
      <c r="AE15" s="47">
        <f>BA!$X$39</f>
        <v>32467</v>
      </c>
      <c r="AG15" s="47">
        <f>BA!$X$41</f>
        <v>1485288</v>
      </c>
      <c r="AI15" s="47">
        <f>BA!$X$42</f>
        <v>244520</v>
      </c>
      <c r="AK15" s="47">
        <f t="shared" si="9"/>
        <v>4650837</v>
      </c>
      <c r="AM15" t="str">
        <f>IF((AK15=BA!$X45),"ok","erro")</f>
        <v>ok</v>
      </c>
    </row>
    <row r="16" spans="1:39">
      <c r="A16" s="45" t="s">
        <v>31</v>
      </c>
      <c r="C16" s="47">
        <f>CE!$U$31</f>
        <v>47880.360109095687</v>
      </c>
      <c r="D16" s="47">
        <f>CE!$U$32</f>
        <v>61.639890904312779</v>
      </c>
      <c r="E16" s="47">
        <f>CE!$U$33</f>
        <v>0</v>
      </c>
      <c r="F16" s="48">
        <f t="shared" si="13"/>
        <v>47942</v>
      </c>
      <c r="H16" s="47">
        <f>CE!$U$35</f>
        <v>1166433.5376965879</v>
      </c>
      <c r="I16" s="47">
        <f>CE!$U$36</f>
        <v>61076</v>
      </c>
      <c r="J16" s="47">
        <f>CE!$U$37</f>
        <v>55306</v>
      </c>
      <c r="K16" s="47">
        <f>CE!$U$38</f>
        <v>1651.4623034121469</v>
      </c>
      <c r="L16" s="47">
        <f>CE!$U$39</f>
        <v>0</v>
      </c>
      <c r="M16" s="48">
        <f t="shared" si="10"/>
        <v>1284467</v>
      </c>
      <c r="O16" s="47">
        <f>CE!$U$41</f>
        <v>112289.30532349039</v>
      </c>
      <c r="P16" s="47">
        <f>CE!$U$42</f>
        <v>290.77154744201107</v>
      </c>
      <c r="Q16" s="47">
        <f>CE!$U$43</f>
        <v>113574.9231290676</v>
      </c>
      <c r="R16" s="48">
        <f t="shared" si="11"/>
        <v>226155</v>
      </c>
      <c r="T16" s="47">
        <f>CE!$X$31</f>
        <v>34804.6946765096</v>
      </c>
      <c r="U16" s="47">
        <f>CE!$X$32</f>
        <v>90.126258241434698</v>
      </c>
      <c r="V16" s="47">
        <f>CE!$X$33</f>
        <v>35203.179065248965</v>
      </c>
      <c r="W16" s="48">
        <f t="shared" si="12"/>
        <v>70098</v>
      </c>
      <c r="Y16" s="47">
        <f>CE!$X$35</f>
        <v>78906</v>
      </c>
      <c r="AA16" s="47">
        <f>CE!$X$36</f>
        <v>11156</v>
      </c>
      <c r="AC16" s="47">
        <f>CE!$X$38</f>
        <v>19261</v>
      </c>
      <c r="AE16" s="47">
        <f>CE!$X$39</f>
        <v>13184</v>
      </c>
      <c r="AG16" s="47">
        <f>CE!$X$41</f>
        <v>1547037</v>
      </c>
      <c r="AI16" s="47">
        <f>CE!$X$42</f>
        <v>202198</v>
      </c>
      <c r="AK16" s="47">
        <f t="shared" si="9"/>
        <v>3500404</v>
      </c>
      <c r="AM16" t="str">
        <f>IF((AK16=CE!$X45),"ok","erro")</f>
        <v>ok</v>
      </c>
    </row>
    <row r="17" spans="1:39">
      <c r="A17" s="45" t="s">
        <v>32</v>
      </c>
      <c r="C17" s="47">
        <f>MA!$U$31</f>
        <v>15385.368079456613</v>
      </c>
      <c r="D17" s="47">
        <f>MA!$U$32</f>
        <v>26.631920543386514</v>
      </c>
      <c r="E17" s="47">
        <f>MA!$U$33</f>
        <v>0</v>
      </c>
      <c r="F17" s="48">
        <f t="shared" si="13"/>
        <v>15412</v>
      </c>
      <c r="H17" s="47">
        <f>MA!$U$35</f>
        <v>494443.3857910902</v>
      </c>
      <c r="I17" s="47">
        <f>MA!$U$36</f>
        <v>13935</v>
      </c>
      <c r="J17" s="47">
        <f>MA!$U$37</f>
        <v>356</v>
      </c>
      <c r="K17" s="47">
        <f>MA!$U$38</f>
        <v>880.61420890979934</v>
      </c>
      <c r="L17" s="47">
        <f>MA!$U$39</f>
        <v>0</v>
      </c>
      <c r="M17" s="48">
        <f t="shared" si="10"/>
        <v>509615</v>
      </c>
      <c r="O17" s="47">
        <f>MA!$U$41</f>
        <v>69271.776151372484</v>
      </c>
      <c r="P17" s="47">
        <f>MA!$U$42</f>
        <v>255.90973947528983</v>
      </c>
      <c r="Q17" s="47">
        <f>MA!$U$43</f>
        <v>78568.314109152227</v>
      </c>
      <c r="R17" s="48">
        <f t="shared" si="11"/>
        <v>148096</v>
      </c>
      <c r="T17" s="47">
        <f>MA!$X$31</f>
        <v>13492.223848627507</v>
      </c>
      <c r="U17" s="47">
        <f>MA!$X$32</f>
        <v>49.844131071502488</v>
      </c>
      <c r="V17" s="47">
        <f>MA!$X$33</f>
        <v>15302.93202030099</v>
      </c>
      <c r="W17" s="48">
        <f t="shared" si="12"/>
        <v>28845</v>
      </c>
      <c r="Y17" s="47">
        <f>MA!$X$35</f>
        <v>46544</v>
      </c>
      <c r="AA17" s="47">
        <f>MA!$X$36</f>
        <v>7222</v>
      </c>
      <c r="AC17" s="47">
        <f>MA!$X$38</f>
        <v>10779</v>
      </c>
      <c r="AE17" s="47">
        <f>MA!$X$39</f>
        <v>5659</v>
      </c>
      <c r="AG17" s="47">
        <f>MA!$X$41</f>
        <v>978384</v>
      </c>
      <c r="AI17" s="47">
        <f>MA!$X$42</f>
        <v>194773</v>
      </c>
      <c r="AK17" s="47">
        <f>SUM(F17,M17,R17,W17,Y17,AA17,AC17,AE17,AG17,AI17)</f>
        <v>1945329</v>
      </c>
      <c r="AM17" t="str">
        <f>IF((AK17=MA!$X45),"ok","erro")</f>
        <v>ok</v>
      </c>
    </row>
    <row r="18" spans="1:39">
      <c r="A18" s="45" t="s">
        <v>33</v>
      </c>
      <c r="C18" s="47">
        <f>PB!$U$31</f>
        <v>18585.356315905712</v>
      </c>
      <c r="D18" s="47">
        <f>PB!$U$32</f>
        <v>26.643684094287892</v>
      </c>
      <c r="E18" s="47">
        <f>PB!$U$33</f>
        <v>0</v>
      </c>
      <c r="F18" s="48">
        <f t="shared" si="13"/>
        <v>18612</v>
      </c>
      <c r="H18" s="47">
        <f>PB!$U$35</f>
        <v>549070.50162976526</v>
      </c>
      <c r="I18" s="47">
        <f>PB!$U$36</f>
        <v>29390</v>
      </c>
      <c r="J18" s="47">
        <f>PB!$U$37</f>
        <v>23177</v>
      </c>
      <c r="K18" s="47">
        <f>PB!$U$38</f>
        <v>862.4983702347381</v>
      </c>
      <c r="L18" s="47">
        <f>PB!$U$39</f>
        <v>0</v>
      </c>
      <c r="M18" s="48">
        <f t="shared" si="10"/>
        <v>602500</v>
      </c>
      <c r="O18" s="47">
        <f>PB!$U$41</f>
        <v>40432.083038381978</v>
      </c>
      <c r="P18" s="47">
        <f>PB!$U$42</f>
        <v>140.24867689672101</v>
      </c>
      <c r="Q18" s="47">
        <f>PB!$U$43</f>
        <v>57398.668284721301</v>
      </c>
      <c r="R18" s="48">
        <f t="shared" si="11"/>
        <v>97971</v>
      </c>
      <c r="T18" s="47">
        <f>PB!$X$31</f>
        <v>13436.916961618019</v>
      </c>
      <c r="U18" s="47">
        <f>PB!$X$32</f>
        <v>46.609268774231168</v>
      </c>
      <c r="V18" s="47">
        <f>PB!$X$33</f>
        <v>19075.47376960775</v>
      </c>
      <c r="W18" s="48">
        <f t="shared" si="12"/>
        <v>32559</v>
      </c>
      <c r="Y18" s="47">
        <f>PB!$X$35</f>
        <v>31209</v>
      </c>
      <c r="AA18" s="47">
        <f>PB!$X$36</f>
        <v>3458</v>
      </c>
      <c r="AC18" s="47">
        <f>PB!$X$38</f>
        <v>8364</v>
      </c>
      <c r="AE18" s="47">
        <f>PB!$X$39</f>
        <v>5421</v>
      </c>
      <c r="AG18" s="47">
        <f>PB!$X$41</f>
        <v>565076</v>
      </c>
      <c r="AI18" s="47">
        <f>PB!$X$42</f>
        <v>81496</v>
      </c>
      <c r="AK18" s="47">
        <f t="shared" si="9"/>
        <v>1446666</v>
      </c>
      <c r="AM18" t="str">
        <f>IF((AK18=PB!$X45),"ok","erro")</f>
        <v>ok</v>
      </c>
    </row>
    <row r="19" spans="1:39">
      <c r="A19" s="45" t="s">
        <v>34</v>
      </c>
      <c r="C19" s="47">
        <f>PE!$U$31</f>
        <v>32203.339272112407</v>
      </c>
      <c r="D19" s="47">
        <f>PE!$U$32</f>
        <v>64.003400549525395</v>
      </c>
      <c r="E19" s="47">
        <f>PE!$U$33</f>
        <v>140.65732733806726</v>
      </c>
      <c r="F19" s="48">
        <f t="shared" si="13"/>
        <v>32408</v>
      </c>
      <c r="H19" s="47">
        <f>PE!$U$35</f>
        <v>1258195.3592437678</v>
      </c>
      <c r="I19" s="47">
        <f>PE!$U$36</f>
        <v>94047</v>
      </c>
      <c r="J19" s="47">
        <f>PE!$U$37</f>
        <v>93377</v>
      </c>
      <c r="K19" s="47">
        <f>PE!$U$38</f>
        <v>2860.6407562321983</v>
      </c>
      <c r="L19" s="47">
        <f>PE!$U$39</f>
        <v>0</v>
      </c>
      <c r="M19" s="48">
        <f t="shared" si="10"/>
        <v>1448480</v>
      </c>
      <c r="O19" s="47">
        <f>PE!$U$41</f>
        <v>68710.476241261189</v>
      </c>
      <c r="P19" s="47">
        <f>PE!$U$42</f>
        <v>417.91210771675105</v>
      </c>
      <c r="Q19" s="47">
        <f>PE!$U$43</f>
        <v>142480.61165102205</v>
      </c>
      <c r="R19" s="48">
        <f t="shared" si="11"/>
        <v>211609</v>
      </c>
      <c r="T19" s="47">
        <f>PE!$X$31</f>
        <v>33284.523758738804</v>
      </c>
      <c r="U19" s="47">
        <f>PE!$X$32</f>
        <v>202.44373550142336</v>
      </c>
      <c r="V19" s="47">
        <f>PE!$X$33</f>
        <v>69020.032505759766</v>
      </c>
      <c r="W19" s="48">
        <f t="shared" si="12"/>
        <v>102507</v>
      </c>
      <c r="Y19" s="47">
        <f>PE!$X$35</f>
        <v>97008</v>
      </c>
      <c r="AA19" s="47">
        <f>PE!$X$36</f>
        <v>14313</v>
      </c>
      <c r="AC19" s="47">
        <f>PE!$X$38</f>
        <v>21813</v>
      </c>
      <c r="AE19" s="47">
        <f>PE!$X$39</f>
        <v>20569</v>
      </c>
      <c r="AG19" s="47">
        <f>PE!$X$41</f>
        <v>1185018</v>
      </c>
      <c r="AI19" s="47">
        <f>PE!$X$42</f>
        <v>137519</v>
      </c>
      <c r="AK19" s="47">
        <f t="shared" si="9"/>
        <v>3271244</v>
      </c>
      <c r="AM19" t="str">
        <f>IF((AK19=PE!$X45),"ok","erro")</f>
        <v>ok</v>
      </c>
    </row>
    <row r="20" spans="1:39">
      <c r="A20" s="45" t="s">
        <v>35</v>
      </c>
      <c r="C20" s="47">
        <f>PI!$U$31</f>
        <v>11236.382957085809</v>
      </c>
      <c r="D20" s="47">
        <f>PI!$U$32</f>
        <v>17.617042914191188</v>
      </c>
      <c r="E20" s="47">
        <f>PI!$U$33</f>
        <v>0</v>
      </c>
      <c r="F20" s="48">
        <f t="shared" si="13"/>
        <v>11254</v>
      </c>
      <c r="H20" s="47">
        <f>PI!$U$35</f>
        <v>392301.29639866558</v>
      </c>
      <c r="I20" s="47">
        <f>PI!$U$36</f>
        <v>18666</v>
      </c>
      <c r="J20" s="47">
        <f>PI!$U$37</f>
        <v>871</v>
      </c>
      <c r="K20" s="47">
        <f>PI!$U$38</f>
        <v>645.70360133441864</v>
      </c>
      <c r="L20" s="47">
        <f>PI!$U$39</f>
        <v>0</v>
      </c>
      <c r="M20" s="48">
        <f t="shared" si="10"/>
        <v>412484</v>
      </c>
      <c r="O20" s="47">
        <f>PI!$U$41</f>
        <v>52932.67517077821</v>
      </c>
      <c r="P20" s="47">
        <f>PI!$U$42</f>
        <v>167.32903422639356</v>
      </c>
      <c r="Q20" s="47">
        <f>PI!$U$43</f>
        <v>53791.995794995397</v>
      </c>
      <c r="R20" s="48">
        <f t="shared" si="11"/>
        <v>106892</v>
      </c>
      <c r="T20" s="47">
        <f>PI!$X$31</f>
        <v>9917.3248292217886</v>
      </c>
      <c r="U20" s="47">
        <f>PI!$X$32</f>
        <v>31.350321525012987</v>
      </c>
      <c r="V20" s="47">
        <f>PI!$X$33</f>
        <v>10078.324849253198</v>
      </c>
      <c r="W20" s="48">
        <f t="shared" si="12"/>
        <v>20027</v>
      </c>
      <c r="Y20" s="47">
        <f>PI!$X$35</f>
        <v>33465</v>
      </c>
      <c r="AA20" s="47">
        <f>PI!$X$36</f>
        <v>3909</v>
      </c>
      <c r="AC20" s="47">
        <f>PI!$X$38</f>
        <v>8973</v>
      </c>
      <c r="AE20" s="47">
        <f>PI!$X$39</f>
        <v>4726</v>
      </c>
      <c r="AG20" s="47">
        <f>PI!$X$41</f>
        <v>624538</v>
      </c>
      <c r="AI20" s="47">
        <f>PI!$X$42</f>
        <v>113797</v>
      </c>
      <c r="AK20" s="47">
        <f t="shared" si="9"/>
        <v>1340065</v>
      </c>
      <c r="AM20" t="str">
        <f>IF((AK20=PI!$X45),"ok","erro")</f>
        <v>ok</v>
      </c>
    </row>
    <row r="21" spans="1:39">
      <c r="A21" s="45" t="s">
        <v>36</v>
      </c>
      <c r="C21" s="47">
        <f>RN!$U$31</f>
        <v>22888.797998512262</v>
      </c>
      <c r="D21" s="47">
        <f>RN!$U$32</f>
        <v>32.77761746080796</v>
      </c>
      <c r="E21" s="47">
        <f>RN!$U$33</f>
        <v>2359.4243840269301</v>
      </c>
      <c r="F21" s="48">
        <f t="shared" si="13"/>
        <v>25281</v>
      </c>
      <c r="H21" s="47">
        <f>RN!$U$35</f>
        <v>536164.41559756873</v>
      </c>
      <c r="I21" s="47">
        <f>RN!$U$36</f>
        <v>30220</v>
      </c>
      <c r="J21" s="47">
        <f>RN!$U$37</f>
        <v>54148</v>
      </c>
      <c r="K21" s="47">
        <f>RN!$U$38</f>
        <v>805.58440243126824</v>
      </c>
      <c r="L21" s="47">
        <f>RN!$U$39</f>
        <v>0</v>
      </c>
      <c r="M21" s="48">
        <f t="shared" si="10"/>
        <v>621338</v>
      </c>
      <c r="O21" s="47">
        <f>RN!$U$41</f>
        <v>42873.994143148346</v>
      </c>
      <c r="P21" s="47">
        <f>RN!$U$42</f>
        <v>133.92135053050879</v>
      </c>
      <c r="Q21" s="47">
        <f>RN!$U$43</f>
        <v>60284.084506321145</v>
      </c>
      <c r="R21" s="48">
        <f t="shared" si="11"/>
        <v>103292</v>
      </c>
      <c r="T21" s="47">
        <f>RN!$X$31</f>
        <v>14956.005856851654</v>
      </c>
      <c r="U21" s="47">
        <f>RN!$X$32</f>
        <v>46.716629577465937</v>
      </c>
      <c r="V21" s="47">
        <f>RN!$X$33</f>
        <v>21029.27751357088</v>
      </c>
      <c r="W21" s="48">
        <f t="shared" si="12"/>
        <v>36032</v>
      </c>
      <c r="Y21" s="47">
        <f>RN!$X$35</f>
        <v>39935</v>
      </c>
      <c r="AA21" s="47">
        <f>RN!$X$36</f>
        <v>4408</v>
      </c>
      <c r="AC21" s="47">
        <f>RN!$X$38</f>
        <v>7926</v>
      </c>
      <c r="AE21" s="47">
        <f>RN!$X$39</f>
        <v>5709</v>
      </c>
      <c r="AG21" s="47">
        <f>RN!$X$41</f>
        <v>492126</v>
      </c>
      <c r="AI21" s="47">
        <f>RN!$X$42</f>
        <v>74100</v>
      </c>
      <c r="AK21" s="47">
        <f t="shared" si="9"/>
        <v>1410147</v>
      </c>
      <c r="AM21" t="str">
        <f>IF((AK21=RN!$X45),"ok","erro")</f>
        <v>ok</v>
      </c>
    </row>
    <row r="22" spans="1:39">
      <c r="A22" s="45" t="s">
        <v>37</v>
      </c>
      <c r="C22" s="47">
        <f>SE!$U$31</f>
        <v>7732.7298820051665</v>
      </c>
      <c r="D22" s="47">
        <f>SE!$U$32</f>
        <v>12.270117994833527</v>
      </c>
      <c r="E22" s="47">
        <f>SE!$U$33</f>
        <v>0</v>
      </c>
      <c r="F22" s="48">
        <f t="shared" si="13"/>
        <v>7745</v>
      </c>
      <c r="H22" s="47">
        <f>SE!$U$35</f>
        <v>323078.91155698488</v>
      </c>
      <c r="I22" s="47">
        <f>SE!$U$36</f>
        <v>18556</v>
      </c>
      <c r="J22" s="47">
        <f>SE!$U$37</f>
        <v>22051</v>
      </c>
      <c r="K22" s="47">
        <f>SE!$U$38</f>
        <v>577.08844301511999</v>
      </c>
      <c r="L22" s="47">
        <f>SE!$U$39</f>
        <v>0</v>
      </c>
      <c r="M22" s="48">
        <f t="shared" si="10"/>
        <v>364263</v>
      </c>
      <c r="O22" s="47">
        <f>SE!$U$41</f>
        <v>18280.50270331635</v>
      </c>
      <c r="P22" s="47">
        <f>SE!$U$42</f>
        <v>80.555027718954079</v>
      </c>
      <c r="Q22" s="47">
        <f>SE!$U$43</f>
        <v>32485.942268964696</v>
      </c>
      <c r="R22" s="48">
        <f t="shared" si="11"/>
        <v>50847</v>
      </c>
      <c r="T22" s="47">
        <f>SE!$X$31</f>
        <v>7054.4972966836476</v>
      </c>
      <c r="U22" s="47">
        <f>SE!$X$32</f>
        <v>31.08641127109513</v>
      </c>
      <c r="V22" s="47">
        <f>SE!$X$33</f>
        <v>12536.416292045258</v>
      </c>
      <c r="W22" s="48">
        <f t="shared" si="12"/>
        <v>19622</v>
      </c>
      <c r="Y22" s="47">
        <f>SE!$X$35</f>
        <v>23063</v>
      </c>
      <c r="AA22" s="47">
        <f>SE!$X$36</f>
        <v>3082</v>
      </c>
      <c r="AC22" s="47">
        <f>SE!$X$38</f>
        <v>8126</v>
      </c>
      <c r="AE22" s="47">
        <f>SE!$X$39</f>
        <v>3605</v>
      </c>
      <c r="AG22" s="47">
        <f>SE!$X$41</f>
        <v>293869</v>
      </c>
      <c r="AI22" s="47">
        <f>SE!$X$42</f>
        <v>56546</v>
      </c>
      <c r="AK22" s="47">
        <f t="shared" si="9"/>
        <v>830768</v>
      </c>
      <c r="AM22" t="str">
        <f>IF((AK22=SE!$X45),"ok","erro")</f>
        <v>ok</v>
      </c>
    </row>
    <row r="23" spans="1:39">
      <c r="A23" s="46" t="s">
        <v>38</v>
      </c>
      <c r="C23" s="48">
        <f>SUM(C24:C27)</f>
        <v>440422.03524480062</v>
      </c>
      <c r="D23" s="48">
        <f>SUM(D24:D27)</f>
        <v>980.7915422557453</v>
      </c>
      <c r="E23" s="48">
        <f t="shared" ref="E23:AI23" si="20">SUM(E24:E27)</f>
        <v>231685.17321294366</v>
      </c>
      <c r="F23" s="48">
        <f t="shared" si="13"/>
        <v>673088</v>
      </c>
      <c r="H23" s="48">
        <f t="shared" ref="H23:J23" si="21">SUM(H24:H27)</f>
        <v>21112614.9647552</v>
      </c>
      <c r="I23" s="48">
        <f t="shared" si="21"/>
        <v>2628975</v>
      </c>
      <c r="J23" s="48">
        <f t="shared" si="21"/>
        <v>2011231</v>
      </c>
      <c r="K23" s="48">
        <f t="shared" ref="K23" si="22">SUM(K24:K27)</f>
        <v>46257.546824011952</v>
      </c>
      <c r="L23" s="48">
        <f t="shared" si="20"/>
        <v>6489369.4884207882</v>
      </c>
      <c r="M23" s="48">
        <f t="shared" si="10"/>
        <v>32288448</v>
      </c>
      <c r="O23" s="48">
        <f t="shared" si="20"/>
        <v>943647.68431723362</v>
      </c>
      <c r="P23" s="48">
        <f t="shared" ref="P23" si="23">SUM(P24:P27)</f>
        <v>5583.7223082085256</v>
      </c>
      <c r="Q23" s="48">
        <f t="shared" si="20"/>
        <v>3013617.5933745578</v>
      </c>
      <c r="R23" s="48">
        <f t="shared" si="11"/>
        <v>3962849</v>
      </c>
      <c r="T23" s="48">
        <f t="shared" si="20"/>
        <v>507963.31568276638</v>
      </c>
      <c r="U23" s="48">
        <f t="shared" ref="U23" si="24">SUM(U24:U27)</f>
        <v>3212.9393255239411</v>
      </c>
      <c r="V23" s="48">
        <f t="shared" si="20"/>
        <v>1709495.7449917097</v>
      </c>
      <c r="W23" s="48">
        <f t="shared" si="12"/>
        <v>2220672</v>
      </c>
      <c r="Y23" s="48">
        <f t="shared" ref="Y23" si="25">SUM(Y24:Y27)</f>
        <v>1308662</v>
      </c>
      <c r="AA23" s="48">
        <f t="shared" si="20"/>
        <v>343450</v>
      </c>
      <c r="AC23" s="48">
        <f t="shared" ref="AC23" si="26">SUM(AC24:AC27)</f>
        <v>315220</v>
      </c>
      <c r="AE23" s="48">
        <f t="shared" si="20"/>
        <v>227860</v>
      </c>
      <c r="AG23" s="48">
        <f t="shared" ref="AG23" si="27">SUM(AG24:AG27)</f>
        <v>9652430</v>
      </c>
      <c r="AI23" s="48">
        <f t="shared" si="20"/>
        <v>1812568</v>
      </c>
      <c r="AK23" s="48">
        <f t="shared" si="9"/>
        <v>52805247</v>
      </c>
    </row>
    <row r="24" spans="1:39">
      <c r="A24" s="45" t="s">
        <v>39</v>
      </c>
      <c r="C24" s="47">
        <f>ES!$U$31</f>
        <v>25801.191272242449</v>
      </c>
      <c r="D24" s="47">
        <f>ES!$U$32</f>
        <v>60.942030622452876</v>
      </c>
      <c r="E24" s="47">
        <f>ES!$U$33</f>
        <v>4319.8666971350976</v>
      </c>
      <c r="F24" s="48">
        <f t="shared" si="13"/>
        <v>30182</v>
      </c>
      <c r="H24" s="47">
        <f>ES!$U$35</f>
        <v>907746.80872775742</v>
      </c>
      <c r="I24" s="47">
        <f>ES!$U$36</f>
        <v>53382</v>
      </c>
      <c r="J24" s="47">
        <f>ES!$U$37</f>
        <v>41698</v>
      </c>
      <c r="K24" s="47">
        <f>ES!$U$38</f>
        <v>2144.0844816509634</v>
      </c>
      <c r="L24" s="47">
        <f>ES!$U$39</f>
        <v>56903.106790591613</v>
      </c>
      <c r="M24" s="48">
        <f t="shared" si="10"/>
        <v>1061874</v>
      </c>
      <c r="O24" s="47">
        <f>ES!$U$41</f>
        <v>73882.082207024621</v>
      </c>
      <c r="P24" s="47">
        <f>ES!$U$42</f>
        <v>406.41077594680246</v>
      </c>
      <c r="Q24" s="47">
        <f>ES!$U$43</f>
        <v>126989.50701702858</v>
      </c>
      <c r="R24" s="48">
        <f t="shared" si="11"/>
        <v>201278</v>
      </c>
      <c r="T24" s="47">
        <f>ES!$X$31</f>
        <v>25734.917792975368</v>
      </c>
      <c r="U24" s="47">
        <f>ES!$X$32</f>
        <v>141.56271177987219</v>
      </c>
      <c r="V24" s="47">
        <f>ES!$X$33</f>
        <v>44233.519495244764</v>
      </c>
      <c r="W24" s="48">
        <f t="shared" si="12"/>
        <v>70110</v>
      </c>
      <c r="Y24" s="47">
        <f>ES!$X$35</f>
        <v>80115</v>
      </c>
      <c r="AA24" s="47">
        <f>ES!$X$36</f>
        <v>21622</v>
      </c>
      <c r="AC24" s="47">
        <f>ES!$X$38</f>
        <v>16314</v>
      </c>
      <c r="AE24" s="47">
        <f>ES!$X$39</f>
        <v>9229</v>
      </c>
      <c r="AG24" s="47">
        <f>ES!$X$41</f>
        <v>501648</v>
      </c>
      <c r="AI24" s="47">
        <f>ES!$X$42</f>
        <v>132008</v>
      </c>
      <c r="AK24" s="47">
        <f t="shared" si="9"/>
        <v>2124380</v>
      </c>
      <c r="AM24" t="str">
        <f>IF((AK24=ES!$X45),"ok","erro")</f>
        <v>ok</v>
      </c>
    </row>
    <row r="25" spans="1:39">
      <c r="A25" s="45" t="s">
        <v>40</v>
      </c>
      <c r="C25" s="47">
        <f>MG!$U$31</f>
        <v>98023.612584285045</v>
      </c>
      <c r="D25" s="47">
        <f>MG!$U$32</f>
        <v>126.54559967544628</v>
      </c>
      <c r="E25" s="47">
        <f>MG!$U$33</f>
        <v>25355.841816039509</v>
      </c>
      <c r="F25" s="48">
        <f t="shared" si="13"/>
        <v>123506</v>
      </c>
      <c r="H25" s="47">
        <f>MG!$U$35</f>
        <v>5465395.3874157146</v>
      </c>
      <c r="I25" s="47">
        <f>MG!$U$36</f>
        <v>436626</v>
      </c>
      <c r="J25" s="47">
        <f>MG!$U$37</f>
        <v>42924</v>
      </c>
      <c r="K25" s="47">
        <f>MG!$U$38</f>
        <v>7055.6646355921403</v>
      </c>
      <c r="L25" s="47">
        <f>MG!$U$39</f>
        <v>934187.9479486933</v>
      </c>
      <c r="M25" s="48">
        <f t="shared" si="10"/>
        <v>6886189</v>
      </c>
      <c r="O25" s="47">
        <f>MG!$U$41</f>
        <v>305439.3933177953</v>
      </c>
      <c r="P25" s="47">
        <f>MG!$U$42</f>
        <v>1187.2351478044875</v>
      </c>
      <c r="Q25" s="47">
        <f>MG!$U$43</f>
        <v>852091.37153440015</v>
      </c>
      <c r="R25" s="48">
        <f t="shared" si="11"/>
        <v>1158718</v>
      </c>
      <c r="T25" s="47">
        <f>MG!$X$31</f>
        <v>107938.6066822047</v>
      </c>
      <c r="U25" s="47">
        <f>MG!$X$32</f>
        <v>419.55461692792596</v>
      </c>
      <c r="V25" s="47">
        <f>MG!$X$33</f>
        <v>301118.83870086737</v>
      </c>
      <c r="W25" s="48">
        <f t="shared" si="12"/>
        <v>409477</v>
      </c>
      <c r="Y25" s="47">
        <f>MG!$X$35</f>
        <v>368479</v>
      </c>
      <c r="AA25" s="47">
        <f>MG!$X$36</f>
        <v>93862</v>
      </c>
      <c r="AC25" s="47">
        <f>MG!$X$38</f>
        <v>86678</v>
      </c>
      <c r="AE25" s="47">
        <f>MG!$X$39</f>
        <v>51070</v>
      </c>
      <c r="AG25" s="47">
        <f>MG!$X$41</f>
        <v>2817566</v>
      </c>
      <c r="AI25" s="47">
        <f>MG!$X$42</f>
        <v>347623</v>
      </c>
      <c r="AK25" s="47">
        <f t="shared" si="9"/>
        <v>12343168</v>
      </c>
      <c r="AM25" t="str">
        <f>IF((AK25=MG!$X45),"ok","erro")</f>
        <v>ok</v>
      </c>
    </row>
    <row r="26" spans="1:39">
      <c r="A26" s="45" t="s">
        <v>41</v>
      </c>
      <c r="C26" s="47">
        <f>RJ!$U$31</f>
        <v>42474.329178676147</v>
      </c>
      <c r="D26" s="47">
        <f>RJ!$U$32</f>
        <v>123.57360518306086</v>
      </c>
      <c r="E26" s="47">
        <f>RJ!$U$33</f>
        <v>48959.097216140792</v>
      </c>
      <c r="F26" s="48">
        <f t="shared" si="13"/>
        <v>91557</v>
      </c>
      <c r="H26" s="47">
        <f>RJ!$U$35</f>
        <v>2245152.670821324</v>
      </c>
      <c r="I26" s="47">
        <f>RJ!$U$36</f>
        <v>308129</v>
      </c>
      <c r="J26" s="47">
        <f>RJ!$U$37</f>
        <v>1635830</v>
      </c>
      <c r="K26" s="47">
        <f>RJ!$U$38</f>
        <v>6531.9833199167624</v>
      </c>
      <c r="L26" s="47">
        <f>RJ!$U$39</f>
        <v>643972.34585875925</v>
      </c>
      <c r="M26" s="48">
        <f t="shared" si="10"/>
        <v>4839616</v>
      </c>
      <c r="O26" s="47">
        <f>RJ!$U$41</f>
        <v>71462.606727949009</v>
      </c>
      <c r="P26" s="47">
        <f>RJ!$U$42</f>
        <v>527.78563865128672</v>
      </c>
      <c r="Q26" s="47">
        <f>RJ!$U43</f>
        <v>319051.60763339972</v>
      </c>
      <c r="R26" s="48">
        <f t="shared" si="11"/>
        <v>391042</v>
      </c>
      <c r="T26" s="47">
        <f>RJ!$X$31</f>
        <v>62373.393272050991</v>
      </c>
      <c r="U26" s="47">
        <f>RJ!$X$32</f>
        <v>460.65743624855531</v>
      </c>
      <c r="V26" s="47">
        <f>RJ!$X$33</f>
        <v>278471.94929170044</v>
      </c>
      <c r="W26" s="48">
        <f t="shared" si="12"/>
        <v>341306</v>
      </c>
      <c r="Y26" s="47">
        <f>RJ!$X$35</f>
        <v>148913</v>
      </c>
      <c r="AA26" s="47">
        <f>RJ!$X$36</f>
        <v>20401</v>
      </c>
      <c r="AC26" s="47">
        <f>RJ!$X$38</f>
        <v>42463</v>
      </c>
      <c r="AE26" s="47">
        <f>RJ!$X$39</f>
        <v>40800</v>
      </c>
      <c r="AG26" s="47">
        <f>RJ!$X$41</f>
        <v>1104308</v>
      </c>
      <c r="AI26" s="47">
        <f>RJ!$X$42</f>
        <v>212678</v>
      </c>
      <c r="AK26" s="47">
        <f t="shared" si="9"/>
        <v>7233084</v>
      </c>
      <c r="AM26" t="str">
        <f>IF((AK26=RJ!$X45),"ok","erro")</f>
        <v>ok</v>
      </c>
    </row>
    <row r="27" spans="1:39">
      <c r="A27" s="45" t="s">
        <v>42</v>
      </c>
      <c r="C27" s="47">
        <f>SP!$U$31</f>
        <v>274122.90220959694</v>
      </c>
      <c r="D27" s="47">
        <f>SP!$U$32</f>
        <v>669.73030677478528</v>
      </c>
      <c r="E27" s="47">
        <f>SP!$U$33</f>
        <v>153050.36748362827</v>
      </c>
      <c r="F27" s="48">
        <f t="shared" si="13"/>
        <v>427843</v>
      </c>
      <c r="H27" s="47">
        <f>SP!$U$35</f>
        <v>12494320.097790403</v>
      </c>
      <c r="I27" s="47">
        <f>SP!$U$36</f>
        <v>1830838</v>
      </c>
      <c r="J27" s="47">
        <f>SP!$U$37</f>
        <v>290779</v>
      </c>
      <c r="K27" s="47">
        <f>SP!$U$38</f>
        <v>30525.814386852086</v>
      </c>
      <c r="L27" s="47">
        <f>SP!$U$39</f>
        <v>4854306.0878227446</v>
      </c>
      <c r="M27" s="48">
        <f t="shared" si="10"/>
        <v>19500769</v>
      </c>
      <c r="O27" s="47">
        <f>SP!$U$41</f>
        <v>492863.60206446471</v>
      </c>
      <c r="P27" s="47">
        <f>SP!$U$42</f>
        <v>3462.290745805949</v>
      </c>
      <c r="Q27" s="47">
        <f>SP!$U$43</f>
        <v>1715485.1071897293</v>
      </c>
      <c r="R27" s="48">
        <f t="shared" si="11"/>
        <v>2211811</v>
      </c>
      <c r="T27" s="47">
        <f>SP!$X$31</f>
        <v>311916.39793553529</v>
      </c>
      <c r="U27" s="47">
        <f>SP!$X$32</f>
        <v>2191.1645605675876</v>
      </c>
      <c r="V27" s="47">
        <f>SP!$X$33</f>
        <v>1085671.4375038971</v>
      </c>
      <c r="W27" s="48">
        <f t="shared" si="12"/>
        <v>1399779</v>
      </c>
      <c r="Y27" s="47">
        <f>SP!$X$35</f>
        <v>711155</v>
      </c>
      <c r="AA27" s="47">
        <f>SP!$X$36</f>
        <v>207565</v>
      </c>
      <c r="AC27" s="47">
        <f>SP!$X$38</f>
        <v>169765</v>
      </c>
      <c r="AE27" s="47">
        <f>SP!$X$39</f>
        <v>126761</v>
      </c>
      <c r="AG27" s="47">
        <f>SP!$X$41</f>
        <v>5228908</v>
      </c>
      <c r="AI27" s="47">
        <f>SP!$X$42</f>
        <v>1120259</v>
      </c>
      <c r="AK27" s="47">
        <f t="shared" si="9"/>
        <v>31104615</v>
      </c>
      <c r="AM27" t="str">
        <f>IF((AK27=SP!$X45),"ok","erro")</f>
        <v>ok</v>
      </c>
    </row>
    <row r="28" spans="1:39">
      <c r="A28" s="44" t="s">
        <v>43</v>
      </c>
      <c r="C28" s="48">
        <f>SUM(C29:C31)</f>
        <v>198017.38881653681</v>
      </c>
      <c r="D28" s="48">
        <f>SUM(D29:D31)</f>
        <v>419.88159653490584</v>
      </c>
      <c r="E28" s="48">
        <f t="shared" ref="E28:AI28" si="28">SUM(E29:E31)</f>
        <v>104345.72958692827</v>
      </c>
      <c r="F28" s="48">
        <f t="shared" si="13"/>
        <v>302783</v>
      </c>
      <c r="H28" s="48">
        <f t="shared" ref="H28:J28" si="29">SUM(H29:H31)</f>
        <v>8204495.6111834636</v>
      </c>
      <c r="I28" s="48">
        <f t="shared" si="29"/>
        <v>747200</v>
      </c>
      <c r="J28" s="48">
        <f t="shared" si="29"/>
        <v>251070</v>
      </c>
      <c r="K28" s="48">
        <f t="shared" ref="K28" si="30">SUM(K29:K31)</f>
        <v>16998.512821643613</v>
      </c>
      <c r="L28" s="48">
        <f t="shared" si="28"/>
        <v>3551011.8759948928</v>
      </c>
      <c r="M28" s="48">
        <f t="shared" si="10"/>
        <v>12770776.000000002</v>
      </c>
      <c r="O28" s="48">
        <f t="shared" si="28"/>
        <v>610544.89442975575</v>
      </c>
      <c r="P28" s="48">
        <f t="shared" ref="P28" si="31">SUM(P29:P31)</f>
        <v>2494.9042671204661</v>
      </c>
      <c r="Q28" s="48">
        <f>SUM(Q29:Q31)</f>
        <v>1248909.2013031237</v>
      </c>
      <c r="R28" s="48">
        <f t="shared" si="11"/>
        <v>1861949</v>
      </c>
      <c r="T28" s="48">
        <f>SUM(T29:T31)</f>
        <v>281890.1055702442</v>
      </c>
      <c r="U28" s="48">
        <f t="shared" ref="U28" si="32">SUM(U29:U31)</f>
        <v>1148.7013147001271</v>
      </c>
      <c r="V28" s="48">
        <f t="shared" si="28"/>
        <v>574688.19311505568</v>
      </c>
      <c r="W28" s="48">
        <f t="shared" si="12"/>
        <v>857727</v>
      </c>
      <c r="Y28" s="48">
        <f t="shared" ref="Y28" si="33">SUM(Y29:Y31)</f>
        <v>710614</v>
      </c>
      <c r="AA28" s="48">
        <f t="shared" si="28"/>
        <v>249211</v>
      </c>
      <c r="AC28" s="48">
        <f t="shared" ref="AC28" si="34">SUM(AC29:AC31)</f>
        <v>113822</v>
      </c>
      <c r="AE28" s="48">
        <f t="shared" si="28"/>
        <v>61743</v>
      </c>
      <c r="AG28" s="48">
        <f t="shared" ref="AG28" si="35">SUM(AG29:AG31)</f>
        <v>3429860</v>
      </c>
      <c r="AI28" s="48">
        <f t="shared" si="28"/>
        <v>861959</v>
      </c>
      <c r="AK28" s="48">
        <f t="shared" si="9"/>
        <v>21220444</v>
      </c>
    </row>
    <row r="29" spans="1:39">
      <c r="A29" s="45" t="s">
        <v>44</v>
      </c>
      <c r="C29" s="47">
        <f>PR!$U$31</f>
        <v>62770.438115093806</v>
      </c>
      <c r="D29" s="47">
        <f>PR!$U$32</f>
        <v>130.30703453430033</v>
      </c>
      <c r="E29" s="47">
        <f>PR!$U$33</f>
        <v>33686.254850371894</v>
      </c>
      <c r="F29" s="48">
        <f t="shared" si="13"/>
        <v>96587</v>
      </c>
      <c r="H29" s="47">
        <f>PR!$U$35</f>
        <v>3155716.5618849066</v>
      </c>
      <c r="I29" s="47">
        <f>PR!$U$36</f>
        <v>418119</v>
      </c>
      <c r="J29" s="47">
        <f>PR!$U$37</f>
        <v>43110</v>
      </c>
      <c r="K29" s="47">
        <f>PR!$U$38</f>
        <v>6551.0466289240867</v>
      </c>
      <c r="L29" s="47">
        <f>PR!$U$39</f>
        <v>1232311.3914861693</v>
      </c>
      <c r="M29" s="48">
        <f t="shared" si="10"/>
        <v>4855808</v>
      </c>
      <c r="O29" s="47">
        <f>PR!$U$41</f>
        <v>245927.58027573003</v>
      </c>
      <c r="P29" s="47">
        <f>PR!$U$42</f>
        <v>1031.9480143758701</v>
      </c>
      <c r="Q29" s="47">
        <f>PR!$U$43</f>
        <v>517947.47170989413</v>
      </c>
      <c r="R29" s="48">
        <f t="shared" si="11"/>
        <v>764907</v>
      </c>
      <c r="T29" s="47">
        <f>PR!$X$31</f>
        <v>94300.419724269945</v>
      </c>
      <c r="U29" s="47">
        <f>PR!$X$32</f>
        <v>395.69832216529176</v>
      </c>
      <c r="V29" s="47">
        <f>PR!$X$33</f>
        <v>198605.88195356476</v>
      </c>
      <c r="W29" s="48">
        <f t="shared" si="12"/>
        <v>293302</v>
      </c>
      <c r="Y29" s="47">
        <f>PR!$X$35</f>
        <v>293769</v>
      </c>
      <c r="AA29" s="47">
        <f>PR!$X$36</f>
        <v>108544</v>
      </c>
      <c r="AC29" s="47">
        <f>PR!$X$38</f>
        <v>48498</v>
      </c>
      <c r="AE29" s="47">
        <f>PR!$X$39</f>
        <v>25310</v>
      </c>
      <c r="AG29" s="47">
        <f>PR!$X$41</f>
        <v>1298959</v>
      </c>
      <c r="AI29" s="47">
        <f>PR!$X$42</f>
        <v>343515</v>
      </c>
      <c r="AK29" s="47">
        <f t="shared" si="9"/>
        <v>8129199</v>
      </c>
      <c r="AM29" t="str">
        <f>IF((AK29=PR!X45),"ok","erro")</f>
        <v>ok</v>
      </c>
    </row>
    <row r="30" spans="1:39">
      <c r="A30" s="45" t="s">
        <v>45</v>
      </c>
      <c r="C30" s="47">
        <f>RS!$U$31</f>
        <v>55676.327172770565</v>
      </c>
      <c r="D30" s="47">
        <f>RS!$U$32</f>
        <v>99.23287008421903</v>
      </c>
      <c r="E30" s="47">
        <f>RS!$U$33</f>
        <v>41105.439957145216</v>
      </c>
      <c r="F30" s="48">
        <f t="shared" si="13"/>
        <v>96881</v>
      </c>
      <c r="H30" s="47">
        <f>RS!$U$35</f>
        <v>2672659.6728272294</v>
      </c>
      <c r="I30" s="47">
        <f>RS!$U$36</f>
        <v>196007</v>
      </c>
      <c r="J30" s="47">
        <f>RS!$U$37</f>
        <v>92151</v>
      </c>
      <c r="K30" s="47">
        <f>RS!$U$38</f>
        <v>4763.5270421123132</v>
      </c>
      <c r="L30" s="47">
        <f>RS!$U$39</f>
        <v>1685047.8001306583</v>
      </c>
      <c r="M30" s="48">
        <f t="shared" si="10"/>
        <v>4650629</v>
      </c>
      <c r="O30" s="47">
        <f>RS!$U$41</f>
        <v>210315.13048280447</v>
      </c>
      <c r="P30" s="47">
        <f>RS!$U$42</f>
        <v>638.95250311587006</v>
      </c>
      <c r="Q30" s="47">
        <f>RS!$U$43</f>
        <v>412854.91701407963</v>
      </c>
      <c r="R30" s="48">
        <f t="shared" si="11"/>
        <v>623809</v>
      </c>
      <c r="T30" s="47">
        <f>RS!$X$31</f>
        <v>108057.86951719552</v>
      </c>
      <c r="U30" s="47">
        <f>RS!$X$32</f>
        <v>328.2875846872339</v>
      </c>
      <c r="V30" s="47">
        <f>RS!$X$33</f>
        <v>212120.84289811726</v>
      </c>
      <c r="W30" s="48">
        <f t="shared" si="12"/>
        <v>320507</v>
      </c>
      <c r="Y30" s="47">
        <f>RS!$X$35</f>
        <v>249540</v>
      </c>
      <c r="AA30" s="47">
        <f>RS!$X$36</f>
        <v>73081</v>
      </c>
      <c r="AC30" s="47">
        <f>RS!$X$38</f>
        <v>42825</v>
      </c>
      <c r="AE30" s="47">
        <f>RS!$X$39</f>
        <v>22584</v>
      </c>
      <c r="AG30" s="47">
        <f>RS!$X$41</f>
        <v>1167384</v>
      </c>
      <c r="AI30" s="47">
        <f>RS!$X$42</f>
        <v>211603</v>
      </c>
      <c r="AK30" s="47">
        <f t="shared" si="9"/>
        <v>7458843</v>
      </c>
      <c r="AM30" t="str">
        <f>IF((AK30=RS!$X45),"ok","erro")</f>
        <v>ok</v>
      </c>
    </row>
    <row r="31" spans="1:39">
      <c r="A31" s="45" t="s">
        <v>46</v>
      </c>
      <c r="C31" s="47">
        <f>SC!$U$31</f>
        <v>79570.623528672455</v>
      </c>
      <c r="D31" s="47">
        <f>SC!$U$32</f>
        <v>190.34169191638648</v>
      </c>
      <c r="E31" s="47">
        <f>SC!$U$33</f>
        <v>29554.034779411159</v>
      </c>
      <c r="F31" s="48">
        <f t="shared" si="13"/>
        <v>109315</v>
      </c>
      <c r="H31" s="47">
        <f>SC!$U$35</f>
        <v>2376119.3764713276</v>
      </c>
      <c r="I31" s="47">
        <f>SC!$U$36</f>
        <v>133074</v>
      </c>
      <c r="J31" s="47">
        <f>SC!$U$37</f>
        <v>115809</v>
      </c>
      <c r="K31" s="47">
        <f>SC!$U$38</f>
        <v>5683.9391506072134</v>
      </c>
      <c r="L31" s="47">
        <f>SC!$U$39</f>
        <v>633652.68437806517</v>
      </c>
      <c r="M31" s="48">
        <f t="shared" si="10"/>
        <v>3264339</v>
      </c>
      <c r="O31" s="47">
        <f>SC!$U$41</f>
        <v>154302.18367122128</v>
      </c>
      <c r="P31" s="47">
        <f>SC!$U$42</f>
        <v>824.00374962872593</v>
      </c>
      <c r="Q31" s="47">
        <f>SC!$U$43</f>
        <v>318106.81257914996</v>
      </c>
      <c r="R31" s="48">
        <f t="shared" si="11"/>
        <v>473233</v>
      </c>
      <c r="T31" s="47">
        <f>SC!$X$31</f>
        <v>79531.816328778732</v>
      </c>
      <c r="U31" s="47">
        <f>SC!$X$32</f>
        <v>424.71540784760145</v>
      </c>
      <c r="V31" s="47">
        <f>SC!$X$33</f>
        <v>163961.46826337365</v>
      </c>
      <c r="W31" s="48">
        <f t="shared" si="12"/>
        <v>243918</v>
      </c>
      <c r="Y31" s="47">
        <f>SC!$X$35</f>
        <v>167305</v>
      </c>
      <c r="AA31" s="47">
        <f>SC!$X$36</f>
        <v>67586</v>
      </c>
      <c r="AC31" s="47">
        <f>SC!$X$38</f>
        <v>22499</v>
      </c>
      <c r="AE31" s="47">
        <f>SC!$X$39</f>
        <v>13849</v>
      </c>
      <c r="AG31" s="47">
        <f>SC!$X$41</f>
        <v>963517</v>
      </c>
      <c r="AI31" s="47">
        <f>SC!$X$42</f>
        <v>306841</v>
      </c>
      <c r="AK31" s="47">
        <f t="shared" si="9"/>
        <v>5632402</v>
      </c>
      <c r="AM31" t="str">
        <f>IF((AK31=SC!$X45),"ok","erro")</f>
        <v>ok</v>
      </c>
    </row>
    <row r="32" spans="1:39">
      <c r="A32" s="44" t="s">
        <v>47</v>
      </c>
      <c r="C32" s="48">
        <f>SUM(C33:C36)</f>
        <v>114076.01301934388</v>
      </c>
      <c r="D32" s="48">
        <f>SUM(D33:D36)</f>
        <v>253.86858483128162</v>
      </c>
      <c r="E32" s="48">
        <f t="shared" ref="E32:AI32" si="36">SUM(E33:E36)</f>
        <v>19394.11839582484</v>
      </c>
      <c r="F32" s="48">
        <f t="shared" si="13"/>
        <v>133724</v>
      </c>
      <c r="H32" s="48">
        <f t="shared" ref="H32:J32" si="37">SUM(H33:H36)</f>
        <v>4300680.1674369387</v>
      </c>
      <c r="I32" s="48">
        <f t="shared" si="37"/>
        <v>321819</v>
      </c>
      <c r="J32" s="48">
        <f t="shared" si="37"/>
        <v>14193</v>
      </c>
      <c r="K32" s="48">
        <f t="shared" ref="K32" si="38">SUM(K33:K36)</f>
        <v>9350.5197588097071</v>
      </c>
      <c r="L32" s="48">
        <f t="shared" si="36"/>
        <v>464317.31280425109</v>
      </c>
      <c r="M32" s="48">
        <f t="shared" si="10"/>
        <v>5110359.9999999991</v>
      </c>
      <c r="O32" s="48">
        <f t="shared" si="36"/>
        <v>400134.81743460911</v>
      </c>
      <c r="P32" s="48">
        <f>SUM(P33:P36)</f>
        <v>1778.2439645887353</v>
      </c>
      <c r="Q32" s="48">
        <f t="shared" si="36"/>
        <v>644178.9386008021</v>
      </c>
      <c r="R32" s="48">
        <f t="shared" si="11"/>
        <v>1046092</v>
      </c>
      <c r="T32" s="48">
        <f t="shared" si="36"/>
        <v>119789.18256539089</v>
      </c>
      <c r="U32" s="48">
        <f t="shared" ref="U32" si="39">SUM(U33:U36)</f>
        <v>614.36769177039241</v>
      </c>
      <c r="V32" s="48">
        <f t="shared" si="36"/>
        <v>204733.44974283874</v>
      </c>
      <c r="W32" s="48">
        <f t="shared" si="12"/>
        <v>325137</v>
      </c>
      <c r="Y32" s="48">
        <f t="shared" ref="Y32" si="40">SUM(Y33:Y36)</f>
        <v>297097</v>
      </c>
      <c r="AA32" s="48">
        <f t="shared" si="36"/>
        <v>113342</v>
      </c>
      <c r="AC32" s="48">
        <f t="shared" ref="AC32" si="41">SUM(AC33:AC36)</f>
        <v>63626</v>
      </c>
      <c r="AE32" s="48">
        <f>SUM(AE33:AE36)</f>
        <v>26456</v>
      </c>
      <c r="AG32" s="48">
        <f t="shared" ref="AG32" si="42">SUM(AG33:AG36)</f>
        <v>2307886</v>
      </c>
      <c r="AI32" s="48">
        <f t="shared" si="36"/>
        <v>752246</v>
      </c>
      <c r="AK32" s="48">
        <f t="shared" si="9"/>
        <v>10175966</v>
      </c>
    </row>
    <row r="33" spans="1:39">
      <c r="A33" s="45" t="s">
        <v>48</v>
      </c>
      <c r="C33" s="47">
        <f>DF!$U$31</f>
        <v>31426.344585533527</v>
      </c>
      <c r="D33" s="47">
        <f>DF!$U$32</f>
        <v>115.18684996266529</v>
      </c>
      <c r="E33" s="47">
        <f>DF!$U$33</f>
        <v>9143.468564503808</v>
      </c>
      <c r="F33" s="48">
        <f t="shared" si="13"/>
        <v>40685</v>
      </c>
      <c r="H33" s="47">
        <f>DF!$U$35</f>
        <v>1066995.6554144665</v>
      </c>
      <c r="I33" s="47">
        <f>DF!$U$36</f>
        <v>58124</v>
      </c>
      <c r="J33" s="47">
        <f>DF!$U$37</f>
        <v>1658</v>
      </c>
      <c r="K33" s="47">
        <f>DF!$U$38</f>
        <v>3910.8547332487069</v>
      </c>
      <c r="L33" s="47">
        <f>DF!$U$39</f>
        <v>250659.48985228478</v>
      </c>
      <c r="M33" s="48">
        <f t="shared" si="10"/>
        <v>1381348</v>
      </c>
      <c r="O33" s="47">
        <f>DF!$U$41</f>
        <v>47312.614428556939</v>
      </c>
      <c r="P33" s="47">
        <f>DF!$U$42</f>
        <v>417.11597439224715</v>
      </c>
      <c r="Q33" s="47">
        <f>DF!$U$43</f>
        <v>99599.269597050821</v>
      </c>
      <c r="R33" s="48">
        <f t="shared" si="11"/>
        <v>147329</v>
      </c>
      <c r="T33" s="47">
        <f>DF!$X$31</f>
        <v>31855.385571443057</v>
      </c>
      <c r="U33" s="47">
        <f>DF!$X$32</f>
        <v>280.84244239637337</v>
      </c>
      <c r="V33" s="47">
        <f>DF!$X$33</f>
        <v>67059.771986160573</v>
      </c>
      <c r="W33" s="48">
        <f t="shared" si="12"/>
        <v>99196</v>
      </c>
      <c r="Y33" s="47">
        <f>DF!$X$35</f>
        <v>26421</v>
      </c>
      <c r="AA33" s="47">
        <f>DF!$X$36</f>
        <v>4161</v>
      </c>
      <c r="AC33" s="47">
        <f>DF!$X$38</f>
        <v>13335</v>
      </c>
      <c r="AE33" s="47">
        <f>DF!$X$39</f>
        <v>6474</v>
      </c>
      <c r="AG33" s="47">
        <f>DF!$X$41</f>
        <v>225475</v>
      </c>
      <c r="AI33" s="47">
        <f>DF!$X$42</f>
        <v>25294</v>
      </c>
      <c r="AK33" s="47">
        <f t="shared" si="9"/>
        <v>1969718</v>
      </c>
      <c r="AM33" t="str">
        <f>IF((AK33=DF!$X45),"ok","erro")</f>
        <v>ok</v>
      </c>
    </row>
    <row r="34" spans="1:39">
      <c r="A34" s="45" t="s">
        <v>49</v>
      </c>
      <c r="C34" s="47">
        <f>GO!$U$31</f>
        <v>39870.661327923248</v>
      </c>
      <c r="D34" s="47">
        <f>GO!$U$32</f>
        <v>58.546886410527804</v>
      </c>
      <c r="E34" s="47">
        <f>GO!$U$33</f>
        <v>7208.7917856662243</v>
      </c>
      <c r="F34" s="48">
        <f t="shared" si="13"/>
        <v>47138</v>
      </c>
      <c r="H34" s="47">
        <f>GO!$U$35</f>
        <v>1738688.3386720766</v>
      </c>
      <c r="I34" s="47">
        <f>GO!$U$36</f>
        <v>159929</v>
      </c>
      <c r="J34" s="47">
        <f>GO!$U$37</f>
        <v>5190</v>
      </c>
      <c r="K34" s="47">
        <f>GO!$U$38</f>
        <v>2553.1251621416304</v>
      </c>
      <c r="L34" s="47">
        <f>GO!$U$39</f>
        <v>149243.53616578178</v>
      </c>
      <c r="M34" s="48">
        <f t="shared" si="10"/>
        <v>2055604</v>
      </c>
      <c r="O34" s="47">
        <f>GO!$U$41</f>
        <v>154701.82312244835</v>
      </c>
      <c r="P34" s="47">
        <f>GO!$U$42</f>
        <v>530.66421895986423</v>
      </c>
      <c r="Q34" s="47">
        <f>GO!$U$43</f>
        <v>272022.51265859179</v>
      </c>
      <c r="R34" s="48">
        <f t="shared" si="11"/>
        <v>427255</v>
      </c>
      <c r="T34" s="47">
        <f>GO!$X$31</f>
        <v>43339.176877551654</v>
      </c>
      <c r="U34" s="47">
        <f>GO!$X$32</f>
        <v>148.66373248805758</v>
      </c>
      <c r="V34" s="47">
        <f>GO!$X$33</f>
        <v>76206.159389960289</v>
      </c>
      <c r="W34" s="48">
        <f t="shared" si="12"/>
        <v>119694</v>
      </c>
      <c r="Y34" s="47">
        <f>GO!$X$35</f>
        <v>123085</v>
      </c>
      <c r="AA34" s="47">
        <f>GO!$X$36</f>
        <v>39156</v>
      </c>
      <c r="AC34" s="47">
        <f>GO!$X$38</f>
        <v>25299</v>
      </c>
      <c r="AE34" s="47">
        <f>GO!$X$39</f>
        <v>11041</v>
      </c>
      <c r="AG34" s="47">
        <f>GO!$X$41</f>
        <v>973610</v>
      </c>
      <c r="AI34" s="47">
        <f>GO!$X$42</f>
        <v>320293</v>
      </c>
      <c r="AK34" s="47">
        <f t="shared" si="9"/>
        <v>4142175</v>
      </c>
      <c r="AM34" t="str">
        <f>IF((AK34=GO!$X45),"ok","erro")</f>
        <v>ok</v>
      </c>
    </row>
    <row r="35" spans="1:39">
      <c r="A35" s="45" t="s">
        <v>50</v>
      </c>
      <c r="C35" s="47">
        <f>MT!$U$31</f>
        <v>25806.321866321898</v>
      </c>
      <c r="D35" s="47">
        <f>MT!$U$32</f>
        <v>49.678133678102313</v>
      </c>
      <c r="E35" s="47">
        <f>MT!$U$33</f>
        <v>0</v>
      </c>
      <c r="F35" s="48">
        <f t="shared" si="13"/>
        <v>25856</v>
      </c>
      <c r="H35" s="47">
        <f>MT!$U$35</f>
        <v>802641.85858996131</v>
      </c>
      <c r="I35" s="47">
        <f>MT!$U$36</f>
        <v>49166</v>
      </c>
      <c r="J35" s="47">
        <f>MT!$U$37</f>
        <v>2275</v>
      </c>
      <c r="K35" s="47">
        <f>MT!$U$38</f>
        <v>1644.1414100386901</v>
      </c>
      <c r="L35" s="47">
        <f>MT!$U$39</f>
        <v>0</v>
      </c>
      <c r="M35" s="48">
        <f t="shared" si="10"/>
        <v>855727</v>
      </c>
      <c r="O35" s="47">
        <f>MT!$U$41</f>
        <v>120203.23376885364</v>
      </c>
      <c r="P35" s="47">
        <f>MT!$U$42</f>
        <v>545.1856228945544</v>
      </c>
      <c r="Q35" s="47">
        <f>MT!$U$43</f>
        <v>163004.5806082518</v>
      </c>
      <c r="R35" s="48">
        <f t="shared" si="11"/>
        <v>283753</v>
      </c>
      <c r="T35" s="47">
        <f>MT!$X$31</f>
        <v>24692.766231146376</v>
      </c>
      <c r="U35" s="47">
        <f>MT!$X$32</f>
        <v>111.99483338863502</v>
      </c>
      <c r="V35" s="47">
        <f>MT!$X$33</f>
        <v>33485.238935464993</v>
      </c>
      <c r="W35" s="48">
        <f t="shared" si="12"/>
        <v>58290</v>
      </c>
      <c r="Y35" s="47">
        <f>MT!$X$35</f>
        <v>87736</v>
      </c>
      <c r="AA35" s="47">
        <f>MT!$X$36</f>
        <v>47161</v>
      </c>
      <c r="AC35" s="47">
        <f>MT!$X$38</f>
        <v>14264</v>
      </c>
      <c r="AE35" s="47">
        <f>MT!$X$39</f>
        <v>4430</v>
      </c>
      <c r="AG35" s="47">
        <f>MT!$X$41</f>
        <v>701391</v>
      </c>
      <c r="AI35" s="47">
        <f>MT!$X$42</f>
        <v>278195</v>
      </c>
      <c r="AK35" s="47">
        <f t="shared" si="9"/>
        <v>2356803</v>
      </c>
      <c r="AM35" t="str">
        <f>IF((AK35=MT!$X45),"ok","erro")</f>
        <v>ok</v>
      </c>
    </row>
    <row r="36" spans="1:39">
      <c r="A36" s="45" t="s">
        <v>51</v>
      </c>
      <c r="C36" s="47">
        <f>MS!$U$31</f>
        <v>16972.685239565206</v>
      </c>
      <c r="D36" s="47">
        <f>MS!$U$32</f>
        <v>30.456714779986214</v>
      </c>
      <c r="E36" s="47">
        <f>MS!$U$33</f>
        <v>3041.8580456548079</v>
      </c>
      <c r="F36" s="48">
        <f t="shared" si="13"/>
        <v>20045</v>
      </c>
      <c r="H36" s="47">
        <f>MS!$U$35</f>
        <v>692354.31476043479</v>
      </c>
      <c r="I36" s="47">
        <f>MS!$U$36</f>
        <v>54600</v>
      </c>
      <c r="J36" s="47">
        <f>MS!$U$37</f>
        <v>5070</v>
      </c>
      <c r="K36" s="47">
        <f>MS!$U$38</f>
        <v>1242.3984533806797</v>
      </c>
      <c r="L36" s="47">
        <f>MS!$U$39</f>
        <v>64414.28678618453</v>
      </c>
      <c r="M36" s="48">
        <f t="shared" si="10"/>
        <v>817681</v>
      </c>
      <c r="O36" s="47">
        <f>MS!$U$41</f>
        <v>77917.146114750198</v>
      </c>
      <c r="P36" s="47">
        <f>MS!$U$42</f>
        <v>285.27814834206947</v>
      </c>
      <c r="Q36" s="47">
        <f>MS!$U$43</f>
        <v>109552.57573690773</v>
      </c>
      <c r="R36" s="48">
        <f t="shared" si="11"/>
        <v>187755</v>
      </c>
      <c r="T36" s="47">
        <f>MS!$X$31</f>
        <v>19901.853885249795</v>
      </c>
      <c r="U36" s="47">
        <f>MS!$X$32</f>
        <v>72.866683497326449</v>
      </c>
      <c r="V36" s="47">
        <f>MS!$X$33</f>
        <v>27982.279431252879</v>
      </c>
      <c r="W36" s="48">
        <f t="shared" si="12"/>
        <v>47957</v>
      </c>
      <c r="Y36" s="47">
        <f>MS!$X$35</f>
        <v>59855</v>
      </c>
      <c r="AA36" s="47">
        <f>MS!$X$36</f>
        <v>22864</v>
      </c>
      <c r="AC36" s="47">
        <f>MS!$X$38</f>
        <v>10728</v>
      </c>
      <c r="AE36" s="47">
        <f>MS!$X$39</f>
        <v>4511</v>
      </c>
      <c r="AG36" s="47">
        <f>MS!$X$41</f>
        <v>407410</v>
      </c>
      <c r="AI36" s="47">
        <f>MS!$X$42</f>
        <v>128464</v>
      </c>
      <c r="AK36" s="47">
        <f t="shared" si="9"/>
        <v>1707270</v>
      </c>
      <c r="AM36" t="str">
        <f>IF((AK36=MS!$X45),"ok","erro")</f>
        <v>ok</v>
      </c>
    </row>
  </sheetData>
  <mergeCells count="6">
    <mergeCell ref="AK2:AK3"/>
    <mergeCell ref="A2:A3"/>
    <mergeCell ref="C2:F2"/>
    <mergeCell ref="H2:M2"/>
    <mergeCell ref="O2:R2"/>
    <mergeCell ref="T2:W2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X122"/>
  <sheetViews>
    <sheetView showGridLines="0" topLeftCell="A85" zoomScale="90" zoomScaleNormal="90" workbookViewId="0">
      <selection activeCell="A26" sqref="A26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</cols>
  <sheetData>
    <row r="1" spans="1:24" s="33" customFormat="1" ht="15.75">
      <c r="A1" s="100" t="str">
        <f>"MARANHÃO/"&amp;ONSV_AUX_2023!$A$1&amp;""</f>
        <v>MARANHÃO/2023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ONSV_AUX_2023!K27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ONSV_AUX_2023!K28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ONSV_AUX_2023!K29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ONSV_AUX_2023!K30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ONSV_AUX_2023!K31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ONSV_AUX_2023!K32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ONSV_AUX_2023!K56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ONSV_AUX_2023!K57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ONSV_AUX_2023!K58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ONSV_AUX_2023!K59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ONSV_AUX_2023!K60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ONSV_AUX_2023!K61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ONSV_AUX_2023!K62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ONSV_AUX_2023!K63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ONSV_AUX_2023!K64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ONSV_AUX_2023!K65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6" customFormat="1" ht="15.75">
      <c r="A25" s="100" t="str">
        <f>"MARANHÃO/"&amp;ONSV_AUX_2022!$A$1&amp;""</f>
        <v>MARANHÃO/2022</v>
      </c>
      <c r="B25" s="101"/>
      <c r="C25" s="101"/>
      <c r="D25" s="101"/>
      <c r="E25" s="101"/>
      <c r="F25" s="10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5.75">
      <c r="A26" s="3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ONSV_AUX_2022!K27</f>
        <v>13935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ONSV_AUX_2022!K28</f>
        <v>877055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ONSV_AUX_2022!K29</f>
        <v>152968</v>
      </c>
      <c r="J31" s="9"/>
      <c r="K31" s="2" t="s">
        <v>122</v>
      </c>
      <c r="L31" s="63">
        <f>I38+I41+I42+I47</f>
        <v>701968</v>
      </c>
      <c r="N31" s="30" t="s">
        <v>123</v>
      </c>
      <c r="O31" s="63">
        <f>J38+J47</f>
        <v>524119.75387054682</v>
      </c>
      <c r="P31" s="67"/>
      <c r="Q31" s="68" t="s">
        <v>124</v>
      </c>
      <c r="R31" s="63">
        <f>J41+J42</f>
        <v>176635.24612945321</v>
      </c>
      <c r="S31" s="69"/>
      <c r="T31" s="68" t="s">
        <v>125</v>
      </c>
      <c r="U31" s="70">
        <f>O35</f>
        <v>15385.368079456613</v>
      </c>
      <c r="V31" s="51"/>
      <c r="W31" s="68" t="s">
        <v>126</v>
      </c>
      <c r="X31" s="71">
        <f>R37</f>
        <v>13492.223848627507</v>
      </c>
    </row>
    <row r="32" spans="1:24" ht="15.75">
      <c r="H32" s="38" t="s">
        <v>102</v>
      </c>
      <c r="I32" s="63">
        <f>ONSV_AUX_2022!K30</f>
        <v>1213</v>
      </c>
      <c r="J32" s="9"/>
      <c r="K32" s="29"/>
      <c r="L32" s="65"/>
      <c r="M32" s="22"/>
      <c r="N32" s="30" t="s">
        <v>127</v>
      </c>
      <c r="O32" s="72">
        <f>J38/O31</f>
        <v>0.97064531919310815</v>
      </c>
      <c r="P32" s="67"/>
      <c r="Q32" s="73" t="s">
        <v>128</v>
      </c>
      <c r="R32" s="66">
        <f>J41/R31</f>
        <v>0.836979558157804</v>
      </c>
      <c r="S32" s="74"/>
      <c r="T32" s="68" t="s">
        <v>129</v>
      </c>
      <c r="U32" s="70">
        <f>I47-J47</f>
        <v>26.631920543386514</v>
      </c>
      <c r="V32" s="51"/>
      <c r="W32" s="68" t="s">
        <v>130</v>
      </c>
      <c r="X32" s="71">
        <f>I42-J42</f>
        <v>49.844131071502488</v>
      </c>
    </row>
    <row r="33" spans="8:24" ht="15.75">
      <c r="H33" s="38" t="s">
        <v>16</v>
      </c>
      <c r="I33" s="63">
        <f>ONSV_AUX_2022!K31</f>
        <v>356</v>
      </c>
      <c r="J33" s="9"/>
      <c r="K33" s="2" t="s">
        <v>131</v>
      </c>
      <c r="L33" s="66">
        <f>I38/L31</f>
        <v>0.72598038657032804</v>
      </c>
      <c r="M33" s="22"/>
      <c r="N33" s="30" t="s">
        <v>132</v>
      </c>
      <c r="O33" s="72">
        <f>J47/O31</f>
        <v>2.9354680806891836E-2</v>
      </c>
      <c r="P33" s="67"/>
      <c r="Q33" s="73" t="s">
        <v>133</v>
      </c>
      <c r="R33" s="66">
        <f>J42/R31</f>
        <v>0.16302044184219597</v>
      </c>
      <c r="S33" s="74"/>
      <c r="T33" s="68" t="s">
        <v>134</v>
      </c>
      <c r="U33" s="75">
        <f>O37</f>
        <v>0</v>
      </c>
      <c r="V33" s="76"/>
      <c r="W33" s="68" t="s">
        <v>135</v>
      </c>
      <c r="X33" s="75">
        <f>R40</f>
        <v>15302.93202030099</v>
      </c>
    </row>
    <row r="34" spans="8:24" ht="15.75">
      <c r="H34" s="38" t="s">
        <v>94</v>
      </c>
      <c r="I34" s="63">
        <f>ONSV_AUX_2022!K32</f>
        <v>905705</v>
      </c>
      <c r="J34" s="10"/>
      <c r="K34" s="2" t="s">
        <v>2</v>
      </c>
      <c r="L34" s="66">
        <f>I41/L31</f>
        <v>0.21097257994666424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4.1091616711872905E-2</v>
      </c>
      <c r="M35" s="22"/>
      <c r="N35" s="30" t="s">
        <v>136</v>
      </c>
      <c r="O35" s="63">
        <f>IF(O33*I30&gt;J47,J47,O33*I30)</f>
        <v>15385.368079456613</v>
      </c>
      <c r="P35" s="79"/>
      <c r="Q35" s="68" t="s">
        <v>137</v>
      </c>
      <c r="R35" s="63">
        <f>I31-I39-I40-I43-I46</f>
        <v>82764</v>
      </c>
      <c r="S35" s="80"/>
      <c r="T35" s="68" t="s">
        <v>138</v>
      </c>
      <c r="U35" s="70">
        <f>O43</f>
        <v>494443.3857910902</v>
      </c>
      <c r="V35" s="79"/>
      <c r="W35" s="68" t="s">
        <v>139</v>
      </c>
      <c r="X35" s="70">
        <f>I39</f>
        <v>46544</v>
      </c>
    </row>
    <row r="36" spans="8:24" ht="15.75">
      <c r="H36" s="26" t="s">
        <v>140</v>
      </c>
      <c r="K36" s="2" t="s">
        <v>0</v>
      </c>
      <c r="L36" s="66">
        <f>I47/L31</f>
        <v>2.1955416771134866E-2</v>
      </c>
      <c r="O36" s="51"/>
      <c r="P36" s="79"/>
      <c r="Q36" s="68" t="s">
        <v>141</v>
      </c>
      <c r="R36" s="63">
        <f>R32*R35</f>
        <v>69271.776151372484</v>
      </c>
      <c r="S36" s="51"/>
      <c r="T36" s="68" t="s">
        <v>142</v>
      </c>
      <c r="U36" s="70">
        <f>O41</f>
        <v>13935</v>
      </c>
      <c r="V36" s="69"/>
      <c r="W36" s="68" t="s">
        <v>143</v>
      </c>
      <c r="X36" s="70">
        <f>I40</f>
        <v>7222</v>
      </c>
    </row>
    <row r="37" spans="8:24" ht="15.75">
      <c r="K37" s="11"/>
      <c r="L37" s="11"/>
      <c r="M37" s="11"/>
      <c r="N37" s="30" t="s">
        <v>144</v>
      </c>
      <c r="O37" s="63">
        <f>J47-O35</f>
        <v>0</v>
      </c>
      <c r="P37" s="79"/>
      <c r="Q37" s="68" t="s">
        <v>126</v>
      </c>
      <c r="R37" s="63">
        <f>R33*R35</f>
        <v>13492.223848627507</v>
      </c>
      <c r="S37" s="51"/>
      <c r="T37" s="68" t="s">
        <v>145</v>
      </c>
      <c r="U37" s="70">
        <f>O42</f>
        <v>356</v>
      </c>
      <c r="V37" s="74"/>
      <c r="W37" s="51"/>
      <c r="X37" s="65"/>
    </row>
    <row r="38" spans="8:24" ht="15.75">
      <c r="H38" s="39" t="s">
        <v>104</v>
      </c>
      <c r="I38" s="63">
        <f>ONSV_AUX_2022!K56</f>
        <v>509615</v>
      </c>
      <c r="J38" s="64">
        <f>I38-(L33*I32)</f>
        <v>508734.3857910902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880.61420890979934</v>
      </c>
      <c r="V38" s="74"/>
      <c r="W38" s="68" t="s">
        <v>147</v>
      </c>
      <c r="X38" s="70">
        <f>I46</f>
        <v>10779</v>
      </c>
    </row>
    <row r="39" spans="8:24" ht="15.75">
      <c r="H39" s="39" t="s">
        <v>105</v>
      </c>
      <c r="I39" s="63">
        <f>ONSV_AUX_2022!K57</f>
        <v>46544</v>
      </c>
      <c r="J39" s="10">
        <f>I39</f>
        <v>46544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78568.314109152227</v>
      </c>
      <c r="S39" s="51"/>
      <c r="T39" s="68" t="s">
        <v>150</v>
      </c>
      <c r="U39" s="75">
        <f>O44</f>
        <v>0</v>
      </c>
      <c r="V39" s="51"/>
      <c r="W39" s="68" t="s">
        <v>151</v>
      </c>
      <c r="X39" s="70">
        <f>I43</f>
        <v>5659</v>
      </c>
    </row>
    <row r="40" spans="8:24" ht="15.75">
      <c r="H40" s="39" t="s">
        <v>106</v>
      </c>
      <c r="I40" s="63">
        <f>ONSV_AUX_2022!K58</f>
        <v>7222</v>
      </c>
      <c r="J40" s="10">
        <f>I40</f>
        <v>7222</v>
      </c>
      <c r="K40" s="11"/>
      <c r="L40" s="11"/>
      <c r="M40" s="11"/>
      <c r="O40" s="76"/>
      <c r="P40" s="79"/>
      <c r="Q40" s="68" t="s">
        <v>135</v>
      </c>
      <c r="R40" s="63">
        <f>J42-R37</f>
        <v>15302.93202030099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ONSV_AUX_2022!K59</f>
        <v>148096</v>
      </c>
      <c r="J41" s="64">
        <f>I41-(L34*I32)</f>
        <v>147840.09026052471</v>
      </c>
      <c r="K41" s="11"/>
      <c r="L41" s="11"/>
      <c r="M41" s="11"/>
      <c r="N41" s="30" t="s">
        <v>142</v>
      </c>
      <c r="O41" s="63">
        <f>I29</f>
        <v>13935</v>
      </c>
      <c r="P41" s="79"/>
      <c r="Q41" s="51"/>
      <c r="R41" s="51"/>
      <c r="S41" s="80"/>
      <c r="T41" s="68" t="s">
        <v>141</v>
      </c>
      <c r="U41" s="71">
        <f>R36</f>
        <v>69271.776151372484</v>
      </c>
      <c r="V41" s="51"/>
      <c r="W41" s="68" t="s">
        <v>152</v>
      </c>
      <c r="X41" s="70">
        <f>I44</f>
        <v>978384</v>
      </c>
    </row>
    <row r="42" spans="8:24" ht="15.75">
      <c r="H42" s="39" t="s">
        <v>108</v>
      </c>
      <c r="I42" s="63">
        <f>ONSV_AUX_2022!K60</f>
        <v>28845</v>
      </c>
      <c r="J42" s="64">
        <f>I42-(L35*I32)</f>
        <v>28795.155868928498</v>
      </c>
      <c r="K42" s="11"/>
      <c r="L42" s="11"/>
      <c r="M42" s="11"/>
      <c r="N42" s="30" t="s">
        <v>145</v>
      </c>
      <c r="O42" s="63">
        <f>I33</f>
        <v>356</v>
      </c>
      <c r="P42" s="79"/>
      <c r="Q42" s="51"/>
      <c r="R42" s="51"/>
      <c r="S42" s="51"/>
      <c r="T42" s="68" t="s">
        <v>153</v>
      </c>
      <c r="U42" s="71">
        <f>I41-J41</f>
        <v>255.90973947528983</v>
      </c>
      <c r="V42" s="51"/>
      <c r="W42" s="68" t="s">
        <v>154</v>
      </c>
      <c r="X42" s="70">
        <f>I45</f>
        <v>194773</v>
      </c>
    </row>
    <row r="43" spans="8:24" ht="15.75">
      <c r="H43" s="39" t="s">
        <v>109</v>
      </c>
      <c r="I43" s="63">
        <f>ONSV_AUX_2022!K61</f>
        <v>5659</v>
      </c>
      <c r="J43" s="10">
        <f>I43</f>
        <v>5659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494443.3857910902</v>
      </c>
      <c r="P43" s="79"/>
      <c r="Q43" s="51"/>
      <c r="R43" s="81"/>
      <c r="S43" s="51"/>
      <c r="T43" s="68" t="s">
        <v>149</v>
      </c>
      <c r="U43" s="75">
        <f>R39</f>
        <v>78568.314109152227</v>
      </c>
      <c r="V43" s="51"/>
      <c r="W43" s="51"/>
      <c r="X43" s="51"/>
    </row>
    <row r="44" spans="8:24" ht="15.75">
      <c r="H44" s="39" t="s">
        <v>110</v>
      </c>
      <c r="I44" s="63">
        <f>ONSV_AUX_2022!K62</f>
        <v>978384</v>
      </c>
      <c r="J44" s="10">
        <f>I44</f>
        <v>978384</v>
      </c>
      <c r="K44" s="11"/>
      <c r="L44" s="11"/>
      <c r="M44" s="11"/>
      <c r="N44" s="30" t="s">
        <v>150</v>
      </c>
      <c r="O44" s="63">
        <f>IF((J38-O41-O43-O42)&lt;0,0,(J38-O41-O43-O42))</f>
        <v>0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ONSV_AUX_2022!K63</f>
        <v>194773</v>
      </c>
      <c r="J45" s="10">
        <f>I45</f>
        <v>194773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1945329</v>
      </c>
    </row>
    <row r="46" spans="8:24" ht="15.75">
      <c r="H46" s="39" t="s">
        <v>112</v>
      </c>
      <c r="I46" s="63">
        <f>ONSV_AUX_2022!K64</f>
        <v>10779</v>
      </c>
      <c r="J46" s="10">
        <f>I46</f>
        <v>10779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ONSV_AUX_2022!K65</f>
        <v>15412</v>
      </c>
      <c r="J47" s="64">
        <f>I47-(L36*I32)</f>
        <v>15385.368079456613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6" customFormat="1" ht="15.75">
      <c r="A50" s="100" t="str">
        <f>"MARANHÃO/"&amp;ONSV_AUX_2021!$A$1&amp;""</f>
        <v>MARANHÃO/2021</v>
      </c>
      <c r="B50" s="101"/>
      <c r="C50" s="101"/>
      <c r="D50" s="101"/>
      <c r="E50" s="101"/>
      <c r="F50" s="101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ONSV_AUX_2021!K27</f>
        <v>13917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ONSV_AUX_2021!K28</f>
        <v>827261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ONSV_AUX_2021!K29</f>
        <v>144307</v>
      </c>
      <c r="J56" s="9"/>
      <c r="K56" s="2" t="s">
        <v>122</v>
      </c>
      <c r="L56" s="63">
        <f>I63+I66+I67+I72</f>
        <v>672163</v>
      </c>
      <c r="N56" s="30" t="s">
        <v>123</v>
      </c>
      <c r="O56" s="63">
        <f>J63+J72</f>
        <v>504711.7386169724</v>
      </c>
      <c r="P56" s="67"/>
      <c r="Q56" s="68" t="s">
        <v>124</v>
      </c>
      <c r="R56" s="63">
        <f>J66+J67</f>
        <v>166711.26138302762</v>
      </c>
      <c r="S56" s="69"/>
      <c r="T56" s="68" t="s">
        <v>125</v>
      </c>
      <c r="U56" s="70">
        <f>O60</f>
        <v>13326.31258043064</v>
      </c>
      <c r="V56" s="51"/>
      <c r="W56" s="68" t="s">
        <v>126</v>
      </c>
      <c r="X56" s="71">
        <f>R62</f>
        <v>12661.896959165944</v>
      </c>
    </row>
    <row r="57" spans="1:24" ht="15.75">
      <c r="H57" s="38" t="s">
        <v>102</v>
      </c>
      <c r="I57" s="63">
        <f>ONSV_AUX_2021!K30</f>
        <v>740</v>
      </c>
      <c r="J57" s="9"/>
      <c r="K57" s="29"/>
      <c r="L57" s="65"/>
      <c r="M57" s="22"/>
      <c r="N57" s="30" t="s">
        <v>127</v>
      </c>
      <c r="O57" s="72">
        <f>J63/O56</f>
        <v>0.97359619053650737</v>
      </c>
      <c r="P57" s="67"/>
      <c r="Q57" s="73" t="s">
        <v>128</v>
      </c>
      <c r="R57" s="66">
        <f>J66/R56</f>
        <v>0.83683753258036486</v>
      </c>
      <c r="S57" s="74"/>
      <c r="T57" s="68" t="s">
        <v>129</v>
      </c>
      <c r="U57" s="70">
        <f>I72-J72</f>
        <v>14.687419569359918</v>
      </c>
      <c r="V57" s="51"/>
      <c r="W57" s="68" t="s">
        <v>130</v>
      </c>
      <c r="X57" s="71">
        <f>I67-J67</f>
        <v>29.979246105482162</v>
      </c>
    </row>
    <row r="58" spans="1:24" ht="15.75">
      <c r="H58" s="38" t="s">
        <v>16</v>
      </c>
      <c r="I58" s="63">
        <f>ONSV_AUX_2021!K31</f>
        <v>325</v>
      </c>
      <c r="J58" s="9"/>
      <c r="K58" s="2" t="s">
        <v>131</v>
      </c>
      <c r="L58" s="66">
        <f>I63/L56</f>
        <v>0.73185670737603825</v>
      </c>
      <c r="M58" s="22"/>
      <c r="N58" s="30" t="s">
        <v>132</v>
      </c>
      <c r="O58" s="72">
        <f>J72/O56</f>
        <v>2.640380946349264E-2</v>
      </c>
      <c r="P58" s="67"/>
      <c r="Q58" s="73" t="s">
        <v>133</v>
      </c>
      <c r="R58" s="66">
        <f>J67/R56</f>
        <v>0.16316246741963511</v>
      </c>
      <c r="S58" s="74"/>
      <c r="T58" s="68" t="s">
        <v>134</v>
      </c>
      <c r="U58" s="75">
        <f>O62</f>
        <v>0</v>
      </c>
      <c r="V58" s="76"/>
      <c r="W58" s="68" t="s">
        <v>135</v>
      </c>
      <c r="X58" s="75">
        <f>R65</f>
        <v>14539.123794728574</v>
      </c>
    </row>
    <row r="59" spans="1:24" ht="15.75">
      <c r="H59" s="38" t="s">
        <v>94</v>
      </c>
      <c r="I59" s="63">
        <f>ONSV_AUX_2021!K32</f>
        <v>880831</v>
      </c>
      <c r="J59" s="10"/>
      <c r="K59" s="2" t="s">
        <v>2</v>
      </c>
      <c r="L59" s="66">
        <f>I66/L56</f>
        <v>0.20778293360390263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4.0512494737139651E-2</v>
      </c>
      <c r="M60" s="22"/>
      <c r="N60" s="30" t="s">
        <v>136</v>
      </c>
      <c r="O60" s="63">
        <f>IF(O58*I55&gt;J72,J72,O58*I55)</f>
        <v>13326.31258043064</v>
      </c>
      <c r="P60" s="79"/>
      <c r="Q60" s="68" t="s">
        <v>137</v>
      </c>
      <c r="R60" s="63">
        <f>I56-I64-I65-I68-I71</f>
        <v>77603</v>
      </c>
      <c r="S60" s="80"/>
      <c r="T60" s="68" t="s">
        <v>138</v>
      </c>
      <c r="U60" s="70">
        <f>O68</f>
        <v>477143.42603654176</v>
      </c>
      <c r="V60" s="79"/>
      <c r="W60" s="68" t="s">
        <v>139</v>
      </c>
      <c r="X60" s="70">
        <f>I64</f>
        <v>44680</v>
      </c>
    </row>
    <row r="61" spans="1:24" ht="15.75">
      <c r="H61" s="26" t="s">
        <v>140</v>
      </c>
      <c r="K61" s="2" t="s">
        <v>0</v>
      </c>
      <c r="L61" s="66">
        <f>I72/L56</f>
        <v>1.9847864282919469E-2</v>
      </c>
      <c r="O61" s="51"/>
      <c r="P61" s="79"/>
      <c r="Q61" s="68" t="s">
        <v>141</v>
      </c>
      <c r="R61" s="63">
        <f>R57*R60</f>
        <v>64941.103040834052</v>
      </c>
      <c r="S61" s="51"/>
      <c r="T61" s="68" t="s">
        <v>142</v>
      </c>
      <c r="U61" s="70">
        <f>O66</f>
        <v>13917</v>
      </c>
      <c r="V61" s="69"/>
      <c r="W61" s="68" t="s">
        <v>143</v>
      </c>
      <c r="X61" s="70">
        <f>I65</f>
        <v>6312</v>
      </c>
    </row>
    <row r="62" spans="1:24" ht="15.75">
      <c r="K62" s="11"/>
      <c r="L62" s="11"/>
      <c r="M62" s="11"/>
      <c r="N62" s="30" t="s">
        <v>144</v>
      </c>
      <c r="O62" s="63">
        <f>J72-O60</f>
        <v>0</v>
      </c>
      <c r="P62" s="79"/>
      <c r="Q62" s="68" t="s">
        <v>126</v>
      </c>
      <c r="R62" s="63">
        <f>R58*R60</f>
        <v>12661.896959165944</v>
      </c>
      <c r="S62" s="51"/>
      <c r="T62" s="68" t="s">
        <v>145</v>
      </c>
      <c r="U62" s="70">
        <f>O67</f>
        <v>325</v>
      </c>
      <c r="V62" s="74"/>
      <c r="W62" s="51"/>
      <c r="X62" s="65"/>
    </row>
    <row r="63" spans="1:24" ht="15.75">
      <c r="H63" s="39" t="s">
        <v>104</v>
      </c>
      <c r="I63" s="63">
        <f>ONSV_AUX_2021!K56</f>
        <v>491927</v>
      </c>
      <c r="J63" s="64">
        <f>I63-(L58*I57)</f>
        <v>491385.42603654176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541.57396345824236</v>
      </c>
      <c r="V63" s="74"/>
      <c r="W63" s="68" t="s">
        <v>147</v>
      </c>
      <c r="X63" s="70">
        <f>I71</f>
        <v>10252</v>
      </c>
    </row>
    <row r="64" spans="1:24" ht="15.75">
      <c r="H64" s="39" t="s">
        <v>105</v>
      </c>
      <c r="I64" s="63">
        <f>ONSV_AUX_2021!K57</f>
        <v>44680</v>
      </c>
      <c r="J64" s="10">
        <f>I64</f>
        <v>44680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74569.137588299054</v>
      </c>
      <c r="S64" s="51"/>
      <c r="T64" s="68" t="s">
        <v>150</v>
      </c>
      <c r="U64" s="75">
        <f>O69</f>
        <v>0</v>
      </c>
      <c r="V64" s="51"/>
      <c r="W64" s="68" t="s">
        <v>151</v>
      </c>
      <c r="X64" s="70">
        <f>I68</f>
        <v>5460</v>
      </c>
    </row>
    <row r="65" spans="1:24" ht="15.75">
      <c r="H65" s="39" t="s">
        <v>106</v>
      </c>
      <c r="I65" s="63">
        <f>ONSV_AUX_2021!K58</f>
        <v>6312</v>
      </c>
      <c r="J65" s="10">
        <f>I65</f>
        <v>6312</v>
      </c>
      <c r="K65" s="11"/>
      <c r="L65" s="11"/>
      <c r="M65" s="11"/>
      <c r="O65" s="76"/>
      <c r="P65" s="79"/>
      <c r="Q65" s="68" t="s">
        <v>135</v>
      </c>
      <c r="R65" s="63">
        <f>J67-R62</f>
        <v>14539.123794728574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ONSV_AUX_2021!K59</f>
        <v>139664</v>
      </c>
      <c r="J66" s="64">
        <f>I66-(L59*I57)</f>
        <v>139510.2406291331</v>
      </c>
      <c r="K66" s="11"/>
      <c r="L66" s="11"/>
      <c r="M66" s="11"/>
      <c r="N66" s="30" t="s">
        <v>142</v>
      </c>
      <c r="O66" s="63">
        <f>I54</f>
        <v>13917</v>
      </c>
      <c r="P66" s="79"/>
      <c r="Q66" s="51"/>
      <c r="R66" s="51"/>
      <c r="S66" s="80"/>
      <c r="T66" s="68" t="s">
        <v>141</v>
      </c>
      <c r="U66" s="71">
        <f>R61</f>
        <v>64941.103040834052</v>
      </c>
      <c r="V66" s="51"/>
      <c r="W66" s="68" t="s">
        <v>152</v>
      </c>
      <c r="X66" s="70">
        <f>I69</f>
        <v>939852</v>
      </c>
    </row>
    <row r="67" spans="1:24" ht="15.75">
      <c r="H67" s="39" t="s">
        <v>108</v>
      </c>
      <c r="I67" s="63">
        <f>ONSV_AUX_2021!K60</f>
        <v>27231</v>
      </c>
      <c r="J67" s="64">
        <f>I67-(L60*I57)</f>
        <v>27201.020753894518</v>
      </c>
      <c r="K67" s="11"/>
      <c r="L67" s="11"/>
      <c r="M67" s="11"/>
      <c r="N67" s="30" t="s">
        <v>145</v>
      </c>
      <c r="O67" s="63">
        <f>I58</f>
        <v>325</v>
      </c>
      <c r="P67" s="79"/>
      <c r="Q67" s="51"/>
      <c r="R67" s="51"/>
      <c r="S67" s="51"/>
      <c r="T67" s="68" t="s">
        <v>153</v>
      </c>
      <c r="U67" s="71">
        <f>I66-J66</f>
        <v>153.75937086690101</v>
      </c>
      <c r="V67" s="51"/>
      <c r="W67" s="68" t="s">
        <v>154</v>
      </c>
      <c r="X67" s="70">
        <f>I70</f>
        <v>182690</v>
      </c>
    </row>
    <row r="68" spans="1:24" ht="15.75">
      <c r="H68" s="39" t="s">
        <v>109</v>
      </c>
      <c r="I68" s="63">
        <f>ONSV_AUX_2021!K61</f>
        <v>5460</v>
      </c>
      <c r="J68" s="10">
        <f>I68</f>
        <v>5460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477143.42603654176</v>
      </c>
      <c r="P68" s="79"/>
      <c r="Q68" s="51"/>
      <c r="R68" s="81"/>
      <c r="S68" s="51"/>
      <c r="T68" s="68" t="s">
        <v>149</v>
      </c>
      <c r="U68" s="75">
        <f>R64</f>
        <v>74569.137588299054</v>
      </c>
      <c r="V68" s="51"/>
      <c r="W68" s="51"/>
      <c r="X68" s="51"/>
    </row>
    <row r="69" spans="1:24" ht="15.75">
      <c r="H69" s="39" t="s">
        <v>110</v>
      </c>
      <c r="I69" s="63">
        <f>ONSV_AUX_2021!K62</f>
        <v>939852</v>
      </c>
      <c r="J69" s="10">
        <f>I69</f>
        <v>939852</v>
      </c>
      <c r="K69" s="11"/>
      <c r="L69" s="11"/>
      <c r="M69" s="11"/>
      <c r="N69" s="30" t="s">
        <v>150</v>
      </c>
      <c r="O69" s="63">
        <f>IF((J63-O66-O68-O67)&lt;0,0,(J63-O66-O68-O67))</f>
        <v>0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ONSV_AUX_2021!K63</f>
        <v>182690</v>
      </c>
      <c r="J70" s="10">
        <f>I70</f>
        <v>182690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1861409</v>
      </c>
    </row>
    <row r="71" spans="1:24" ht="15.75">
      <c r="H71" s="39" t="s">
        <v>112</v>
      </c>
      <c r="I71" s="63">
        <f>ONSV_AUX_2021!K64</f>
        <v>10252</v>
      </c>
      <c r="J71" s="10">
        <f>I71</f>
        <v>10252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ONSV_AUX_2021!K65</f>
        <v>13341</v>
      </c>
      <c r="J72" s="64">
        <f>I72-(L61*I57)</f>
        <v>13326.31258043064</v>
      </c>
      <c r="K72" s="12"/>
      <c r="L72" s="12"/>
      <c r="M72" s="12"/>
      <c r="N72" s="12"/>
      <c r="O72" s="12"/>
      <c r="P72" s="12"/>
      <c r="Q72" s="4"/>
      <c r="R72" s="4"/>
    </row>
    <row r="75" spans="1:24" s="36" customFormat="1" ht="15.75">
      <c r="A75" s="100" t="str">
        <f>"MARANHÃO/"&amp;ONSV_AUX_2020!$A$1&amp;""</f>
        <v>MARANHÃO/2020</v>
      </c>
      <c r="B75" s="101"/>
      <c r="C75" s="101"/>
      <c r="D75" s="101"/>
      <c r="E75" s="101"/>
      <c r="F75" s="10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ONSV_AUX_2020!K27</f>
        <v>13865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ONSV_AUX_2020!K28</f>
        <v>770023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ONSV_AUX_2020!K29</f>
        <v>135821</v>
      </c>
      <c r="J81" s="9"/>
      <c r="K81" s="2" t="s">
        <v>122</v>
      </c>
      <c r="L81" s="63">
        <f>I88+I91+I92+I97</f>
        <v>632498</v>
      </c>
      <c r="N81" s="30" t="s">
        <v>123</v>
      </c>
      <c r="O81" s="63">
        <f>J88+J97</f>
        <v>476702.26200240949</v>
      </c>
      <c r="P81" s="67"/>
      <c r="Q81" s="68" t="s">
        <v>124</v>
      </c>
      <c r="R81" s="63">
        <f>J91+J92</f>
        <v>155379.73799759051</v>
      </c>
      <c r="S81" s="69"/>
      <c r="T81" s="68" t="s">
        <v>125</v>
      </c>
      <c r="U81" s="70">
        <f>O85</f>
        <v>11660.325844508599</v>
      </c>
      <c r="V81" s="51"/>
      <c r="W81" s="68" t="s">
        <v>126</v>
      </c>
      <c r="X81" s="71">
        <f>R87</f>
        <v>11825.290027141404</v>
      </c>
    </row>
    <row r="82" spans="8:24" ht="15.75">
      <c r="H82" s="38" t="s">
        <v>102</v>
      </c>
      <c r="I82" s="63">
        <f>ONSV_AUX_2020!K30</f>
        <v>416</v>
      </c>
      <c r="J82" s="9"/>
      <c r="K82" s="29"/>
      <c r="L82" s="65"/>
      <c r="M82" s="22"/>
      <c r="N82" s="30" t="s">
        <v>127</v>
      </c>
      <c r="O82" s="72">
        <f>J88/O81</f>
        <v>0.97553960454156674</v>
      </c>
      <c r="P82" s="67"/>
      <c r="Q82" s="73" t="s">
        <v>128</v>
      </c>
      <c r="R82" s="66">
        <f>J91/R81</f>
        <v>0.83545362164109027</v>
      </c>
      <c r="S82" s="74"/>
      <c r="T82" s="68" t="s">
        <v>129</v>
      </c>
      <c r="U82" s="70">
        <f>I97-J97</f>
        <v>7.6741554914005974</v>
      </c>
      <c r="V82" s="51"/>
      <c r="W82" s="68" t="s">
        <v>130</v>
      </c>
      <c r="X82" s="71">
        <f>I92-J92</f>
        <v>16.826842140213557</v>
      </c>
    </row>
    <row r="83" spans="8:24" ht="15.75">
      <c r="H83" s="38" t="s">
        <v>16</v>
      </c>
      <c r="I83" s="63">
        <f>ONSV_AUX_2020!K31</f>
        <v>302</v>
      </c>
      <c r="J83" s="9"/>
      <c r="K83" s="2" t="s">
        <v>131</v>
      </c>
      <c r="L83" s="66">
        <f>I88/L81</f>
        <v>0.73573038966131121</v>
      </c>
      <c r="M83" s="22"/>
      <c r="N83" s="30" t="s">
        <v>132</v>
      </c>
      <c r="O83" s="72">
        <f>J97/O81</f>
        <v>2.4460395458433259E-2</v>
      </c>
      <c r="P83" s="67"/>
      <c r="Q83" s="73" t="s">
        <v>133</v>
      </c>
      <c r="R83" s="66">
        <f>J92/R81</f>
        <v>0.1645463783589097</v>
      </c>
      <c r="S83" s="74"/>
      <c r="T83" s="68" t="s">
        <v>134</v>
      </c>
      <c r="U83" s="75">
        <f>O87</f>
        <v>0</v>
      </c>
      <c r="V83" s="76"/>
      <c r="W83" s="68" t="s">
        <v>135</v>
      </c>
      <c r="X83" s="75">
        <f>R90</f>
        <v>13741.883130718383</v>
      </c>
    </row>
    <row r="84" spans="8:24" ht="15.75">
      <c r="H84" s="38" t="s">
        <v>94</v>
      </c>
      <c r="I84" s="63">
        <f>ONSV_AUX_2020!K32</f>
        <v>859139</v>
      </c>
      <c r="J84" s="10"/>
      <c r="K84" s="2" t="s">
        <v>2</v>
      </c>
      <c r="L84" s="66">
        <f>I91/L81</f>
        <v>0.20537298141654203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4.0449139760125721E-2</v>
      </c>
      <c r="M85" s="22"/>
      <c r="N85" s="30" t="s">
        <v>136</v>
      </c>
      <c r="O85" s="63">
        <f>IF(O83*I80&gt;J97,J97,O83*I80)</f>
        <v>11660.325844508599</v>
      </c>
      <c r="P85" s="79"/>
      <c r="Q85" s="68" t="s">
        <v>137</v>
      </c>
      <c r="R85" s="63">
        <f>I81-I89-I90-I93-I96</f>
        <v>71866</v>
      </c>
      <c r="S85" s="80"/>
      <c r="T85" s="68" t="s">
        <v>138</v>
      </c>
      <c r="U85" s="70">
        <f>O93</f>
        <v>450874.9361579009</v>
      </c>
      <c r="V85" s="79"/>
      <c r="W85" s="68" t="s">
        <v>139</v>
      </c>
      <c r="X85" s="70">
        <f>I89</f>
        <v>43202</v>
      </c>
    </row>
    <row r="86" spans="8:24" ht="15.75">
      <c r="H86" s="26" t="s">
        <v>140</v>
      </c>
      <c r="K86" s="2" t="s">
        <v>0</v>
      </c>
      <c r="L86" s="66">
        <f>I97/L81</f>
        <v>1.8447489162021064E-2</v>
      </c>
      <c r="O86" s="51"/>
      <c r="P86" s="79"/>
      <c r="Q86" s="68" t="s">
        <v>141</v>
      </c>
      <c r="R86" s="63">
        <f>R82*R85</f>
        <v>60040.709972858596</v>
      </c>
      <c r="S86" s="51"/>
      <c r="T86" s="68" t="s">
        <v>142</v>
      </c>
      <c r="U86" s="70">
        <f>O91</f>
        <v>13865</v>
      </c>
      <c r="V86" s="69"/>
      <c r="W86" s="68" t="s">
        <v>143</v>
      </c>
      <c r="X86" s="70">
        <f>I90</f>
        <v>5604</v>
      </c>
    </row>
    <row r="87" spans="8:24" ht="15.75">
      <c r="K87" s="11"/>
      <c r="L87" s="11"/>
      <c r="M87" s="11"/>
      <c r="N87" s="30" t="s">
        <v>144</v>
      </c>
      <c r="O87" s="63">
        <f>J97-O85</f>
        <v>0</v>
      </c>
      <c r="P87" s="79"/>
      <c r="Q87" s="68" t="s">
        <v>126</v>
      </c>
      <c r="R87" s="63">
        <f>R83*R85</f>
        <v>11825.290027141404</v>
      </c>
      <c r="S87" s="51"/>
      <c r="T87" s="68" t="s">
        <v>145</v>
      </c>
      <c r="U87" s="70">
        <f>O92</f>
        <v>302</v>
      </c>
      <c r="V87" s="74"/>
      <c r="W87" s="51"/>
      <c r="X87" s="65"/>
    </row>
    <row r="88" spans="8:24" ht="15.75">
      <c r="H88" s="39" t="s">
        <v>104</v>
      </c>
      <c r="I88" s="63">
        <f>ONSV_AUX_2020!K56</f>
        <v>465348</v>
      </c>
      <c r="J88" s="64">
        <f>I88-(L83*I82)</f>
        <v>465041.9361579009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306.06384209910175</v>
      </c>
      <c r="V88" s="74"/>
      <c r="W88" s="68" t="s">
        <v>147</v>
      </c>
      <c r="X88" s="70">
        <f>I96</f>
        <v>9817</v>
      </c>
    </row>
    <row r="89" spans="8:24" ht="15.75">
      <c r="H89" s="39" t="s">
        <v>105</v>
      </c>
      <c r="I89" s="63">
        <f>ONSV_AUX_2020!K57</f>
        <v>43202</v>
      </c>
      <c r="J89" s="10">
        <f>I89</f>
        <v>43202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69771.854866872134</v>
      </c>
      <c r="S89" s="51"/>
      <c r="T89" s="68" t="s">
        <v>150</v>
      </c>
      <c r="U89" s="75">
        <f>O94</f>
        <v>0</v>
      </c>
      <c r="V89" s="51"/>
      <c r="W89" s="68" t="s">
        <v>151</v>
      </c>
      <c r="X89" s="70">
        <f>I93</f>
        <v>5332</v>
      </c>
    </row>
    <row r="90" spans="8:24" ht="15.75">
      <c r="H90" s="39" t="s">
        <v>106</v>
      </c>
      <c r="I90" s="63">
        <f>ONSV_AUX_2020!K58</f>
        <v>5604</v>
      </c>
      <c r="J90" s="10">
        <f>I90</f>
        <v>5604</v>
      </c>
      <c r="K90" s="11"/>
      <c r="L90" s="11"/>
      <c r="M90" s="11"/>
      <c r="O90" s="76"/>
      <c r="P90" s="79"/>
      <c r="Q90" s="68" t="s">
        <v>135</v>
      </c>
      <c r="R90" s="63">
        <f>J92-R87</f>
        <v>13741.883130718383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ONSV_AUX_2020!K59</f>
        <v>129898</v>
      </c>
      <c r="J91" s="64">
        <f>I91-(L84*I82)</f>
        <v>129812.56483973072</v>
      </c>
      <c r="K91" s="11"/>
      <c r="L91" s="11"/>
      <c r="M91" s="11"/>
      <c r="N91" s="30" t="s">
        <v>142</v>
      </c>
      <c r="O91" s="63">
        <f>I79</f>
        <v>13865</v>
      </c>
      <c r="P91" s="79"/>
      <c r="Q91" s="51"/>
      <c r="R91" s="51"/>
      <c r="S91" s="80"/>
      <c r="T91" s="68" t="s">
        <v>141</v>
      </c>
      <c r="U91" s="71">
        <f>R86</f>
        <v>60040.709972858596</v>
      </c>
      <c r="V91" s="51"/>
      <c r="W91" s="68" t="s">
        <v>152</v>
      </c>
      <c r="X91" s="70">
        <f>I94</f>
        <v>904664</v>
      </c>
    </row>
    <row r="92" spans="8:24" ht="15.75">
      <c r="H92" s="39" t="s">
        <v>108</v>
      </c>
      <c r="I92" s="63">
        <f>ONSV_AUX_2020!K60</f>
        <v>25584</v>
      </c>
      <c r="J92" s="64">
        <f>I92-(L85*I82)</f>
        <v>25567.173157859786</v>
      </c>
      <c r="K92" s="11"/>
      <c r="L92" s="11"/>
      <c r="M92" s="11"/>
      <c r="N92" s="30" t="s">
        <v>145</v>
      </c>
      <c r="O92" s="63">
        <f>I83</f>
        <v>302</v>
      </c>
      <c r="P92" s="79"/>
      <c r="Q92" s="51"/>
      <c r="R92" s="51"/>
      <c r="S92" s="51"/>
      <c r="T92" s="68" t="s">
        <v>153</v>
      </c>
      <c r="U92" s="71">
        <f>I91-J91</f>
        <v>85.435160269276821</v>
      </c>
      <c r="V92" s="51"/>
      <c r="W92" s="68" t="s">
        <v>154</v>
      </c>
      <c r="X92" s="70">
        <f>I95</f>
        <v>172209</v>
      </c>
    </row>
    <row r="93" spans="8:24" ht="15.75">
      <c r="H93" s="39" t="s">
        <v>109</v>
      </c>
      <c r="I93" s="63">
        <f>ONSV_AUX_2020!K61</f>
        <v>5332</v>
      </c>
      <c r="J93" s="10">
        <f>I93</f>
        <v>5332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450874.9361579009</v>
      </c>
      <c r="P93" s="79"/>
      <c r="Q93" s="51"/>
      <c r="R93" s="81"/>
      <c r="S93" s="51"/>
      <c r="T93" s="68" t="s">
        <v>149</v>
      </c>
      <c r="U93" s="75">
        <f>R89</f>
        <v>69771.854866872134</v>
      </c>
      <c r="V93" s="51"/>
      <c r="W93" s="51"/>
      <c r="X93" s="51"/>
    </row>
    <row r="94" spans="8:24" ht="15.75">
      <c r="H94" s="39" t="s">
        <v>110</v>
      </c>
      <c r="I94" s="63">
        <f>ONSV_AUX_2020!K62</f>
        <v>904664</v>
      </c>
      <c r="J94" s="10">
        <f>I94</f>
        <v>904664</v>
      </c>
      <c r="K94" s="11"/>
      <c r="L94" s="11"/>
      <c r="M94" s="11"/>
      <c r="N94" s="30" t="s">
        <v>150</v>
      </c>
      <c r="O94" s="63">
        <f>IF((J88-O91-O93-O92)&lt;0,0,(J88-O91-O93-O92))</f>
        <v>0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ONSV_AUX_2020!K63</f>
        <v>172209</v>
      </c>
      <c r="J95" s="10">
        <f>I95</f>
        <v>172209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1773326</v>
      </c>
    </row>
    <row r="96" spans="8:24" ht="15.75">
      <c r="H96" s="39" t="s">
        <v>112</v>
      </c>
      <c r="I96" s="63">
        <f>ONSV_AUX_2020!K64</f>
        <v>9817</v>
      </c>
      <c r="J96" s="10">
        <f>I96</f>
        <v>9817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ONSV_AUX_2020!K65</f>
        <v>11668</v>
      </c>
      <c r="J97" s="64">
        <f>I97-(L86*I82)</f>
        <v>11660.325844508599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6" customFormat="1" ht="15.75">
      <c r="A100" s="100" t="str">
        <f>"MARANHÃO/"&amp;ONSV_AUX_2019!$A$1&amp;""</f>
        <v>MARANHÃO/2019</v>
      </c>
      <c r="B100" s="101"/>
      <c r="C100" s="101"/>
      <c r="D100" s="101"/>
      <c r="E100" s="101"/>
      <c r="F100" s="101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ONSV_AUX_2019!K27</f>
        <v>13836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ONSV_AUX_2019!K28</f>
        <v>729076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ONSV_AUX_2019!K29</f>
        <v>129454</v>
      </c>
      <c r="J106" s="9"/>
      <c r="K106" s="2" t="s">
        <v>122</v>
      </c>
      <c r="L106" s="63">
        <f>I113+I116+I117+I122</f>
        <v>605767</v>
      </c>
      <c r="N106" s="30" t="s">
        <v>123</v>
      </c>
      <c r="O106" s="63">
        <f>J113+J122</f>
        <v>457817.24014348752</v>
      </c>
      <c r="P106" s="67"/>
      <c r="Q106" s="68" t="s">
        <v>124</v>
      </c>
      <c r="R106" s="63">
        <f>J116+J117</f>
        <v>147780.75985651248</v>
      </c>
      <c r="S106" s="69"/>
      <c r="T106" s="68" t="s">
        <v>125</v>
      </c>
      <c r="U106" s="70">
        <f>O110</f>
        <v>10986.933953153606</v>
      </c>
      <c r="V106" s="51"/>
      <c r="W106" s="68" t="s">
        <v>126</v>
      </c>
      <c r="X106" s="71">
        <f>R112</f>
        <v>11392.521268823313</v>
      </c>
    </row>
    <row r="107" spans="1:24" ht="15.75">
      <c r="H107" s="38" t="s">
        <v>102</v>
      </c>
      <c r="I107" s="63">
        <f>ONSV_AUX_2019!K30</f>
        <v>169</v>
      </c>
      <c r="J107" s="9"/>
      <c r="K107" s="29"/>
      <c r="L107" s="65"/>
      <c r="M107" s="22"/>
      <c r="N107" s="30" t="s">
        <v>127</v>
      </c>
      <c r="O107" s="72">
        <f>J113/O106</f>
        <v>0.97600148489447425</v>
      </c>
      <c r="P107" s="67"/>
      <c r="Q107" s="73" t="s">
        <v>128</v>
      </c>
      <c r="R107" s="66">
        <f>J116/R106</f>
        <v>0.83143916331804468</v>
      </c>
      <c r="S107" s="74"/>
      <c r="T107" s="68" t="s">
        <v>129</v>
      </c>
      <c r="U107" s="70">
        <f>I122-J122</f>
        <v>3.0660468463938741</v>
      </c>
      <c r="V107" s="51"/>
      <c r="W107" s="68" t="s">
        <v>130</v>
      </c>
      <c r="X107" s="71">
        <f>I117-J117</f>
        <v>6.9514730911396327</v>
      </c>
    </row>
    <row r="108" spans="1:24" ht="15.75">
      <c r="H108" s="38" t="s">
        <v>16</v>
      </c>
      <c r="I108" s="63">
        <f>ONSV_AUX_2019!K31</f>
        <v>283</v>
      </c>
      <c r="J108" s="9"/>
      <c r="K108" s="2" t="s">
        <v>131</v>
      </c>
      <c r="L108" s="66">
        <f>I113/L106</f>
        <v>0.73783319329048958</v>
      </c>
      <c r="M108" s="22"/>
      <c r="N108" s="30" t="s">
        <v>132</v>
      </c>
      <c r="O108" s="72">
        <f>J122/O106</f>
        <v>2.3998515105525774E-2</v>
      </c>
      <c r="P108" s="67"/>
      <c r="Q108" s="73" t="s">
        <v>133</v>
      </c>
      <c r="R108" s="66">
        <f>J117/R106</f>
        <v>0.16856083668195532</v>
      </c>
      <c r="S108" s="74"/>
      <c r="T108" s="68" t="s">
        <v>134</v>
      </c>
      <c r="U108" s="75">
        <f>O112</f>
        <v>0</v>
      </c>
      <c r="V108" s="76"/>
      <c r="W108" s="68" t="s">
        <v>135</v>
      </c>
      <c r="X108" s="75">
        <f>R115</f>
        <v>13517.527258085547</v>
      </c>
    </row>
    <row r="109" spans="1:24" ht="15.75">
      <c r="H109" s="38" t="s">
        <v>94</v>
      </c>
      <c r="I109" s="63">
        <f>ONSV_AUX_2019!K32</f>
        <v>840946</v>
      </c>
      <c r="J109" s="10"/>
      <c r="K109" s="2" t="s">
        <v>2</v>
      </c>
      <c r="L109" s="66">
        <f>I116/L106</f>
        <v>0.20289154080694394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4.1132976870644981E-2</v>
      </c>
      <c r="M110" s="22"/>
      <c r="N110" s="30" t="s">
        <v>136</v>
      </c>
      <c r="O110" s="63">
        <f>IF(O108*I105&gt;J122,J122,O108*I105)</f>
        <v>10986.933953153606</v>
      </c>
      <c r="P110" s="79"/>
      <c r="Q110" s="68" t="s">
        <v>137</v>
      </c>
      <c r="R110" s="63">
        <f>I106-I114-I115-I118-I121</f>
        <v>67587</v>
      </c>
      <c r="S110" s="80"/>
      <c r="T110" s="68" t="s">
        <v>138</v>
      </c>
      <c r="U110" s="70">
        <f>O118</f>
        <v>432711.30619033391</v>
      </c>
      <c r="V110" s="79"/>
      <c r="W110" s="68" t="s">
        <v>139</v>
      </c>
      <c r="X110" s="70">
        <f>I114</f>
        <v>42103</v>
      </c>
    </row>
    <row r="111" spans="1:24" ht="15.75">
      <c r="H111" s="26" t="s">
        <v>140</v>
      </c>
      <c r="K111" s="2" t="s">
        <v>0</v>
      </c>
      <c r="L111" s="66">
        <f>I122/L106</f>
        <v>1.8142289031921513E-2</v>
      </c>
      <c r="O111" s="51"/>
      <c r="P111" s="79"/>
      <c r="Q111" s="68" t="s">
        <v>141</v>
      </c>
      <c r="R111" s="63">
        <f>R107*R110</f>
        <v>56194.478731176685</v>
      </c>
      <c r="S111" s="51"/>
      <c r="T111" s="68" t="s">
        <v>142</v>
      </c>
      <c r="U111" s="70">
        <f>O116</f>
        <v>13836</v>
      </c>
      <c r="V111" s="69"/>
      <c r="W111" s="68" t="s">
        <v>143</v>
      </c>
      <c r="X111" s="70">
        <f>I115</f>
        <v>5187</v>
      </c>
    </row>
    <row r="112" spans="1:24" ht="15.75">
      <c r="K112" s="11"/>
      <c r="L112" s="11"/>
      <c r="M112" s="11"/>
      <c r="N112" s="30" t="s">
        <v>144</v>
      </c>
      <c r="O112" s="63">
        <f>J122-O110</f>
        <v>0</v>
      </c>
      <c r="P112" s="79"/>
      <c r="Q112" s="68" t="s">
        <v>126</v>
      </c>
      <c r="R112" s="63">
        <f>R108*R110</f>
        <v>11392.521268823313</v>
      </c>
      <c r="S112" s="51"/>
      <c r="T112" s="68" t="s">
        <v>145</v>
      </c>
      <c r="U112" s="70">
        <f>O117</f>
        <v>283</v>
      </c>
      <c r="V112" s="74"/>
      <c r="W112" s="51"/>
      <c r="X112" s="65"/>
    </row>
    <row r="113" spans="8:24" ht="15.75">
      <c r="H113" s="39" t="s">
        <v>104</v>
      </c>
      <c r="I113" s="63">
        <f>ONSV_AUX_2019!K56</f>
        <v>446955</v>
      </c>
      <c r="J113" s="64">
        <f>I113-(L108*I107)</f>
        <v>446830.30619033391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124.69380966608878</v>
      </c>
      <c r="V113" s="74"/>
      <c r="W113" s="68" t="s">
        <v>147</v>
      </c>
      <c r="X113" s="70">
        <f>I121</f>
        <v>9463</v>
      </c>
    </row>
    <row r="114" spans="8:24" ht="15.75">
      <c r="H114" s="39" t="s">
        <v>105</v>
      </c>
      <c r="I114" s="63">
        <f>ONSV_AUX_2019!K57</f>
        <v>42103</v>
      </c>
      <c r="J114" s="10">
        <f>I114</f>
        <v>42103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66676.232598426941</v>
      </c>
      <c r="S114" s="51"/>
      <c r="T114" s="68" t="s">
        <v>150</v>
      </c>
      <c r="U114" s="75">
        <f>O119</f>
        <v>0</v>
      </c>
      <c r="V114" s="51"/>
      <c r="W114" s="68" t="s">
        <v>151</v>
      </c>
      <c r="X114" s="70">
        <f>I118</f>
        <v>5114</v>
      </c>
    </row>
    <row r="115" spans="8:24" ht="15.75">
      <c r="H115" s="39" t="s">
        <v>106</v>
      </c>
      <c r="I115" s="63">
        <f>ONSV_AUX_2019!K58</f>
        <v>5187</v>
      </c>
      <c r="J115" s="10">
        <f>I115</f>
        <v>5187</v>
      </c>
      <c r="K115" s="11"/>
      <c r="L115" s="11"/>
      <c r="M115" s="11"/>
      <c r="O115" s="76"/>
      <c r="P115" s="79"/>
      <c r="Q115" s="68" t="s">
        <v>135</v>
      </c>
      <c r="R115" s="63">
        <f>J117-R112</f>
        <v>13517.527258085547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ONSV_AUX_2019!K59</f>
        <v>122905</v>
      </c>
      <c r="J116" s="64">
        <f>I116-(L109*I107)</f>
        <v>122870.71132960363</v>
      </c>
      <c r="K116" s="11"/>
      <c r="L116" s="11"/>
      <c r="M116" s="11"/>
      <c r="N116" s="30" t="s">
        <v>142</v>
      </c>
      <c r="O116" s="63">
        <f>I104</f>
        <v>13836</v>
      </c>
      <c r="P116" s="79"/>
      <c r="Q116" s="51"/>
      <c r="R116" s="51"/>
      <c r="S116" s="80"/>
      <c r="T116" s="68" t="s">
        <v>141</v>
      </c>
      <c r="U116" s="71">
        <f>R111</f>
        <v>56194.478731176685</v>
      </c>
      <c r="V116" s="51"/>
      <c r="W116" s="68" t="s">
        <v>152</v>
      </c>
      <c r="X116" s="70">
        <f>I119</f>
        <v>875538</v>
      </c>
    </row>
    <row r="117" spans="8:24" ht="15.75">
      <c r="H117" s="39" t="s">
        <v>108</v>
      </c>
      <c r="I117" s="63">
        <f>ONSV_AUX_2019!K60</f>
        <v>24917</v>
      </c>
      <c r="J117" s="64">
        <f>I117-(L110*I107)</f>
        <v>24910.04852690886</v>
      </c>
      <c r="K117" s="11"/>
      <c r="L117" s="11"/>
      <c r="M117" s="11"/>
      <c r="N117" s="30" t="s">
        <v>145</v>
      </c>
      <c r="O117" s="63">
        <f>I108</f>
        <v>283</v>
      </c>
      <c r="P117" s="79"/>
      <c r="Q117" s="51"/>
      <c r="R117" s="51"/>
      <c r="S117" s="51"/>
      <c r="T117" s="68" t="s">
        <v>153</v>
      </c>
      <c r="U117" s="71">
        <f>I116-J116</f>
        <v>34.288670396374073</v>
      </c>
      <c r="V117" s="51"/>
      <c r="W117" s="68" t="s">
        <v>154</v>
      </c>
      <c r="X117" s="70">
        <f>I120</f>
        <v>164112</v>
      </c>
    </row>
    <row r="118" spans="8:24" ht="15.75">
      <c r="H118" s="39" t="s">
        <v>109</v>
      </c>
      <c r="I118" s="63">
        <f>ONSV_AUX_2019!K61</f>
        <v>5114</v>
      </c>
      <c r="J118" s="10">
        <f>I118</f>
        <v>5114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432711.30619033391</v>
      </c>
      <c r="P118" s="79"/>
      <c r="Q118" s="51"/>
      <c r="R118" s="81"/>
      <c r="S118" s="51"/>
      <c r="T118" s="68" t="s">
        <v>149</v>
      </c>
      <c r="U118" s="75">
        <f>R114</f>
        <v>66676.232598426941</v>
      </c>
      <c r="V118" s="51"/>
      <c r="W118" s="51"/>
      <c r="X118" s="51"/>
    </row>
    <row r="119" spans="8:24" ht="15.75">
      <c r="H119" s="39" t="s">
        <v>110</v>
      </c>
      <c r="I119" s="63">
        <f>ONSV_AUX_2019!K62</f>
        <v>875538</v>
      </c>
      <c r="J119" s="10">
        <f>I119</f>
        <v>875538</v>
      </c>
      <c r="K119" s="11"/>
      <c r="L119" s="11"/>
      <c r="M119" s="11"/>
      <c r="N119" s="30" t="s">
        <v>150</v>
      </c>
      <c r="O119" s="63">
        <f>IF((J113-O116-O118-O117)&lt;0,0,(J113-O116-O118-O117))</f>
        <v>0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ONSV_AUX_2019!K63</f>
        <v>164112</v>
      </c>
      <c r="J120" s="10">
        <f>I120</f>
        <v>164112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1707284</v>
      </c>
    </row>
    <row r="121" spans="8:24" ht="15.75">
      <c r="H121" s="39" t="s">
        <v>112</v>
      </c>
      <c r="I121" s="63">
        <f>ONSV_AUX_2019!K64</f>
        <v>9463</v>
      </c>
      <c r="J121" s="10">
        <f>I121</f>
        <v>9463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ONSV_AUX_2019!K65</f>
        <v>10990</v>
      </c>
      <c r="J122" s="64">
        <f>I122-(L111*I107)</f>
        <v>10986.933953153606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T27:X27"/>
    <mergeCell ref="T52:X52"/>
    <mergeCell ref="K79:L79"/>
    <mergeCell ref="A100:F100"/>
    <mergeCell ref="K104:L104"/>
    <mergeCell ref="A25:F25"/>
    <mergeCell ref="A50:F50"/>
    <mergeCell ref="K54:L54"/>
    <mergeCell ref="A75:F75"/>
    <mergeCell ref="K29:L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39997558519241921"/>
  </sheetPr>
  <dimension ref="A1:X122"/>
  <sheetViews>
    <sheetView showGridLines="0" zoomScale="90" zoomScaleNormal="90" workbookViewId="0">
      <selection activeCell="H117" sqref="H117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2" max="12" width="11.5703125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</cols>
  <sheetData>
    <row r="1" spans="1:24" s="33" customFormat="1" ht="15.75">
      <c r="A1" s="100" t="str">
        <f>"MATO GROSSO/"&amp;ONSV_AUX_2023!$A$1&amp;""</f>
        <v>MATO GROSSO/2023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ONSV_AUX_2023!L27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ONSV_AUX_2023!L28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ONSV_AUX_2023!L29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ONSV_AUX_2023!L30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ONSV_AUX_2023!L31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ONSV_AUX_2023!L32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ONSV_AUX_2023!L56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ONSV_AUX_2023!L57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ONSV_AUX_2023!L58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ONSV_AUX_2023!L59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ONSV_AUX_2023!L60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ONSV_AUX_2023!L61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ONSV_AUX_2023!L62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ONSV_AUX_2023!L63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ONSV_AUX_2023!L64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ONSV_AUX_2023!L65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3" customFormat="1" ht="15.75">
      <c r="A25" s="100" t="str">
        <f>"MATO GROSSO/"&amp;ONSV_AUX_2022!$A$1&amp;""</f>
        <v>MATO GROSSO/2022</v>
      </c>
      <c r="B25" s="101"/>
      <c r="C25" s="101"/>
      <c r="D25" s="101"/>
      <c r="E25" s="101"/>
      <c r="F25" s="101"/>
    </row>
    <row r="26" spans="1:24" ht="15.75">
      <c r="A26" s="3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ONSV_AUX_2022!L27</f>
        <v>49166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ONSV_AUX_2022!L28</f>
        <v>1040358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ONSV_AUX_2022!L29</f>
        <v>298487</v>
      </c>
      <c r="J31" s="9"/>
      <c r="K31" s="2" t="s">
        <v>122</v>
      </c>
      <c r="L31" s="63">
        <f>I38+I41+I42+I47</f>
        <v>1223626</v>
      </c>
      <c r="N31" s="30" t="s">
        <v>123</v>
      </c>
      <c r="O31" s="63">
        <f>J38+J47</f>
        <v>879889.18045628315</v>
      </c>
      <c r="P31" s="67"/>
      <c r="Q31" s="68" t="s">
        <v>124</v>
      </c>
      <c r="R31" s="63">
        <f>J41+J42</f>
        <v>341385.81954371679</v>
      </c>
      <c r="S31" s="69"/>
      <c r="T31" s="68" t="s">
        <v>125</v>
      </c>
      <c r="U31" s="70">
        <f>O35</f>
        <v>25806.321866321898</v>
      </c>
      <c r="V31" s="51"/>
      <c r="W31" s="68" t="s">
        <v>126</v>
      </c>
      <c r="X31" s="71">
        <f>R37</f>
        <v>24692.766231146376</v>
      </c>
    </row>
    <row r="32" spans="1:24" ht="15.75">
      <c r="H32" s="38" t="s">
        <v>102</v>
      </c>
      <c r="I32" s="63">
        <f>ONSV_AUX_2022!L30</f>
        <v>2351</v>
      </c>
      <c r="J32" s="9"/>
      <c r="K32" s="29"/>
      <c r="L32" s="65"/>
      <c r="M32" s="22"/>
      <c r="N32" s="30" t="s">
        <v>127</v>
      </c>
      <c r="O32" s="72">
        <f>J38/O31</f>
        <v>0.97067094079627225</v>
      </c>
      <c r="P32" s="67"/>
      <c r="Q32" s="73" t="s">
        <v>128</v>
      </c>
      <c r="R32" s="66">
        <f>J41/R31</f>
        <v>0.82958283022894785</v>
      </c>
      <c r="S32" s="74"/>
      <c r="T32" s="68" t="s">
        <v>129</v>
      </c>
      <c r="U32" s="70">
        <f>I47-J47</f>
        <v>49.678133678102313</v>
      </c>
      <c r="V32" s="51"/>
      <c r="W32" s="68" t="s">
        <v>130</v>
      </c>
      <c r="X32" s="71">
        <f>I42-J42</f>
        <v>111.99483338863502</v>
      </c>
    </row>
    <row r="33" spans="8:24" ht="15.75">
      <c r="H33" s="38" t="s">
        <v>16</v>
      </c>
      <c r="I33" s="63">
        <f>ONSV_AUX_2022!L31</f>
        <v>2275</v>
      </c>
      <c r="J33" s="9"/>
      <c r="K33" s="2" t="s">
        <v>131</v>
      </c>
      <c r="L33" s="66">
        <f>I38/L31</f>
        <v>0.69933705233461863</v>
      </c>
      <c r="M33" s="22"/>
      <c r="N33" s="30" t="s">
        <v>132</v>
      </c>
      <c r="O33" s="72">
        <f>J47/O31</f>
        <v>2.9329059203727841E-2</v>
      </c>
      <c r="P33" s="67"/>
      <c r="Q33" s="73" t="s">
        <v>133</v>
      </c>
      <c r="R33" s="66">
        <f>J42/R31</f>
        <v>0.17041716977105217</v>
      </c>
      <c r="S33" s="74"/>
      <c r="T33" s="68" t="s">
        <v>134</v>
      </c>
      <c r="U33" s="75">
        <f>O37</f>
        <v>0</v>
      </c>
      <c r="V33" s="76"/>
      <c r="W33" s="68" t="s">
        <v>135</v>
      </c>
      <c r="X33" s="75">
        <f>R40</f>
        <v>33485.238935464993</v>
      </c>
    </row>
    <row r="34" spans="8:24" ht="15.75">
      <c r="H34" s="38" t="s">
        <v>94</v>
      </c>
      <c r="I34" s="63">
        <f>ONSV_AUX_2022!L32</f>
        <v>966590</v>
      </c>
      <c r="J34" s="10"/>
      <c r="K34" s="2" t="s">
        <v>2</v>
      </c>
      <c r="L34" s="66">
        <f>I41/L31</f>
        <v>0.23189520327289548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4.7637104801630567E-2</v>
      </c>
      <c r="M35" s="22"/>
      <c r="N35" s="30" t="s">
        <v>136</v>
      </c>
      <c r="O35" s="63">
        <f>IF(O33*I30&gt;J47,J47,O33*I30)</f>
        <v>25806.321866321898</v>
      </c>
      <c r="P35" s="79"/>
      <c r="Q35" s="68" t="s">
        <v>137</v>
      </c>
      <c r="R35" s="63">
        <f>I31-I39-I40-I43-I46</f>
        <v>144896</v>
      </c>
      <c r="S35" s="80"/>
      <c r="T35" s="68" t="s">
        <v>138</v>
      </c>
      <c r="U35" s="70">
        <f>O43</f>
        <v>802641.85858996131</v>
      </c>
      <c r="V35" s="79"/>
      <c r="W35" s="68" t="s">
        <v>139</v>
      </c>
      <c r="X35" s="70">
        <f>I39</f>
        <v>87736</v>
      </c>
    </row>
    <row r="36" spans="8:24" ht="15.75">
      <c r="H36" s="26" t="s">
        <v>140</v>
      </c>
      <c r="K36" s="2" t="s">
        <v>0</v>
      </c>
      <c r="L36" s="66">
        <f>I47/L31</f>
        <v>2.1130639590855375E-2</v>
      </c>
      <c r="O36" s="51"/>
      <c r="P36" s="79"/>
      <c r="Q36" s="68" t="s">
        <v>141</v>
      </c>
      <c r="R36" s="63">
        <f>R32*R35</f>
        <v>120203.23376885364</v>
      </c>
      <c r="S36" s="51"/>
      <c r="T36" s="68" t="s">
        <v>142</v>
      </c>
      <c r="U36" s="70">
        <f>O41</f>
        <v>49166</v>
      </c>
      <c r="V36" s="69"/>
      <c r="W36" s="68" t="s">
        <v>143</v>
      </c>
      <c r="X36" s="70">
        <f>I40</f>
        <v>47161</v>
      </c>
    </row>
    <row r="37" spans="8:24" ht="15.75">
      <c r="K37" s="11"/>
      <c r="L37" s="11"/>
      <c r="M37" s="11"/>
      <c r="N37" s="30" t="s">
        <v>144</v>
      </c>
      <c r="O37" s="63">
        <f>J47-O35</f>
        <v>0</v>
      </c>
      <c r="P37" s="79"/>
      <c r="Q37" s="68" t="s">
        <v>126</v>
      </c>
      <c r="R37" s="63">
        <f>R33*R35</f>
        <v>24692.766231146376</v>
      </c>
      <c r="S37" s="51"/>
      <c r="T37" s="68" t="s">
        <v>145</v>
      </c>
      <c r="U37" s="70">
        <f>O42</f>
        <v>2275</v>
      </c>
      <c r="V37" s="74"/>
      <c r="W37" s="51"/>
      <c r="X37" s="65"/>
    </row>
    <row r="38" spans="8:24" ht="15.75">
      <c r="H38" s="39" t="s">
        <v>104</v>
      </c>
      <c r="I38" s="63">
        <f>ONSV_AUX_2022!L56</f>
        <v>855727</v>
      </c>
      <c r="J38" s="64">
        <f>I38-(L33*I32)</f>
        <v>854082.85858996131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1644.1414100386901</v>
      </c>
      <c r="V38" s="74"/>
      <c r="W38" s="68" t="s">
        <v>147</v>
      </c>
      <c r="X38" s="70">
        <f>I46</f>
        <v>14264</v>
      </c>
    </row>
    <row r="39" spans="8:24" ht="15.75">
      <c r="H39" s="39" t="s">
        <v>105</v>
      </c>
      <c r="I39" s="63">
        <f>ONSV_AUX_2022!L57</f>
        <v>87736</v>
      </c>
      <c r="J39" s="10">
        <f>I39</f>
        <v>87736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163004.5806082518</v>
      </c>
      <c r="S39" s="51"/>
      <c r="T39" s="68" t="s">
        <v>150</v>
      </c>
      <c r="U39" s="75">
        <f>O44</f>
        <v>0</v>
      </c>
      <c r="V39" s="51"/>
      <c r="W39" s="68" t="s">
        <v>151</v>
      </c>
      <c r="X39" s="70">
        <f>I43</f>
        <v>4430</v>
      </c>
    </row>
    <row r="40" spans="8:24" ht="15.75">
      <c r="H40" s="39" t="s">
        <v>106</v>
      </c>
      <c r="I40" s="63">
        <f>ONSV_AUX_2022!L58</f>
        <v>47161</v>
      </c>
      <c r="J40" s="10">
        <f>I40</f>
        <v>47161</v>
      </c>
      <c r="K40" s="11"/>
      <c r="L40" s="11"/>
      <c r="M40" s="11"/>
      <c r="O40" s="76"/>
      <c r="P40" s="79"/>
      <c r="Q40" s="68" t="s">
        <v>135</v>
      </c>
      <c r="R40" s="63">
        <f>J42-R37</f>
        <v>33485.238935464993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ONSV_AUX_2022!L59</f>
        <v>283753</v>
      </c>
      <c r="J41" s="64">
        <f>I41-(L34*I32)</f>
        <v>283207.81437710545</v>
      </c>
      <c r="K41" s="11"/>
      <c r="L41" s="11"/>
      <c r="M41" s="11"/>
      <c r="N41" s="30" t="s">
        <v>142</v>
      </c>
      <c r="O41" s="63">
        <f>I29</f>
        <v>49166</v>
      </c>
      <c r="P41" s="79"/>
      <c r="Q41" s="51"/>
      <c r="R41" s="51"/>
      <c r="S41" s="80"/>
      <c r="T41" s="68" t="s">
        <v>141</v>
      </c>
      <c r="U41" s="71">
        <f>R36</f>
        <v>120203.23376885364</v>
      </c>
      <c r="V41" s="51"/>
      <c r="W41" s="68" t="s">
        <v>152</v>
      </c>
      <c r="X41" s="70">
        <f>I44</f>
        <v>701391</v>
      </c>
    </row>
    <row r="42" spans="8:24" ht="15.75">
      <c r="H42" s="39" t="s">
        <v>108</v>
      </c>
      <c r="I42" s="63">
        <f>ONSV_AUX_2022!L60</f>
        <v>58290</v>
      </c>
      <c r="J42" s="64">
        <f>I42-(L35*I32)</f>
        <v>58178.005166611365</v>
      </c>
      <c r="K42" s="11"/>
      <c r="L42" s="11"/>
      <c r="M42" s="11"/>
      <c r="N42" s="30" t="s">
        <v>145</v>
      </c>
      <c r="O42" s="63">
        <f>I33</f>
        <v>2275</v>
      </c>
      <c r="P42" s="79"/>
      <c r="Q42" s="51"/>
      <c r="R42" s="51"/>
      <c r="S42" s="51"/>
      <c r="T42" s="68" t="s">
        <v>153</v>
      </c>
      <c r="U42" s="71">
        <f>I41-J41</f>
        <v>545.1856228945544</v>
      </c>
      <c r="V42" s="51"/>
      <c r="W42" s="68" t="s">
        <v>154</v>
      </c>
      <c r="X42" s="70">
        <f>I45</f>
        <v>278195</v>
      </c>
    </row>
    <row r="43" spans="8:24" ht="15.75">
      <c r="H43" s="39" t="s">
        <v>109</v>
      </c>
      <c r="I43" s="63">
        <f>ONSV_AUX_2022!L61</f>
        <v>4430</v>
      </c>
      <c r="J43" s="10">
        <f>I43</f>
        <v>4430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802641.85858996131</v>
      </c>
      <c r="P43" s="79"/>
      <c r="Q43" s="51"/>
      <c r="R43" s="81"/>
      <c r="S43" s="51"/>
      <c r="T43" s="68" t="s">
        <v>149</v>
      </c>
      <c r="U43" s="75">
        <f>R39</f>
        <v>163004.5806082518</v>
      </c>
      <c r="V43" s="51"/>
      <c r="W43" s="51"/>
      <c r="X43" s="51"/>
    </row>
    <row r="44" spans="8:24" ht="15.75">
      <c r="H44" s="39" t="s">
        <v>110</v>
      </c>
      <c r="I44" s="63">
        <f>ONSV_AUX_2022!L62</f>
        <v>701391</v>
      </c>
      <c r="J44" s="10">
        <f>I44</f>
        <v>701391</v>
      </c>
      <c r="K44" s="11"/>
      <c r="L44" s="11"/>
      <c r="M44" s="11"/>
      <c r="N44" s="30" t="s">
        <v>150</v>
      </c>
      <c r="O44" s="63">
        <f>IF((J38-O41-O43-O42)&lt;0,0,(J38-O41-O43-O42))</f>
        <v>0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ONSV_AUX_2022!L63</f>
        <v>278195</v>
      </c>
      <c r="J45" s="10">
        <f>I45</f>
        <v>278195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2356803</v>
      </c>
    </row>
    <row r="46" spans="8:24" ht="15.75">
      <c r="H46" s="39" t="s">
        <v>112</v>
      </c>
      <c r="I46" s="63">
        <f>ONSV_AUX_2022!L64</f>
        <v>14264</v>
      </c>
      <c r="J46" s="10">
        <f>I46</f>
        <v>14264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ONSV_AUX_2022!L65</f>
        <v>25856</v>
      </c>
      <c r="J47" s="64">
        <f>I47-(L36*I32)</f>
        <v>25806.321866321898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3" customFormat="1" ht="15.75">
      <c r="A50" s="100" t="str">
        <f>"MATO GROSSO/"&amp;ONSV_AUX_2021!$A$1&amp;""</f>
        <v>MATO GROSSO/2021</v>
      </c>
      <c r="B50" s="101"/>
      <c r="C50" s="101"/>
      <c r="D50" s="101"/>
      <c r="E50" s="101"/>
      <c r="F50" s="101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ONSV_AUX_2021!L27</f>
        <v>48918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ONSV_AUX_2021!L28</f>
        <v>972679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ONSV_AUX_2021!L29</f>
        <v>275215</v>
      </c>
      <c r="J56" s="9"/>
      <c r="K56" s="2" t="s">
        <v>122</v>
      </c>
      <c r="L56" s="63">
        <f>I63+I66+I67+I72</f>
        <v>1161688</v>
      </c>
      <c r="N56" s="30" t="s">
        <v>123</v>
      </c>
      <c r="O56" s="63">
        <f>J63+J72</f>
        <v>843941.90767744859</v>
      </c>
      <c r="P56" s="67"/>
      <c r="Q56" s="68" t="s">
        <v>124</v>
      </c>
      <c r="R56" s="63">
        <f>J66+J67</f>
        <v>316371.09232255135</v>
      </c>
      <c r="S56" s="69"/>
      <c r="T56" s="68" t="s">
        <v>125</v>
      </c>
      <c r="U56" s="70">
        <f>O60</f>
        <v>21802.163889099309</v>
      </c>
      <c r="V56" s="51"/>
      <c r="W56" s="68" t="s">
        <v>126</v>
      </c>
      <c r="X56" s="71">
        <f>R62</f>
        <v>22223.483169479645</v>
      </c>
    </row>
    <row r="57" spans="1:24" ht="15.75">
      <c r="H57" s="38" t="s">
        <v>102</v>
      </c>
      <c r="I57" s="63">
        <f>ONSV_AUX_2021!L30</f>
        <v>1375</v>
      </c>
      <c r="J57" s="9"/>
      <c r="K57" s="29"/>
      <c r="L57" s="65"/>
      <c r="M57" s="22"/>
      <c r="N57" s="30" t="s">
        <v>127</v>
      </c>
      <c r="O57" s="72">
        <f>J63/O56</f>
        <v>0.97416627413479273</v>
      </c>
      <c r="P57" s="67"/>
      <c r="Q57" s="73" t="s">
        <v>128</v>
      </c>
      <c r="R57" s="66">
        <f>J66/R56</f>
        <v>0.83232621722136979</v>
      </c>
      <c r="S57" s="74"/>
      <c r="T57" s="68" t="s">
        <v>129</v>
      </c>
      <c r="U57" s="70">
        <f>I72-J72</f>
        <v>25.836110900690983</v>
      </c>
      <c r="V57" s="51"/>
      <c r="W57" s="68" t="s">
        <v>130</v>
      </c>
      <c r="X57" s="71">
        <f>I67-J67</f>
        <v>62.862188470571709</v>
      </c>
    </row>
    <row r="58" spans="1:24" ht="15.75">
      <c r="H58" s="38" t="s">
        <v>16</v>
      </c>
      <c r="I58" s="63">
        <f>ONSV_AUX_2021!L31</f>
        <v>1361</v>
      </c>
      <c r="J58" s="9"/>
      <c r="K58" s="2" t="s">
        <v>131</v>
      </c>
      <c r="L58" s="66">
        <f>I63/L56</f>
        <v>0.70854997210955095</v>
      </c>
      <c r="M58" s="22"/>
      <c r="N58" s="30" t="s">
        <v>132</v>
      </c>
      <c r="O58" s="72">
        <f>J72/O56</f>
        <v>2.5833725865207317E-2</v>
      </c>
      <c r="P58" s="67"/>
      <c r="Q58" s="73" t="s">
        <v>133</v>
      </c>
      <c r="R58" s="66">
        <f>J67/R56</f>
        <v>0.16767378277863018</v>
      </c>
      <c r="S58" s="74"/>
      <c r="T58" s="68" t="s">
        <v>134</v>
      </c>
      <c r="U58" s="75">
        <f>O62</f>
        <v>0</v>
      </c>
      <c r="V58" s="76"/>
      <c r="W58" s="68" t="s">
        <v>135</v>
      </c>
      <c r="X58" s="75">
        <f>R65</f>
        <v>30823.654642049783</v>
      </c>
    </row>
    <row r="59" spans="1:24" ht="15.75">
      <c r="H59" s="38" t="s">
        <v>94</v>
      </c>
      <c r="I59" s="63">
        <f>ONSV_AUX_2021!L32</f>
        <v>951195</v>
      </c>
      <c r="J59" s="10"/>
      <c r="K59" s="2" t="s">
        <v>2</v>
      </c>
      <c r="L59" s="66">
        <f>I66/L56</f>
        <v>0.22694217380226017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4.5717955251323938E-2</v>
      </c>
      <c r="M60" s="22"/>
      <c r="N60" s="30" t="s">
        <v>136</v>
      </c>
      <c r="O60" s="63">
        <f>IF(O58*I55&gt;J72,J72,O58*I55)</f>
        <v>21802.163889099309</v>
      </c>
      <c r="P60" s="79"/>
      <c r="Q60" s="68" t="s">
        <v>137</v>
      </c>
      <c r="R60" s="63">
        <f>I56-I64-I65-I68-I71</f>
        <v>132540</v>
      </c>
      <c r="S60" s="80"/>
      <c r="T60" s="68" t="s">
        <v>138</v>
      </c>
      <c r="U60" s="70">
        <f>O68</f>
        <v>771860.74378834933</v>
      </c>
      <c r="V60" s="79"/>
      <c r="W60" s="68" t="s">
        <v>139</v>
      </c>
      <c r="X60" s="70">
        <f>I64</f>
        <v>82259</v>
      </c>
    </row>
    <row r="61" spans="1:24" ht="15.75">
      <c r="H61" s="26" t="s">
        <v>140</v>
      </c>
      <c r="K61" s="2" t="s">
        <v>0</v>
      </c>
      <c r="L61" s="66">
        <f>I72/L56</f>
        <v>1.8789898836864976E-2</v>
      </c>
      <c r="O61" s="51"/>
      <c r="P61" s="79"/>
      <c r="Q61" s="68" t="s">
        <v>141</v>
      </c>
      <c r="R61" s="63">
        <f>R57*R60</f>
        <v>110316.51683052036</v>
      </c>
      <c r="S61" s="51"/>
      <c r="T61" s="68" t="s">
        <v>142</v>
      </c>
      <c r="U61" s="70">
        <f>O66</f>
        <v>48918</v>
      </c>
      <c r="V61" s="69"/>
      <c r="W61" s="68" t="s">
        <v>143</v>
      </c>
      <c r="X61" s="70">
        <f>I65</f>
        <v>42875</v>
      </c>
    </row>
    <row r="62" spans="1:24" ht="15.75">
      <c r="K62" s="11"/>
      <c r="L62" s="11"/>
      <c r="M62" s="11"/>
      <c r="N62" s="30" t="s">
        <v>144</v>
      </c>
      <c r="O62" s="63">
        <f>J72-O60</f>
        <v>0</v>
      </c>
      <c r="P62" s="79"/>
      <c r="Q62" s="68" t="s">
        <v>126</v>
      </c>
      <c r="R62" s="63">
        <f>R58*R60</f>
        <v>22223.483169479645</v>
      </c>
      <c r="S62" s="51"/>
      <c r="T62" s="68" t="s">
        <v>145</v>
      </c>
      <c r="U62" s="70">
        <f>O67</f>
        <v>1361</v>
      </c>
      <c r="V62" s="74"/>
      <c r="W62" s="51"/>
      <c r="X62" s="65"/>
    </row>
    <row r="63" spans="1:24" ht="15.75">
      <c r="H63" s="39" t="s">
        <v>104</v>
      </c>
      <c r="I63" s="63">
        <f>ONSV_AUX_2021!L56</f>
        <v>823114</v>
      </c>
      <c r="J63" s="64">
        <f>I63-(L58*I57)</f>
        <v>822139.74378834933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974.25621165067423</v>
      </c>
      <c r="V63" s="74"/>
      <c r="W63" s="68" t="s">
        <v>147</v>
      </c>
      <c r="X63" s="70">
        <f>I71</f>
        <v>13380</v>
      </c>
    </row>
    <row r="64" spans="1:24" ht="15.75">
      <c r="H64" s="39" t="s">
        <v>105</v>
      </c>
      <c r="I64" s="63">
        <f>ONSV_AUX_2021!L57</f>
        <v>82259</v>
      </c>
      <c r="J64" s="10">
        <f>I64</f>
        <v>82259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153007.43768050155</v>
      </c>
      <c r="S64" s="51"/>
      <c r="T64" s="68" t="s">
        <v>150</v>
      </c>
      <c r="U64" s="75">
        <f>O69</f>
        <v>0</v>
      </c>
      <c r="V64" s="51"/>
      <c r="W64" s="68" t="s">
        <v>151</v>
      </c>
      <c r="X64" s="70">
        <f>I68</f>
        <v>4161</v>
      </c>
    </row>
    <row r="65" spans="1:24" ht="15.75">
      <c r="H65" s="39" t="s">
        <v>106</v>
      </c>
      <c r="I65" s="63">
        <f>ONSV_AUX_2021!L58</f>
        <v>42875</v>
      </c>
      <c r="J65" s="10">
        <f>I65</f>
        <v>42875</v>
      </c>
      <c r="K65" s="11"/>
      <c r="L65" s="11"/>
      <c r="M65" s="11"/>
      <c r="O65" s="76"/>
      <c r="P65" s="79"/>
      <c r="Q65" s="68" t="s">
        <v>135</v>
      </c>
      <c r="R65" s="63">
        <f>J67-R62</f>
        <v>30823.654642049783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ONSV_AUX_2021!L59</f>
        <v>263636</v>
      </c>
      <c r="J66" s="64">
        <f>I66-(L59*I57)</f>
        <v>263323.9545110219</v>
      </c>
      <c r="K66" s="11"/>
      <c r="L66" s="11"/>
      <c r="M66" s="11"/>
      <c r="N66" s="30" t="s">
        <v>142</v>
      </c>
      <c r="O66" s="63">
        <f>I54</f>
        <v>48918</v>
      </c>
      <c r="P66" s="79"/>
      <c r="Q66" s="51"/>
      <c r="R66" s="51"/>
      <c r="S66" s="80"/>
      <c r="T66" s="68" t="s">
        <v>141</v>
      </c>
      <c r="U66" s="71">
        <f>R61</f>
        <v>110316.51683052036</v>
      </c>
      <c r="V66" s="51"/>
      <c r="W66" s="68" t="s">
        <v>152</v>
      </c>
      <c r="X66" s="70">
        <f>I69</f>
        <v>679438</v>
      </c>
    </row>
    <row r="67" spans="1:24" ht="15.75">
      <c r="H67" s="39" t="s">
        <v>108</v>
      </c>
      <c r="I67" s="63">
        <f>ONSV_AUX_2021!L60</f>
        <v>53110</v>
      </c>
      <c r="J67" s="64">
        <f>I67-(L60*I57)</f>
        <v>53047.137811529428</v>
      </c>
      <c r="K67" s="11"/>
      <c r="L67" s="11"/>
      <c r="M67" s="11"/>
      <c r="N67" s="30" t="s">
        <v>145</v>
      </c>
      <c r="O67" s="63">
        <f>I58</f>
        <v>1361</v>
      </c>
      <c r="P67" s="79"/>
      <c r="Q67" s="51"/>
      <c r="R67" s="51"/>
      <c r="S67" s="51"/>
      <c r="T67" s="68" t="s">
        <v>153</v>
      </c>
      <c r="U67" s="71">
        <f>I66-J66</f>
        <v>312.04548897809582</v>
      </c>
      <c r="V67" s="51"/>
      <c r="W67" s="68" t="s">
        <v>154</v>
      </c>
      <c r="X67" s="70">
        <f>I70</f>
        <v>263994</v>
      </c>
    </row>
    <row r="68" spans="1:24" ht="15.75">
      <c r="H68" s="39" t="s">
        <v>109</v>
      </c>
      <c r="I68" s="63">
        <f>ONSV_AUX_2021!L61</f>
        <v>4161</v>
      </c>
      <c r="J68" s="10">
        <f>I68</f>
        <v>4161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771860.74378834933</v>
      </c>
      <c r="P68" s="79"/>
      <c r="Q68" s="51"/>
      <c r="R68" s="81"/>
      <c r="S68" s="51"/>
      <c r="T68" s="68" t="s">
        <v>149</v>
      </c>
      <c r="U68" s="75">
        <f>R64</f>
        <v>153007.43768050155</v>
      </c>
      <c r="V68" s="51"/>
      <c r="W68" s="51"/>
      <c r="X68" s="51"/>
    </row>
    <row r="69" spans="1:24" ht="15.75">
      <c r="H69" s="39" t="s">
        <v>110</v>
      </c>
      <c r="I69" s="63">
        <f>ONSV_AUX_2021!L62</f>
        <v>679438</v>
      </c>
      <c r="J69" s="10">
        <f>I69</f>
        <v>679438</v>
      </c>
      <c r="K69" s="11"/>
      <c r="L69" s="11"/>
      <c r="M69" s="11"/>
      <c r="N69" s="30" t="s">
        <v>150</v>
      </c>
      <c r="O69" s="63">
        <f>IF((J63-O66-O68-O67)&lt;0,0,(J63-O66-O68-O67))</f>
        <v>0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ONSV_AUX_2021!L63</f>
        <v>263994</v>
      </c>
      <c r="J70" s="10">
        <f>I70</f>
        <v>263994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2247795</v>
      </c>
    </row>
    <row r="71" spans="1:24" ht="15.75">
      <c r="H71" s="39" t="s">
        <v>112</v>
      </c>
      <c r="I71" s="63">
        <f>ONSV_AUX_2021!L64</f>
        <v>13380</v>
      </c>
      <c r="J71" s="10">
        <f>I71</f>
        <v>13380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ONSV_AUX_2021!L65</f>
        <v>21828</v>
      </c>
      <c r="J72" s="64">
        <f>I72-(L61*I57)</f>
        <v>21802.163889099309</v>
      </c>
      <c r="K72" s="12"/>
      <c r="L72" s="12"/>
      <c r="M72" s="12"/>
      <c r="N72" s="12"/>
      <c r="O72" s="12"/>
      <c r="P72" s="12"/>
      <c r="Q72" s="4"/>
      <c r="R72" s="4"/>
    </row>
    <row r="75" spans="1:24" s="33" customFormat="1" ht="15.75">
      <c r="A75" s="100" t="str">
        <f>"MATO GROSSO/"&amp;ONSV_AUX_2020!$A$1&amp;""</f>
        <v>MATO GROSSO/2020</v>
      </c>
      <c r="B75" s="101"/>
      <c r="C75" s="101"/>
      <c r="D75" s="101"/>
      <c r="E75" s="101"/>
      <c r="F75" s="10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ONSV_AUX_2020!L27</f>
        <v>48646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ONSV_AUX_2020!L28</f>
        <v>895739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ONSV_AUX_2020!L29</f>
        <v>258187</v>
      </c>
      <c r="J81" s="9"/>
      <c r="K81" s="2" t="s">
        <v>122</v>
      </c>
      <c r="L81" s="63">
        <f>I88+I91+I92+I97</f>
        <v>1095406</v>
      </c>
      <c r="N81" s="30" t="s">
        <v>123</v>
      </c>
      <c r="O81" s="63">
        <f>J88+J97</f>
        <v>799978.27113965049</v>
      </c>
      <c r="P81" s="67"/>
      <c r="Q81" s="68" t="s">
        <v>124</v>
      </c>
      <c r="R81" s="63">
        <f>J91+J92</f>
        <v>294657.72886034951</v>
      </c>
      <c r="S81" s="69"/>
      <c r="T81" s="68" t="s">
        <v>125</v>
      </c>
      <c r="U81" s="70">
        <f>O85</f>
        <v>18667.868457905104</v>
      </c>
      <c r="V81" s="51"/>
      <c r="W81" s="68" t="s">
        <v>126</v>
      </c>
      <c r="X81" s="71">
        <f>R87</f>
        <v>20524.839791090835</v>
      </c>
    </row>
    <row r="82" spans="8:24" ht="15.75">
      <c r="H82" s="38" t="s">
        <v>102</v>
      </c>
      <c r="I82" s="63">
        <f>ONSV_AUX_2020!L30</f>
        <v>770</v>
      </c>
      <c r="J82" s="9"/>
      <c r="K82" s="29"/>
      <c r="L82" s="65"/>
      <c r="M82" s="22"/>
      <c r="N82" s="30" t="s">
        <v>127</v>
      </c>
      <c r="O82" s="72">
        <f>J88/O81</f>
        <v>0.9766645306111742</v>
      </c>
      <c r="P82" s="67"/>
      <c r="Q82" s="73" t="s">
        <v>128</v>
      </c>
      <c r="R82" s="66">
        <f>J91/R81</f>
        <v>0.8339884353856849</v>
      </c>
      <c r="S82" s="74"/>
      <c r="T82" s="68" t="s">
        <v>129</v>
      </c>
      <c r="U82" s="70">
        <f>I97-J97</f>
        <v>13.131542094895849</v>
      </c>
      <c r="V82" s="51"/>
      <c r="W82" s="68" t="s">
        <v>130</v>
      </c>
      <c r="X82" s="71">
        <f>I92-J92</f>
        <v>34.40940619277535</v>
      </c>
    </row>
    <row r="83" spans="8:24" ht="15.75">
      <c r="H83" s="38" t="s">
        <v>16</v>
      </c>
      <c r="I83" s="63">
        <f>ONSV_AUX_2020!L31</f>
        <v>1294</v>
      </c>
      <c r="J83" s="9"/>
      <c r="K83" s="2" t="s">
        <v>131</v>
      </c>
      <c r="L83" s="66">
        <f>I88/L81</f>
        <v>0.71376275098000197</v>
      </c>
      <c r="M83" s="22"/>
      <c r="N83" s="30" t="s">
        <v>132</v>
      </c>
      <c r="O83" s="72">
        <f>J97/O81</f>
        <v>2.3335469388825806E-2</v>
      </c>
      <c r="P83" s="67"/>
      <c r="Q83" s="73" t="s">
        <v>133</v>
      </c>
      <c r="R83" s="66">
        <f>J92/R81</f>
        <v>0.16601156461431502</v>
      </c>
      <c r="S83" s="74"/>
      <c r="T83" s="68" t="s">
        <v>134</v>
      </c>
      <c r="U83" s="75">
        <f>O87</f>
        <v>0</v>
      </c>
      <c r="V83" s="76"/>
      <c r="W83" s="68" t="s">
        <v>135</v>
      </c>
      <c r="X83" s="75">
        <f>R90</f>
        <v>28391.750802716389</v>
      </c>
    </row>
    <row r="84" spans="8:24" ht="15.75">
      <c r="H84" s="38" t="s">
        <v>94</v>
      </c>
      <c r="I84" s="63">
        <f>ONSV_AUX_2020!L32</f>
        <v>936765</v>
      </c>
      <c r="J84" s="10"/>
      <c r="K84" s="2" t="s">
        <v>2</v>
      </c>
      <c r="L84" s="66">
        <f>I91/L81</f>
        <v>0.22449575773731384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4.4687540510093972E-2</v>
      </c>
      <c r="M85" s="22"/>
      <c r="N85" s="30" t="s">
        <v>136</v>
      </c>
      <c r="O85" s="63">
        <f>IF(O83*I80&gt;J97,J97,O83*I80)</f>
        <v>18667.868457905104</v>
      </c>
      <c r="P85" s="79"/>
      <c r="Q85" s="68" t="s">
        <v>137</v>
      </c>
      <c r="R85" s="63">
        <f>I81-I89-I90-I93-I96</f>
        <v>123635</v>
      </c>
      <c r="S85" s="80"/>
      <c r="T85" s="68" t="s">
        <v>138</v>
      </c>
      <c r="U85" s="70">
        <f>O93</f>
        <v>731370.40268174536</v>
      </c>
      <c r="V85" s="79"/>
      <c r="W85" s="68" t="s">
        <v>139</v>
      </c>
      <c r="X85" s="70">
        <f>I89</f>
        <v>78274</v>
      </c>
    </row>
    <row r="86" spans="8:24" ht="15.75">
      <c r="H86" s="26" t="s">
        <v>140</v>
      </c>
      <c r="K86" s="2" t="s">
        <v>0</v>
      </c>
      <c r="L86" s="66">
        <f>I97/L81</f>
        <v>1.7053950772590254E-2</v>
      </c>
      <c r="O86" s="51"/>
      <c r="P86" s="79"/>
      <c r="Q86" s="68" t="s">
        <v>141</v>
      </c>
      <c r="R86" s="63">
        <f>R82*R85</f>
        <v>103110.16020890915</v>
      </c>
      <c r="S86" s="51"/>
      <c r="T86" s="68" t="s">
        <v>142</v>
      </c>
      <c r="U86" s="70">
        <f>O91</f>
        <v>48646</v>
      </c>
      <c r="V86" s="69"/>
      <c r="W86" s="68" t="s">
        <v>143</v>
      </c>
      <c r="X86" s="70">
        <f>I90</f>
        <v>39522</v>
      </c>
    </row>
    <row r="87" spans="8:24" ht="15.75">
      <c r="K87" s="11"/>
      <c r="L87" s="11"/>
      <c r="M87" s="11"/>
      <c r="N87" s="30" t="s">
        <v>144</v>
      </c>
      <c r="O87" s="63">
        <f>J97-O85</f>
        <v>0</v>
      </c>
      <c r="P87" s="79"/>
      <c r="Q87" s="68" t="s">
        <v>126</v>
      </c>
      <c r="R87" s="63">
        <f>R83*R85</f>
        <v>20524.839791090835</v>
      </c>
      <c r="S87" s="51"/>
      <c r="T87" s="68" t="s">
        <v>145</v>
      </c>
      <c r="U87" s="70">
        <f>O92</f>
        <v>1294</v>
      </c>
      <c r="V87" s="74"/>
      <c r="W87" s="51"/>
      <c r="X87" s="65"/>
    </row>
    <row r="88" spans="8:24" ht="15.75">
      <c r="H88" s="39" t="s">
        <v>104</v>
      </c>
      <c r="I88" s="63">
        <f>ONSV_AUX_2020!L56</f>
        <v>781860</v>
      </c>
      <c r="J88" s="64">
        <f>I88-(L83*I82)</f>
        <v>781310.40268174536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549.59731825464405</v>
      </c>
      <c r="V88" s="74"/>
      <c r="W88" s="68" t="s">
        <v>147</v>
      </c>
      <c r="X88" s="70">
        <f>I96</f>
        <v>12725</v>
      </c>
    </row>
    <row r="89" spans="8:24" ht="15.75">
      <c r="H89" s="39" t="s">
        <v>105</v>
      </c>
      <c r="I89" s="63">
        <f>ONSV_AUX_2020!L57</f>
        <v>78274</v>
      </c>
      <c r="J89" s="10">
        <f>I89</f>
        <v>78274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142630.9780576331</v>
      </c>
      <c r="S89" s="51"/>
      <c r="T89" s="68" t="s">
        <v>150</v>
      </c>
      <c r="U89" s="75">
        <f>O94</f>
        <v>0</v>
      </c>
      <c r="V89" s="51"/>
      <c r="W89" s="68" t="s">
        <v>151</v>
      </c>
      <c r="X89" s="70">
        <f>I93</f>
        <v>4031</v>
      </c>
    </row>
    <row r="90" spans="8:24" ht="15.75">
      <c r="H90" s="39" t="s">
        <v>106</v>
      </c>
      <c r="I90" s="63">
        <f>ONSV_AUX_2020!L58</f>
        <v>39522</v>
      </c>
      <c r="J90" s="10">
        <f>I90</f>
        <v>39522</v>
      </c>
      <c r="K90" s="11"/>
      <c r="L90" s="11"/>
      <c r="M90" s="11"/>
      <c r="O90" s="76"/>
      <c r="P90" s="79"/>
      <c r="Q90" s="68" t="s">
        <v>135</v>
      </c>
      <c r="R90" s="63">
        <f>J92-R87</f>
        <v>28391.750802716389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ONSV_AUX_2020!L59</f>
        <v>245914</v>
      </c>
      <c r="J91" s="64">
        <f>I91-(L84*I82)</f>
        <v>245741.13826654226</v>
      </c>
      <c r="K91" s="11"/>
      <c r="L91" s="11"/>
      <c r="M91" s="11"/>
      <c r="N91" s="30" t="s">
        <v>142</v>
      </c>
      <c r="O91" s="63">
        <f>I79</f>
        <v>48646</v>
      </c>
      <c r="P91" s="79"/>
      <c r="Q91" s="51"/>
      <c r="R91" s="51"/>
      <c r="S91" s="80"/>
      <c r="T91" s="68" t="s">
        <v>141</v>
      </c>
      <c r="U91" s="71">
        <f>R86</f>
        <v>103110.16020890915</v>
      </c>
      <c r="V91" s="51"/>
      <c r="W91" s="68" t="s">
        <v>152</v>
      </c>
      <c r="X91" s="70">
        <f>I94</f>
        <v>657936</v>
      </c>
    </row>
    <row r="92" spans="8:24" ht="15.75">
      <c r="H92" s="39" t="s">
        <v>108</v>
      </c>
      <c r="I92" s="63">
        <f>ONSV_AUX_2020!L60</f>
        <v>48951</v>
      </c>
      <c r="J92" s="64">
        <f>I92-(L85*I82)</f>
        <v>48916.590593807225</v>
      </c>
      <c r="K92" s="11"/>
      <c r="L92" s="11"/>
      <c r="M92" s="11"/>
      <c r="N92" s="30" t="s">
        <v>145</v>
      </c>
      <c r="O92" s="63">
        <f>I83</f>
        <v>1294</v>
      </c>
      <c r="P92" s="79"/>
      <c r="Q92" s="51"/>
      <c r="R92" s="51"/>
      <c r="S92" s="51"/>
      <c r="T92" s="68" t="s">
        <v>153</v>
      </c>
      <c r="U92" s="71">
        <f>I91-J91</f>
        <v>172.86173345774296</v>
      </c>
      <c r="V92" s="51"/>
      <c r="W92" s="68" t="s">
        <v>154</v>
      </c>
      <c r="X92" s="70">
        <f>I95</f>
        <v>250185</v>
      </c>
    </row>
    <row r="93" spans="8:24" ht="15.75">
      <c r="H93" s="39" t="s">
        <v>109</v>
      </c>
      <c r="I93" s="63">
        <f>ONSV_AUX_2020!L61</f>
        <v>4031</v>
      </c>
      <c r="J93" s="10">
        <f>I93</f>
        <v>4031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731370.40268174536</v>
      </c>
      <c r="P93" s="79"/>
      <c r="Q93" s="51"/>
      <c r="R93" s="81"/>
      <c r="S93" s="51"/>
      <c r="T93" s="68" t="s">
        <v>149</v>
      </c>
      <c r="U93" s="75">
        <f>R89</f>
        <v>142630.9780576331</v>
      </c>
      <c r="V93" s="51"/>
      <c r="W93" s="51"/>
      <c r="X93" s="51"/>
    </row>
    <row r="94" spans="8:24" ht="15.75">
      <c r="H94" s="39" t="s">
        <v>110</v>
      </c>
      <c r="I94" s="63">
        <f>ONSV_AUX_2020!L62</f>
        <v>657936</v>
      </c>
      <c r="J94" s="10">
        <f>I94</f>
        <v>657936</v>
      </c>
      <c r="K94" s="11"/>
      <c r="L94" s="11"/>
      <c r="M94" s="11"/>
      <c r="N94" s="30" t="s">
        <v>150</v>
      </c>
      <c r="O94" s="63">
        <f>IF((J88-O91-O93-O92)&lt;0,0,(J88-O91-O93-O92))</f>
        <v>0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ONSV_AUX_2020!L63</f>
        <v>250185</v>
      </c>
      <c r="J95" s="10">
        <f>I95</f>
        <v>250185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2138079</v>
      </c>
    </row>
    <row r="96" spans="8:24" ht="15.75">
      <c r="H96" s="39" t="s">
        <v>112</v>
      </c>
      <c r="I96" s="63">
        <f>ONSV_AUX_2020!L64</f>
        <v>12725</v>
      </c>
      <c r="J96" s="10">
        <f>I96</f>
        <v>12725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ONSV_AUX_2020!L65</f>
        <v>18681</v>
      </c>
      <c r="J97" s="64">
        <f>I97-(L86*I82)</f>
        <v>18667.868457905104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3" customFormat="1" ht="15.75">
      <c r="A100" s="100" t="str">
        <f>"MATO GROSSO/"&amp;ONSV_AUX_2019!$A$1&amp;""</f>
        <v>MATO GROSSO/2019</v>
      </c>
      <c r="B100" s="101"/>
      <c r="C100" s="101"/>
      <c r="D100" s="101"/>
      <c r="E100" s="101"/>
      <c r="F100" s="10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ONSV_AUX_2019!L27</f>
        <v>48431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ONSV_AUX_2019!L28</f>
        <v>825457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ONSV_AUX_2019!L29</f>
        <v>243133</v>
      </c>
      <c r="J106" s="9"/>
      <c r="K106" s="2" t="s">
        <v>122</v>
      </c>
      <c r="L106" s="63">
        <f>I113+I116+I117+I122</f>
        <v>1037172</v>
      </c>
      <c r="N106" s="30" t="s">
        <v>123</v>
      </c>
      <c r="O106" s="63">
        <f>J113+J122</f>
        <v>760063.62540639355</v>
      </c>
      <c r="P106" s="67"/>
      <c r="Q106" s="68" t="s">
        <v>124</v>
      </c>
      <c r="R106" s="63">
        <f>J116+J117</f>
        <v>276746.37459360645</v>
      </c>
      <c r="S106" s="69"/>
      <c r="T106" s="68" t="s">
        <v>125</v>
      </c>
      <c r="U106" s="70">
        <f>O110</f>
        <v>16860.113327394105</v>
      </c>
      <c r="V106" s="51"/>
      <c r="W106" s="68" t="s">
        <v>126</v>
      </c>
      <c r="X106" s="71">
        <f>R112</f>
        <v>19176.382191350334</v>
      </c>
    </row>
    <row r="107" spans="1:24" ht="15.75">
      <c r="H107" s="38" t="s">
        <v>102</v>
      </c>
      <c r="I107" s="63">
        <f>ONSV_AUX_2019!L30</f>
        <v>362</v>
      </c>
      <c r="J107" s="9"/>
      <c r="K107" s="29"/>
      <c r="L107" s="65"/>
      <c r="M107" s="22"/>
      <c r="N107" s="30" t="s">
        <v>127</v>
      </c>
      <c r="O107" s="72">
        <f>J113/O106</f>
        <v>0.97781749742545654</v>
      </c>
      <c r="P107" s="67"/>
      <c r="Q107" s="73" t="s">
        <v>128</v>
      </c>
      <c r="R107" s="66">
        <f>J116/R106</f>
        <v>0.83465357621467762</v>
      </c>
      <c r="S107" s="74"/>
      <c r="T107" s="68" t="s">
        <v>129</v>
      </c>
      <c r="U107" s="70">
        <f>I122-J122</f>
        <v>5.8866726058950007</v>
      </c>
      <c r="V107" s="51"/>
      <c r="W107" s="68" t="s">
        <v>130</v>
      </c>
      <c r="X107" s="71">
        <f>I117-J117</f>
        <v>15.976665393973235</v>
      </c>
    </row>
    <row r="108" spans="1:24" ht="15.75">
      <c r="H108" s="38" t="s">
        <v>16</v>
      </c>
      <c r="I108" s="63">
        <f>ONSV_AUX_2019!L31</f>
        <v>1332</v>
      </c>
      <c r="J108" s="9"/>
      <c r="K108" s="2" t="s">
        <v>131</v>
      </c>
      <c r="L108" s="66">
        <f>I113/L106</f>
        <v>0.71681746132753299</v>
      </c>
      <c r="M108" s="22"/>
      <c r="N108" s="30" t="s">
        <v>132</v>
      </c>
      <c r="O108" s="72">
        <f>J122/O106</f>
        <v>2.2182502574543385E-2</v>
      </c>
      <c r="P108" s="67"/>
      <c r="Q108" s="73" t="s">
        <v>133</v>
      </c>
      <c r="R108" s="66">
        <f>J117/R106</f>
        <v>0.16534642378532238</v>
      </c>
      <c r="S108" s="74"/>
      <c r="T108" s="68" t="s">
        <v>134</v>
      </c>
      <c r="U108" s="75">
        <f>O112</f>
        <v>0</v>
      </c>
      <c r="V108" s="76"/>
      <c r="W108" s="68" t="s">
        <v>135</v>
      </c>
      <c r="X108" s="75">
        <f>R115</f>
        <v>26582.641143255692</v>
      </c>
    </row>
    <row r="109" spans="1:24" ht="15.75">
      <c r="H109" s="38" t="s">
        <v>94</v>
      </c>
      <c r="I109" s="63">
        <f>ONSV_AUX_2019!L32</f>
        <v>921003</v>
      </c>
      <c r="J109" s="10"/>
      <c r="K109" s="2" t="s">
        <v>2</v>
      </c>
      <c r="L109" s="66">
        <f>I116/L106</f>
        <v>0.22278657734686244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4.4134434789986618E-2</v>
      </c>
      <c r="M110" s="22"/>
      <c r="N110" s="30" t="s">
        <v>136</v>
      </c>
      <c r="O110" s="63">
        <f>IF(O108*I105&gt;J122,J122,O108*I105)</f>
        <v>16860.113327394105</v>
      </c>
      <c r="P110" s="79"/>
      <c r="Q110" s="68" t="s">
        <v>137</v>
      </c>
      <c r="R110" s="63">
        <f>I106-I114-I115-I118-I121</f>
        <v>115977</v>
      </c>
      <c r="S110" s="80"/>
      <c r="T110" s="68" t="s">
        <v>138</v>
      </c>
      <c r="U110" s="70">
        <f>O118</f>
        <v>693440.51207899943</v>
      </c>
      <c r="V110" s="79"/>
      <c r="W110" s="68" t="s">
        <v>139</v>
      </c>
      <c r="X110" s="70">
        <f>I114</f>
        <v>75047</v>
      </c>
    </row>
    <row r="111" spans="1:24" ht="15.75">
      <c r="H111" s="26" t="s">
        <v>140</v>
      </c>
      <c r="K111" s="2" t="s">
        <v>0</v>
      </c>
      <c r="L111" s="66">
        <f>I122/L106</f>
        <v>1.6261526535618007E-2</v>
      </c>
      <c r="O111" s="51"/>
      <c r="P111" s="79"/>
      <c r="Q111" s="68" t="s">
        <v>141</v>
      </c>
      <c r="R111" s="63">
        <f>R107*R110</f>
        <v>96800.617808649666</v>
      </c>
      <c r="S111" s="51"/>
      <c r="T111" s="68" t="s">
        <v>142</v>
      </c>
      <c r="U111" s="70">
        <f>O116</f>
        <v>48431</v>
      </c>
      <c r="V111" s="69"/>
      <c r="W111" s="68" t="s">
        <v>143</v>
      </c>
      <c r="X111" s="70">
        <f>I115</f>
        <v>36038</v>
      </c>
    </row>
    <row r="112" spans="1:24" ht="15.75">
      <c r="K112" s="11"/>
      <c r="L112" s="11"/>
      <c r="M112" s="11"/>
      <c r="N112" s="30" t="s">
        <v>144</v>
      </c>
      <c r="O112" s="63">
        <f>J122-O110</f>
        <v>0</v>
      </c>
      <c r="P112" s="79"/>
      <c r="Q112" s="68" t="s">
        <v>126</v>
      </c>
      <c r="R112" s="63">
        <f>R108*R110</f>
        <v>19176.382191350334</v>
      </c>
      <c r="S112" s="51"/>
      <c r="T112" s="68" t="s">
        <v>145</v>
      </c>
      <c r="U112" s="70">
        <f>O117</f>
        <v>1332</v>
      </c>
      <c r="V112" s="74"/>
      <c r="W112" s="51"/>
      <c r="X112" s="65"/>
    </row>
    <row r="113" spans="8:24" ht="15.75">
      <c r="H113" s="39" t="s">
        <v>104</v>
      </c>
      <c r="I113" s="63">
        <f>ONSV_AUX_2019!L56</f>
        <v>743463</v>
      </c>
      <c r="J113" s="64">
        <f>I113-(L108*I107)</f>
        <v>743203.51207899943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259.48792100057472</v>
      </c>
      <c r="V113" s="74"/>
      <c r="W113" s="68" t="s">
        <v>147</v>
      </c>
      <c r="X113" s="70">
        <f>I121</f>
        <v>12291</v>
      </c>
    </row>
    <row r="114" spans="8:24" ht="15.75">
      <c r="H114" s="39" t="s">
        <v>105</v>
      </c>
      <c r="I114" s="63">
        <f>ONSV_AUX_2019!L57</f>
        <v>75047</v>
      </c>
      <c r="J114" s="10">
        <f>I114</f>
        <v>75047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134186.73345035076</v>
      </c>
      <c r="S114" s="51"/>
      <c r="T114" s="68" t="s">
        <v>150</v>
      </c>
      <c r="U114" s="75">
        <f>O119</f>
        <v>0</v>
      </c>
      <c r="V114" s="51"/>
      <c r="W114" s="68" t="s">
        <v>151</v>
      </c>
      <c r="X114" s="70">
        <f>I118</f>
        <v>3780</v>
      </c>
    </row>
    <row r="115" spans="8:24" ht="15.75">
      <c r="H115" s="39" t="s">
        <v>106</v>
      </c>
      <c r="I115" s="63">
        <f>ONSV_AUX_2019!L58</f>
        <v>36038</v>
      </c>
      <c r="J115" s="10">
        <f>I115</f>
        <v>36038</v>
      </c>
      <c r="K115" s="11"/>
      <c r="L115" s="11"/>
      <c r="M115" s="11"/>
      <c r="O115" s="76"/>
      <c r="P115" s="79"/>
      <c r="Q115" s="68" t="s">
        <v>135</v>
      </c>
      <c r="R115" s="63">
        <f>J117-R112</f>
        <v>26582.641143255692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ONSV_AUX_2019!L59</f>
        <v>231068</v>
      </c>
      <c r="J116" s="64">
        <f>I116-(L109*I107)</f>
        <v>230987.35125900042</v>
      </c>
      <c r="K116" s="11"/>
      <c r="L116" s="11"/>
      <c r="M116" s="11"/>
      <c r="N116" s="30" t="s">
        <v>142</v>
      </c>
      <c r="O116" s="63">
        <f>I104</f>
        <v>48431</v>
      </c>
      <c r="P116" s="79"/>
      <c r="Q116" s="51"/>
      <c r="R116" s="51"/>
      <c r="S116" s="80"/>
      <c r="T116" s="68" t="s">
        <v>141</v>
      </c>
      <c r="U116" s="71">
        <f>R111</f>
        <v>96800.617808649666</v>
      </c>
      <c r="V116" s="51"/>
      <c r="W116" s="68" t="s">
        <v>152</v>
      </c>
      <c r="X116" s="70">
        <f>I119</f>
        <v>635742</v>
      </c>
    </row>
    <row r="117" spans="8:24" ht="15.75">
      <c r="H117" s="39" t="s">
        <v>108</v>
      </c>
      <c r="I117" s="63">
        <f>ONSV_AUX_2019!L60</f>
        <v>45775</v>
      </c>
      <c r="J117" s="64">
        <f>I117-(L110*I107)</f>
        <v>45759.023334606027</v>
      </c>
      <c r="K117" s="11"/>
      <c r="L117" s="11"/>
      <c r="M117" s="11"/>
      <c r="N117" s="30" t="s">
        <v>145</v>
      </c>
      <c r="O117" s="63">
        <f>I108</f>
        <v>1332</v>
      </c>
      <c r="P117" s="79"/>
      <c r="Q117" s="51"/>
      <c r="R117" s="51"/>
      <c r="S117" s="51"/>
      <c r="T117" s="68" t="s">
        <v>153</v>
      </c>
      <c r="U117" s="71">
        <f>I116-J116</f>
        <v>80.648740999575239</v>
      </c>
      <c r="V117" s="51"/>
      <c r="W117" s="68" t="s">
        <v>154</v>
      </c>
      <c r="X117" s="70">
        <f>I120</f>
        <v>236064</v>
      </c>
    </row>
    <row r="118" spans="8:24" ht="15.75">
      <c r="H118" s="39" t="s">
        <v>109</v>
      </c>
      <c r="I118" s="63">
        <f>ONSV_AUX_2019!L61</f>
        <v>3780</v>
      </c>
      <c r="J118" s="10">
        <f>I118</f>
        <v>3780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693440.51207899943</v>
      </c>
      <c r="P118" s="79"/>
      <c r="Q118" s="51"/>
      <c r="R118" s="81"/>
      <c r="S118" s="51"/>
      <c r="T118" s="68" t="s">
        <v>149</v>
      </c>
      <c r="U118" s="75">
        <f>R114</f>
        <v>134186.73345035076</v>
      </c>
      <c r="V118" s="51"/>
      <c r="W118" s="51"/>
      <c r="X118" s="51"/>
    </row>
    <row r="119" spans="8:24" ht="15.75">
      <c r="H119" s="39" t="s">
        <v>110</v>
      </c>
      <c r="I119" s="63">
        <f>ONSV_AUX_2019!L62</f>
        <v>635742</v>
      </c>
      <c r="J119" s="10">
        <f>I119</f>
        <v>635742</v>
      </c>
      <c r="K119" s="11"/>
      <c r="L119" s="11"/>
      <c r="M119" s="11"/>
      <c r="N119" s="30" t="s">
        <v>150</v>
      </c>
      <c r="O119" s="63">
        <f>IF((J113-O116-O118-O117)&lt;0,0,(J113-O116-O118-O117))</f>
        <v>0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ONSV_AUX_2019!L63</f>
        <v>236064</v>
      </c>
      <c r="J120" s="10">
        <f>I120</f>
        <v>236064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2036134</v>
      </c>
    </row>
    <row r="121" spans="8:24" ht="15.75">
      <c r="H121" s="39" t="s">
        <v>112</v>
      </c>
      <c r="I121" s="63">
        <f>ONSV_AUX_2019!L64</f>
        <v>12291</v>
      </c>
      <c r="J121" s="10">
        <f>I121</f>
        <v>12291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ONSV_AUX_2019!L65</f>
        <v>16866</v>
      </c>
      <c r="J122" s="64">
        <f>I122-(L111*I107)</f>
        <v>16860.113327394105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T4:X4"/>
    <mergeCell ref="K5:L5"/>
    <mergeCell ref="A75:F75"/>
    <mergeCell ref="K29:L29"/>
    <mergeCell ref="A25:F25"/>
    <mergeCell ref="A50:F50"/>
    <mergeCell ref="T27:X27"/>
    <mergeCell ref="T52:X52"/>
    <mergeCell ref="K104:L104"/>
    <mergeCell ref="K54:L54"/>
    <mergeCell ref="K79:L79"/>
    <mergeCell ref="A1:F1"/>
    <mergeCell ref="Q4:R4"/>
    <mergeCell ref="A100:F10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A1:X122"/>
  <sheetViews>
    <sheetView showGridLines="0" topLeftCell="A91" zoomScale="90" zoomScaleNormal="90" workbookViewId="0">
      <selection activeCell="A76" sqref="A76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</cols>
  <sheetData>
    <row r="1" spans="1:24" s="33" customFormat="1" ht="15.75">
      <c r="A1" s="100" t="str">
        <f>"MATO GROSSO DO SUL/"&amp;ONSV_AUX_2023!$A$1&amp;""</f>
        <v>MATO GROSSO DO SUL/2023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ONSV_AUX_2023!M27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ONSV_AUX_2023!M28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ONSV_AUX_2023!M29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ONSV_AUX_2023!M30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ONSV_AUX_2023!M31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ONSV_AUX_2023!M32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ONSV_AUX_2023!M56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ONSV_AUX_2023!M57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ONSV_AUX_2023!M58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ONSV_AUX_2023!M59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ONSV_AUX_2023!M60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ONSV_AUX_2023!M61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ONSV_AUX_2023!M62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ONSV_AUX_2023!M63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ONSV_AUX_2023!M64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ONSV_AUX_2023!M65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6" customFormat="1" ht="15.75">
      <c r="A25" s="100" t="str">
        <f>"MATO GROSSO DO SUL/"&amp;ONSV_AUX_2022!$A$1&amp;""</f>
        <v>MATO GROSSO DO SUL/2022</v>
      </c>
      <c r="B25" s="101"/>
      <c r="C25" s="101"/>
      <c r="D25" s="101"/>
      <c r="E25" s="101"/>
      <c r="F25" s="10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5.75">
      <c r="A26" s="3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ONSV_AUX_2022!M27</f>
        <v>54600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ONSV_AUX_2022!M28</f>
        <v>709327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ONSV_AUX_2022!M29</f>
        <v>195777</v>
      </c>
      <c r="J31" s="9"/>
      <c r="K31" s="2" t="s">
        <v>122</v>
      </c>
      <c r="L31" s="63">
        <f>I38+I41+I42+I47</f>
        <v>1073438</v>
      </c>
      <c r="N31" s="30" t="s">
        <v>123</v>
      </c>
      <c r="O31" s="63">
        <f>J38+J47</f>
        <v>836453.14483183937</v>
      </c>
      <c r="P31" s="67"/>
      <c r="Q31" s="68" t="s">
        <v>124</v>
      </c>
      <c r="R31" s="63">
        <f>J41+J42</f>
        <v>235353.8551681606</v>
      </c>
      <c r="S31" s="69"/>
      <c r="T31" s="68" t="s">
        <v>125</v>
      </c>
      <c r="U31" s="70">
        <f>O35</f>
        <v>16972.685239565206</v>
      </c>
      <c r="V31" s="51"/>
      <c r="W31" s="68" t="s">
        <v>126</v>
      </c>
      <c r="X31" s="71">
        <f>R37</f>
        <v>19901.853885249795</v>
      </c>
    </row>
    <row r="32" spans="1:24" ht="15.75">
      <c r="H32" s="38" t="s">
        <v>102</v>
      </c>
      <c r="I32" s="63">
        <f>ONSV_AUX_2022!M30</f>
        <v>1631</v>
      </c>
      <c r="J32" s="9"/>
      <c r="K32" s="29"/>
      <c r="L32" s="65"/>
      <c r="M32" s="22"/>
      <c r="N32" s="30" t="s">
        <v>127</v>
      </c>
      <c r="O32" s="72">
        <f>J38/O31</f>
        <v>0.9760721285957461</v>
      </c>
      <c r="P32" s="67"/>
      <c r="Q32" s="73" t="s">
        <v>128</v>
      </c>
      <c r="R32" s="66">
        <f>J41/R31</f>
        <v>0.79654408770024432</v>
      </c>
      <c r="S32" s="74"/>
      <c r="T32" s="68" t="s">
        <v>129</v>
      </c>
      <c r="U32" s="70">
        <f>I47-J47</f>
        <v>30.456714779986214</v>
      </c>
      <c r="V32" s="51"/>
      <c r="W32" s="68" t="s">
        <v>130</v>
      </c>
      <c r="X32" s="71">
        <f>I42-J42</f>
        <v>72.866683497326449</v>
      </c>
    </row>
    <row r="33" spans="8:24" ht="15.75">
      <c r="H33" s="38" t="s">
        <v>16</v>
      </c>
      <c r="I33" s="63">
        <f>ONSV_AUX_2022!M31</f>
        <v>5070</v>
      </c>
      <c r="J33" s="9"/>
      <c r="K33" s="2" t="s">
        <v>131</v>
      </c>
      <c r="L33" s="66">
        <f>I38/L31</f>
        <v>0.76174031476433668</v>
      </c>
      <c r="M33" s="22"/>
      <c r="N33" s="30" t="s">
        <v>132</v>
      </c>
      <c r="O33" s="72">
        <f>J47/O31</f>
        <v>2.3927871404253898E-2</v>
      </c>
      <c r="P33" s="67"/>
      <c r="Q33" s="73" t="s">
        <v>133</v>
      </c>
      <c r="R33" s="66">
        <f>J42/R31</f>
        <v>0.20345591229975563</v>
      </c>
      <c r="S33" s="74"/>
      <c r="T33" s="68" t="s">
        <v>134</v>
      </c>
      <c r="U33" s="75">
        <f>O37</f>
        <v>3041.8580456548079</v>
      </c>
      <c r="V33" s="76"/>
      <c r="W33" s="68" t="s">
        <v>135</v>
      </c>
      <c r="X33" s="75">
        <f>R40</f>
        <v>27982.279431252879</v>
      </c>
    </row>
    <row r="34" spans="8:24" ht="15.75">
      <c r="H34" s="38" t="s">
        <v>94</v>
      </c>
      <c r="I34" s="63">
        <f>ONSV_AUX_2022!M32</f>
        <v>738163</v>
      </c>
      <c r="J34" s="10"/>
      <c r="K34" s="2" t="s">
        <v>2</v>
      </c>
      <c r="L34" s="66">
        <f>I41/L31</f>
        <v>0.17490996219623303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4.4676078171259077E-2</v>
      </c>
      <c r="M35" s="22"/>
      <c r="N35" s="30" t="s">
        <v>136</v>
      </c>
      <c r="O35" s="63">
        <f>IF(O33*I30&gt;J47,J47,O33*I30)</f>
        <v>16972.685239565206</v>
      </c>
      <c r="P35" s="79"/>
      <c r="Q35" s="68" t="s">
        <v>137</v>
      </c>
      <c r="R35" s="63">
        <f>I31-I39-I40-I43-I46</f>
        <v>97819</v>
      </c>
      <c r="S35" s="80"/>
      <c r="T35" s="68" t="s">
        <v>138</v>
      </c>
      <c r="U35" s="70">
        <f>O43</f>
        <v>692354.31476043479</v>
      </c>
      <c r="V35" s="79"/>
      <c r="W35" s="68" t="s">
        <v>139</v>
      </c>
      <c r="X35" s="70">
        <f>I39</f>
        <v>59855</v>
      </c>
    </row>
    <row r="36" spans="8:24" ht="15.75">
      <c r="H36" s="26" t="s">
        <v>140</v>
      </c>
      <c r="K36" s="2" t="s">
        <v>0</v>
      </c>
      <c r="L36" s="66">
        <f>I47/L31</f>
        <v>1.8673644868171239E-2</v>
      </c>
      <c r="O36" s="51"/>
      <c r="P36" s="79"/>
      <c r="Q36" s="68" t="s">
        <v>141</v>
      </c>
      <c r="R36" s="63">
        <f>R32*R35</f>
        <v>77917.146114750198</v>
      </c>
      <c r="S36" s="51"/>
      <c r="T36" s="68" t="s">
        <v>142</v>
      </c>
      <c r="U36" s="70">
        <f>O41</f>
        <v>54600</v>
      </c>
      <c r="V36" s="69"/>
      <c r="W36" s="68" t="s">
        <v>143</v>
      </c>
      <c r="X36" s="70">
        <f>I40</f>
        <v>22864</v>
      </c>
    </row>
    <row r="37" spans="8:24" ht="15.75">
      <c r="K37" s="11"/>
      <c r="L37" s="11"/>
      <c r="M37" s="11"/>
      <c r="N37" s="30" t="s">
        <v>144</v>
      </c>
      <c r="O37" s="63">
        <f>J47-O35</f>
        <v>3041.8580456548079</v>
      </c>
      <c r="P37" s="79"/>
      <c r="Q37" s="68" t="s">
        <v>126</v>
      </c>
      <c r="R37" s="63">
        <f>R33*R35</f>
        <v>19901.853885249795</v>
      </c>
      <c r="S37" s="51"/>
      <c r="T37" s="68" t="s">
        <v>145</v>
      </c>
      <c r="U37" s="70">
        <f>O42</f>
        <v>5070</v>
      </c>
      <c r="V37" s="74"/>
      <c r="W37" s="51"/>
      <c r="X37" s="65"/>
    </row>
    <row r="38" spans="8:24" ht="15.75">
      <c r="H38" s="39" t="s">
        <v>104</v>
      </c>
      <c r="I38" s="63">
        <f>ONSV_AUX_2022!M56</f>
        <v>817681</v>
      </c>
      <c r="J38" s="64">
        <f>I38-(L33*I32)</f>
        <v>816438.60154661932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1242.3984533806797</v>
      </c>
      <c r="V38" s="74"/>
      <c r="W38" s="68" t="s">
        <v>147</v>
      </c>
      <c r="X38" s="70">
        <f>I46</f>
        <v>10728</v>
      </c>
    </row>
    <row r="39" spans="8:24" ht="15.75">
      <c r="H39" s="39" t="s">
        <v>105</v>
      </c>
      <c r="I39" s="63">
        <f>ONSV_AUX_2022!M57</f>
        <v>59855</v>
      </c>
      <c r="J39" s="10">
        <f>I39</f>
        <v>59855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109552.57573690773</v>
      </c>
      <c r="S39" s="51"/>
      <c r="T39" s="68" t="s">
        <v>150</v>
      </c>
      <c r="U39" s="75">
        <f>O44</f>
        <v>64414.28678618453</v>
      </c>
      <c r="V39" s="51"/>
      <c r="W39" s="68" t="s">
        <v>151</v>
      </c>
      <c r="X39" s="70">
        <f>I43</f>
        <v>4511</v>
      </c>
    </row>
    <row r="40" spans="8:24" ht="15.75">
      <c r="H40" s="39" t="s">
        <v>106</v>
      </c>
      <c r="I40" s="63">
        <f>ONSV_AUX_2022!M58</f>
        <v>22864</v>
      </c>
      <c r="J40" s="10">
        <f>I40</f>
        <v>22864</v>
      </c>
      <c r="K40" s="11"/>
      <c r="L40" s="11"/>
      <c r="M40" s="11"/>
      <c r="O40" s="76"/>
      <c r="P40" s="79"/>
      <c r="Q40" s="68" t="s">
        <v>135</v>
      </c>
      <c r="R40" s="63">
        <f>J42-R37</f>
        <v>27982.279431252879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ONSV_AUX_2022!M59</f>
        <v>187755</v>
      </c>
      <c r="J41" s="64">
        <f>I41-(L34*I32)</f>
        <v>187469.72185165793</v>
      </c>
      <c r="K41" s="11"/>
      <c r="L41" s="11"/>
      <c r="M41" s="11"/>
      <c r="N41" s="30" t="s">
        <v>142</v>
      </c>
      <c r="O41" s="63">
        <f>I29</f>
        <v>54600</v>
      </c>
      <c r="P41" s="79"/>
      <c r="Q41" s="51"/>
      <c r="R41" s="51"/>
      <c r="S41" s="80"/>
      <c r="T41" s="68" t="s">
        <v>141</v>
      </c>
      <c r="U41" s="71">
        <f>R36</f>
        <v>77917.146114750198</v>
      </c>
      <c r="V41" s="51"/>
      <c r="W41" s="68" t="s">
        <v>152</v>
      </c>
      <c r="X41" s="70">
        <f>I44</f>
        <v>407410</v>
      </c>
    </row>
    <row r="42" spans="8:24" ht="15.75">
      <c r="H42" s="39" t="s">
        <v>108</v>
      </c>
      <c r="I42" s="63">
        <f>ONSV_AUX_2022!M60</f>
        <v>47957</v>
      </c>
      <c r="J42" s="64">
        <f>I42-(L35*I32)</f>
        <v>47884.133316502674</v>
      </c>
      <c r="K42" s="11"/>
      <c r="L42" s="11"/>
      <c r="M42" s="11"/>
      <c r="N42" s="30" t="s">
        <v>145</v>
      </c>
      <c r="O42" s="63">
        <f>I33</f>
        <v>5070</v>
      </c>
      <c r="P42" s="79"/>
      <c r="Q42" s="51"/>
      <c r="R42" s="51"/>
      <c r="S42" s="51"/>
      <c r="T42" s="68" t="s">
        <v>153</v>
      </c>
      <c r="U42" s="71">
        <f>I41-J41</f>
        <v>285.27814834206947</v>
      </c>
      <c r="V42" s="51"/>
      <c r="W42" s="68" t="s">
        <v>154</v>
      </c>
      <c r="X42" s="70">
        <f>I45</f>
        <v>128464</v>
      </c>
    </row>
    <row r="43" spans="8:24" ht="15.75">
      <c r="H43" s="39" t="s">
        <v>109</v>
      </c>
      <c r="I43" s="63">
        <f>ONSV_AUX_2022!M61</f>
        <v>4511</v>
      </c>
      <c r="J43" s="10">
        <f>I43</f>
        <v>4511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692354.31476043479</v>
      </c>
      <c r="P43" s="79"/>
      <c r="Q43" s="51"/>
      <c r="R43" s="81"/>
      <c r="S43" s="51"/>
      <c r="T43" s="68" t="s">
        <v>149</v>
      </c>
      <c r="U43" s="75">
        <f>R39</f>
        <v>109552.57573690773</v>
      </c>
      <c r="V43" s="51"/>
      <c r="W43" s="51"/>
      <c r="X43" s="51"/>
    </row>
    <row r="44" spans="8:24" ht="15.75">
      <c r="H44" s="39" t="s">
        <v>110</v>
      </c>
      <c r="I44" s="63">
        <f>ONSV_AUX_2022!M62</f>
        <v>407410</v>
      </c>
      <c r="J44" s="10">
        <f>I44</f>
        <v>407410</v>
      </c>
      <c r="K44" s="11"/>
      <c r="L44" s="11"/>
      <c r="M44" s="11"/>
      <c r="N44" s="30" t="s">
        <v>150</v>
      </c>
      <c r="O44" s="63">
        <f>IF((J38-O41-O43-O42)&lt;0,0,(J38-O41-O43-O42))</f>
        <v>64414.28678618453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ONSV_AUX_2022!M63</f>
        <v>128464</v>
      </c>
      <c r="J45" s="10">
        <f>I45</f>
        <v>128464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1707270</v>
      </c>
    </row>
    <row r="46" spans="8:24" ht="15.75">
      <c r="H46" s="39" t="s">
        <v>112</v>
      </c>
      <c r="I46" s="63">
        <f>ONSV_AUX_2022!M64</f>
        <v>10728</v>
      </c>
      <c r="J46" s="10">
        <f>I46</f>
        <v>10728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ONSV_AUX_2022!M65</f>
        <v>20045</v>
      </c>
      <c r="J47" s="64">
        <f>I47-(L36*I32)</f>
        <v>20014.543285220014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6" customFormat="1" ht="15.75">
      <c r="A50" s="100" t="str">
        <f>"MATO GROSSO DO SUL/"&amp;ONSV_AUX_2021!$A$1&amp;""</f>
        <v>MATO GROSSO DO SUL/2021</v>
      </c>
      <c r="B50" s="101"/>
      <c r="C50" s="101"/>
      <c r="D50" s="101"/>
      <c r="E50" s="101"/>
      <c r="F50" s="101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ONSV_AUX_2021!M27</f>
        <v>54438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ONSV_AUX_2021!M28</f>
        <v>674854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ONSV_AUX_2021!M29</f>
        <v>185957</v>
      </c>
      <c r="J56" s="9"/>
      <c r="K56" s="2" t="s">
        <v>122</v>
      </c>
      <c r="L56" s="63">
        <f>I63+I66+I67+I72</f>
        <v>1044572</v>
      </c>
      <c r="N56" s="30" t="s">
        <v>123</v>
      </c>
      <c r="O56" s="63">
        <f>J63+J72</f>
        <v>817430.98618381505</v>
      </c>
      <c r="P56" s="67"/>
      <c r="Q56" s="68" t="s">
        <v>124</v>
      </c>
      <c r="R56" s="63">
        <f>J66+J67</f>
        <v>226223.013816185</v>
      </c>
      <c r="S56" s="69"/>
      <c r="T56" s="68" t="s">
        <v>125</v>
      </c>
      <c r="U56" s="70">
        <f>O60</f>
        <v>14500.926871600563</v>
      </c>
      <c r="V56" s="51"/>
      <c r="W56" s="68" t="s">
        <v>126</v>
      </c>
      <c r="X56" s="71">
        <f>R62</f>
        <v>18633.984140233726</v>
      </c>
    </row>
    <row r="57" spans="1:24" ht="15.75">
      <c r="H57" s="38" t="s">
        <v>102</v>
      </c>
      <c r="I57" s="63">
        <f>ONSV_AUX_2021!M30</f>
        <v>918</v>
      </c>
      <c r="J57" s="9"/>
      <c r="K57" s="29"/>
      <c r="L57" s="65"/>
      <c r="M57" s="22"/>
      <c r="N57" s="30" t="s">
        <v>127</v>
      </c>
      <c r="O57" s="72">
        <f>J63/O56</f>
        <v>0.97851249770824422</v>
      </c>
      <c r="P57" s="67"/>
      <c r="Q57" s="73" t="s">
        <v>128</v>
      </c>
      <c r="R57" s="66">
        <f>J66/R56</f>
        <v>0.79859289291676605</v>
      </c>
      <c r="S57" s="74"/>
      <c r="T57" s="68" t="s">
        <v>129</v>
      </c>
      <c r="U57" s="70">
        <f>I72-J72</f>
        <v>15.449811023077928</v>
      </c>
      <c r="V57" s="51"/>
      <c r="W57" s="68" t="s">
        <v>130</v>
      </c>
      <c r="X57" s="71">
        <f>I67-J67</f>
        <v>40.077231631708855</v>
      </c>
    </row>
    <row r="58" spans="1:24" ht="15.75">
      <c r="H58" s="38" t="s">
        <v>16</v>
      </c>
      <c r="I58" s="63">
        <f>ONSV_AUX_2021!M31</f>
        <v>5103</v>
      </c>
      <c r="J58" s="9"/>
      <c r="K58" s="2" t="s">
        <v>131</v>
      </c>
      <c r="L58" s="66">
        <f>I63/L56</f>
        <v>0.76640959167965439</v>
      </c>
      <c r="M58" s="22"/>
      <c r="N58" s="30" t="s">
        <v>132</v>
      </c>
      <c r="O58" s="72">
        <f>J72/O56</f>
        <v>2.1487502291755792E-2</v>
      </c>
      <c r="P58" s="67"/>
      <c r="Q58" s="73" t="s">
        <v>133</v>
      </c>
      <c r="R58" s="66">
        <f>J67/R56</f>
        <v>0.20140710708323398</v>
      </c>
      <c r="S58" s="74"/>
      <c r="T58" s="68" t="s">
        <v>134</v>
      </c>
      <c r="U58" s="75">
        <f>O62</f>
        <v>3063.6233173763594</v>
      </c>
      <c r="V58" s="76"/>
      <c r="W58" s="68" t="s">
        <v>135</v>
      </c>
      <c r="X58" s="75">
        <f>R65</f>
        <v>26928.938628134565</v>
      </c>
    </row>
    <row r="59" spans="1:24" ht="15.75">
      <c r="H59" s="38" t="s">
        <v>94</v>
      </c>
      <c r="I59" s="63">
        <f>ONSV_AUX_2021!M32</f>
        <v>732868</v>
      </c>
      <c r="J59" s="10"/>
      <c r="K59" s="2" t="s">
        <v>2</v>
      </c>
      <c r="L59" s="66">
        <f>I66/L56</f>
        <v>0.17310343375085682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4.3657115067223702E-2</v>
      </c>
      <c r="M60" s="22"/>
      <c r="N60" s="30" t="s">
        <v>136</v>
      </c>
      <c r="O60" s="63">
        <f>IF(O58*I55&gt;J72,J72,O58*I55)</f>
        <v>14500.926871600563</v>
      </c>
      <c r="P60" s="79"/>
      <c r="Q60" s="68" t="s">
        <v>137</v>
      </c>
      <c r="R60" s="63">
        <f>I56-I64-I65-I68-I71</f>
        <v>92519</v>
      </c>
      <c r="S60" s="80"/>
      <c r="T60" s="68" t="s">
        <v>138</v>
      </c>
      <c r="U60" s="70">
        <f>O68</f>
        <v>660353.07312839944</v>
      </c>
      <c r="V60" s="79"/>
      <c r="W60" s="68" t="s">
        <v>139</v>
      </c>
      <c r="X60" s="70">
        <f>I64</f>
        <v>57429</v>
      </c>
    </row>
    <row r="61" spans="1:24" ht="15.75">
      <c r="H61" s="26" t="s">
        <v>140</v>
      </c>
      <c r="K61" s="2" t="s">
        <v>0</v>
      </c>
      <c r="L61" s="66">
        <f>I72/L56</f>
        <v>1.6829859502265041E-2</v>
      </c>
      <c r="O61" s="51"/>
      <c r="P61" s="79"/>
      <c r="Q61" s="68" t="s">
        <v>141</v>
      </c>
      <c r="R61" s="63">
        <f>R57*R60</f>
        <v>73885.015859766281</v>
      </c>
      <c r="S61" s="51"/>
      <c r="T61" s="68" t="s">
        <v>142</v>
      </c>
      <c r="U61" s="70">
        <f>O66</f>
        <v>54438</v>
      </c>
      <c r="V61" s="69"/>
      <c r="W61" s="68" t="s">
        <v>143</v>
      </c>
      <c r="X61" s="70">
        <f>I65</f>
        <v>21162</v>
      </c>
    </row>
    <row r="62" spans="1:24" ht="15.75">
      <c r="K62" s="11"/>
      <c r="L62" s="11"/>
      <c r="M62" s="11"/>
      <c r="N62" s="30" t="s">
        <v>144</v>
      </c>
      <c r="O62" s="63">
        <f>J72-O60</f>
        <v>3063.6233173763594</v>
      </c>
      <c r="P62" s="79"/>
      <c r="Q62" s="68" t="s">
        <v>126</v>
      </c>
      <c r="R62" s="63">
        <f>R58*R60</f>
        <v>18633.984140233726</v>
      </c>
      <c r="S62" s="51"/>
      <c r="T62" s="68" t="s">
        <v>145</v>
      </c>
      <c r="U62" s="70">
        <f>O67</f>
        <v>5103</v>
      </c>
      <c r="V62" s="74"/>
      <c r="W62" s="51"/>
      <c r="X62" s="65"/>
    </row>
    <row r="63" spans="1:24" ht="15.75">
      <c r="H63" s="39" t="s">
        <v>104</v>
      </c>
      <c r="I63" s="63">
        <f>ONSV_AUX_2021!M56</f>
        <v>800570</v>
      </c>
      <c r="J63" s="64">
        <f>I63-(L58*I57)</f>
        <v>799866.43599483813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703.56400516186841</v>
      </c>
      <c r="V63" s="74"/>
      <c r="W63" s="68" t="s">
        <v>147</v>
      </c>
      <c r="X63" s="70">
        <f>I71</f>
        <v>10541</v>
      </c>
    </row>
    <row r="64" spans="1:24" ht="15.75">
      <c r="H64" s="39" t="s">
        <v>105</v>
      </c>
      <c r="I64" s="63">
        <f>ONSV_AUX_2021!M57</f>
        <v>57429</v>
      </c>
      <c r="J64" s="10">
        <f>I64</f>
        <v>57429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106775.07518805042</v>
      </c>
      <c r="S64" s="51"/>
      <c r="T64" s="68" t="s">
        <v>150</v>
      </c>
      <c r="U64" s="75">
        <f>O69</f>
        <v>79972.362866438692</v>
      </c>
      <c r="V64" s="51"/>
      <c r="W64" s="68" t="s">
        <v>151</v>
      </c>
      <c r="X64" s="70">
        <f>I68</f>
        <v>4306</v>
      </c>
    </row>
    <row r="65" spans="1:24" ht="15.75">
      <c r="H65" s="39" t="s">
        <v>106</v>
      </c>
      <c r="I65" s="63">
        <f>ONSV_AUX_2021!M58</f>
        <v>21162</v>
      </c>
      <c r="J65" s="10">
        <f>I65</f>
        <v>21162</v>
      </c>
      <c r="K65" s="11"/>
      <c r="L65" s="11"/>
      <c r="M65" s="11"/>
      <c r="O65" s="76"/>
      <c r="P65" s="79"/>
      <c r="Q65" s="68" t="s">
        <v>135</v>
      </c>
      <c r="R65" s="63">
        <f>J67-R62</f>
        <v>26928.938628134565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ONSV_AUX_2021!M59</f>
        <v>180819</v>
      </c>
      <c r="J66" s="64">
        <f>I66-(L59*I57)</f>
        <v>180660.09104781671</v>
      </c>
      <c r="K66" s="11"/>
      <c r="L66" s="11"/>
      <c r="M66" s="11"/>
      <c r="N66" s="30" t="s">
        <v>142</v>
      </c>
      <c r="O66" s="63">
        <f>I54</f>
        <v>54438</v>
      </c>
      <c r="P66" s="79"/>
      <c r="Q66" s="51"/>
      <c r="R66" s="51"/>
      <c r="S66" s="80"/>
      <c r="T66" s="68" t="s">
        <v>141</v>
      </c>
      <c r="U66" s="71">
        <f>R61</f>
        <v>73885.015859766281</v>
      </c>
      <c r="V66" s="51"/>
      <c r="W66" s="68" t="s">
        <v>152</v>
      </c>
      <c r="X66" s="70">
        <f>I69</f>
        <v>395706</v>
      </c>
    </row>
    <row r="67" spans="1:24" ht="15.75">
      <c r="H67" s="39" t="s">
        <v>108</v>
      </c>
      <c r="I67" s="63">
        <f>ONSV_AUX_2021!M60</f>
        <v>45603</v>
      </c>
      <c r="J67" s="64">
        <f>I67-(L60*I57)</f>
        <v>45562.922768368291</v>
      </c>
      <c r="K67" s="11"/>
      <c r="L67" s="11"/>
      <c r="M67" s="11"/>
      <c r="N67" s="30" t="s">
        <v>145</v>
      </c>
      <c r="O67" s="63">
        <f>I58</f>
        <v>5103</v>
      </c>
      <c r="P67" s="79"/>
      <c r="Q67" s="51"/>
      <c r="R67" s="51"/>
      <c r="S67" s="51"/>
      <c r="T67" s="68" t="s">
        <v>153</v>
      </c>
      <c r="U67" s="71">
        <f>I66-J66</f>
        <v>158.90895218329388</v>
      </c>
      <c r="V67" s="51"/>
      <c r="W67" s="68" t="s">
        <v>154</v>
      </c>
      <c r="X67" s="70">
        <f>I70</f>
        <v>122859</v>
      </c>
    </row>
    <row r="68" spans="1:24" ht="15.75">
      <c r="H68" s="39" t="s">
        <v>109</v>
      </c>
      <c r="I68" s="63">
        <f>ONSV_AUX_2021!M61</f>
        <v>4306</v>
      </c>
      <c r="J68" s="10">
        <f>I68</f>
        <v>4306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660353.07312839944</v>
      </c>
      <c r="P68" s="79"/>
      <c r="Q68" s="51"/>
      <c r="R68" s="81"/>
      <c r="S68" s="51"/>
      <c r="T68" s="68" t="s">
        <v>149</v>
      </c>
      <c r="U68" s="75">
        <f>R64</f>
        <v>106775.07518805042</v>
      </c>
      <c r="V68" s="51"/>
      <c r="W68" s="51"/>
      <c r="X68" s="51"/>
    </row>
    <row r="69" spans="1:24" ht="15.75">
      <c r="H69" s="39" t="s">
        <v>110</v>
      </c>
      <c r="I69" s="63">
        <f>ONSV_AUX_2021!M62</f>
        <v>395706</v>
      </c>
      <c r="J69" s="10">
        <f>I69</f>
        <v>395706</v>
      </c>
      <c r="K69" s="11"/>
      <c r="L69" s="11"/>
      <c r="M69" s="11"/>
      <c r="N69" s="30" t="s">
        <v>150</v>
      </c>
      <c r="O69" s="63">
        <f>IF((J63-O66-O68-O67)&lt;0,0,(J63-O66-O68-O67))</f>
        <v>79972.362866438692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ONSV_AUX_2021!M63</f>
        <v>122859</v>
      </c>
      <c r="J70" s="10">
        <f>I70</f>
        <v>122859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1656575</v>
      </c>
    </row>
    <row r="71" spans="1:24" ht="15.75">
      <c r="H71" s="39" t="s">
        <v>112</v>
      </c>
      <c r="I71" s="63">
        <f>ONSV_AUX_2021!M64</f>
        <v>10541</v>
      </c>
      <c r="J71" s="10">
        <f>I71</f>
        <v>10541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ONSV_AUX_2021!M65</f>
        <v>17580</v>
      </c>
      <c r="J72" s="64">
        <f>I72-(L61*I57)</f>
        <v>17564.550188976922</v>
      </c>
      <c r="K72" s="12"/>
      <c r="L72" s="12"/>
      <c r="M72" s="12"/>
      <c r="N72" s="12"/>
      <c r="O72" s="12"/>
      <c r="P72" s="12"/>
      <c r="Q72" s="4"/>
      <c r="R72" s="4"/>
    </row>
    <row r="75" spans="1:24" s="36" customFormat="1" ht="15.75">
      <c r="A75" s="100" t="str">
        <f>"MATO GROSSO DO SUL/"&amp;ONSV_AUX_2020!$A$1&amp;""</f>
        <v>MATO GROSSO DO SUL/2020</v>
      </c>
      <c r="B75" s="101"/>
      <c r="C75" s="101"/>
      <c r="D75" s="101"/>
      <c r="E75" s="101"/>
      <c r="F75" s="10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ONSV_AUX_2020!M27</f>
        <v>54298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ONSV_AUX_2020!M28</f>
        <v>635701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ONSV_AUX_2020!M29</f>
        <v>177689</v>
      </c>
      <c r="J81" s="9"/>
      <c r="K81" s="2" t="s">
        <v>122</v>
      </c>
      <c r="L81" s="63">
        <f>I88+I91+I92+I97</f>
        <v>1009259</v>
      </c>
      <c r="N81" s="30" t="s">
        <v>123</v>
      </c>
      <c r="O81" s="63">
        <f>J88+J97</f>
        <v>791133.20694886055</v>
      </c>
      <c r="P81" s="67"/>
      <c r="Q81" s="68" t="s">
        <v>124</v>
      </c>
      <c r="R81" s="63">
        <f>J91+J92</f>
        <v>217642.79305113948</v>
      </c>
      <c r="S81" s="69"/>
      <c r="T81" s="68" t="s">
        <v>125</v>
      </c>
      <c r="U81" s="70">
        <f>O85</f>
        <v>12321.08804541182</v>
      </c>
      <c r="V81" s="51"/>
      <c r="W81" s="68" t="s">
        <v>126</v>
      </c>
      <c r="X81" s="71">
        <f>R87</f>
        <v>17867.479597881949</v>
      </c>
    </row>
    <row r="82" spans="8:24" ht="15.75">
      <c r="H82" s="38" t="s">
        <v>102</v>
      </c>
      <c r="I82" s="63">
        <f>ONSV_AUX_2020!M30</f>
        <v>483</v>
      </c>
      <c r="J82" s="9"/>
      <c r="K82" s="29"/>
      <c r="L82" s="65"/>
      <c r="M82" s="22"/>
      <c r="N82" s="30" t="s">
        <v>127</v>
      </c>
      <c r="O82" s="72">
        <f>J88/O81</f>
        <v>0.98061810812722994</v>
      </c>
      <c r="P82" s="67"/>
      <c r="Q82" s="73" t="s">
        <v>128</v>
      </c>
      <c r="R82" s="66">
        <f>J91/R81</f>
        <v>0.79740249004578712</v>
      </c>
      <c r="S82" s="74"/>
      <c r="T82" s="68" t="s">
        <v>129</v>
      </c>
      <c r="U82" s="70">
        <f>I97-J97</f>
        <v>7.3417259593425115</v>
      </c>
      <c r="V82" s="51"/>
      <c r="W82" s="68" t="s">
        <v>130</v>
      </c>
      <c r="X82" s="71">
        <f>I92-J92</f>
        <v>21.112068359063414</v>
      </c>
    </row>
    <row r="83" spans="8:24" ht="15.75">
      <c r="H83" s="38" t="s">
        <v>16</v>
      </c>
      <c r="I83" s="63">
        <f>ONSV_AUX_2020!M31</f>
        <v>5139</v>
      </c>
      <c r="J83" s="9"/>
      <c r="K83" s="2" t="s">
        <v>131</v>
      </c>
      <c r="L83" s="66">
        <f>I88/L81</f>
        <v>0.76905036269183624</v>
      </c>
      <c r="M83" s="22"/>
      <c r="N83" s="30" t="s">
        <v>132</v>
      </c>
      <c r="O83" s="72">
        <f>J97/O81</f>
        <v>1.9381891872770091E-2</v>
      </c>
      <c r="P83" s="67"/>
      <c r="Q83" s="73" t="s">
        <v>133</v>
      </c>
      <c r="R83" s="66">
        <f>J92/R81</f>
        <v>0.20259750995421294</v>
      </c>
      <c r="S83" s="74"/>
      <c r="T83" s="68" t="s">
        <v>134</v>
      </c>
      <c r="U83" s="75">
        <f>O87</f>
        <v>3012.5702286288379</v>
      </c>
      <c r="V83" s="76"/>
      <c r="W83" s="68" t="s">
        <v>135</v>
      </c>
      <c r="X83" s="75">
        <f>R90</f>
        <v>26226.408333758987</v>
      </c>
    </row>
    <row r="84" spans="8:24" ht="15.75">
      <c r="H84" s="38" t="s">
        <v>94</v>
      </c>
      <c r="I84" s="63">
        <f>ONSV_AUX_2020!M32</f>
        <v>727929</v>
      </c>
      <c r="J84" s="10"/>
      <c r="K84" s="2" t="s">
        <v>2</v>
      </c>
      <c r="L84" s="66">
        <f>I91/L81</f>
        <v>0.17203909006508736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4.3710286457688263E-2</v>
      </c>
      <c r="M85" s="22"/>
      <c r="N85" s="30" t="s">
        <v>136</v>
      </c>
      <c r="O85" s="63">
        <f>IF(O83*I80&gt;J97,J97,O83*I80)</f>
        <v>12321.08804541182</v>
      </c>
      <c r="P85" s="79"/>
      <c r="Q85" s="68" t="s">
        <v>137</v>
      </c>
      <c r="R85" s="63">
        <f>I81-I89-I90-I93-I96</f>
        <v>88192</v>
      </c>
      <c r="S85" s="80"/>
      <c r="T85" s="68" t="s">
        <v>138</v>
      </c>
      <c r="U85" s="70">
        <f>O93</f>
        <v>623379.91195458814</v>
      </c>
      <c r="V85" s="79"/>
      <c r="W85" s="68" t="s">
        <v>139</v>
      </c>
      <c r="X85" s="70">
        <f>I89</f>
        <v>55769</v>
      </c>
    </row>
    <row r="86" spans="8:24" ht="15.75">
      <c r="H86" s="26" t="s">
        <v>140</v>
      </c>
      <c r="K86" s="2" t="s">
        <v>0</v>
      </c>
      <c r="L86" s="66">
        <f>I97/L81</f>
        <v>1.5200260785388092E-2</v>
      </c>
      <c r="O86" s="51"/>
      <c r="P86" s="79"/>
      <c r="Q86" s="68" t="s">
        <v>141</v>
      </c>
      <c r="R86" s="63">
        <f>R82*R85</f>
        <v>70324.520402118054</v>
      </c>
      <c r="S86" s="51"/>
      <c r="T86" s="68" t="s">
        <v>142</v>
      </c>
      <c r="U86" s="70">
        <f>O91</f>
        <v>54298</v>
      </c>
      <c r="V86" s="69"/>
      <c r="W86" s="68" t="s">
        <v>143</v>
      </c>
      <c r="X86" s="70">
        <f>I90</f>
        <v>19374</v>
      </c>
    </row>
    <row r="87" spans="8:24" ht="15.75">
      <c r="K87" s="11"/>
      <c r="L87" s="11"/>
      <c r="M87" s="11"/>
      <c r="N87" s="30" t="s">
        <v>144</v>
      </c>
      <c r="O87" s="63">
        <f>J97-O85</f>
        <v>3012.5702286288379</v>
      </c>
      <c r="P87" s="79"/>
      <c r="Q87" s="68" t="s">
        <v>126</v>
      </c>
      <c r="R87" s="63">
        <f>R83*R85</f>
        <v>17867.479597881949</v>
      </c>
      <c r="S87" s="51"/>
      <c r="T87" s="68" t="s">
        <v>145</v>
      </c>
      <c r="U87" s="70">
        <f>O92</f>
        <v>5139</v>
      </c>
      <c r="V87" s="74"/>
      <c r="W87" s="51"/>
      <c r="X87" s="65"/>
    </row>
    <row r="88" spans="8:24" ht="15.75">
      <c r="H88" s="39" t="s">
        <v>104</v>
      </c>
      <c r="I88" s="63">
        <f>ONSV_AUX_2020!M56</f>
        <v>776171</v>
      </c>
      <c r="J88" s="64">
        <f>I88-(L83*I82)</f>
        <v>775799.54867481987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371.45132518012542</v>
      </c>
      <c r="V88" s="74"/>
      <c r="W88" s="68" t="s">
        <v>147</v>
      </c>
      <c r="X88" s="70">
        <f>I96</f>
        <v>10133</v>
      </c>
    </row>
    <row r="89" spans="8:24" ht="15.75">
      <c r="H89" s="39" t="s">
        <v>105</v>
      </c>
      <c r="I89" s="63">
        <f>ONSV_AUX_2020!M57</f>
        <v>55769</v>
      </c>
      <c r="J89" s="10">
        <f>I89</f>
        <v>55769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103224.3847173805</v>
      </c>
      <c r="S89" s="51"/>
      <c r="T89" s="68" t="s">
        <v>150</v>
      </c>
      <c r="U89" s="75">
        <f>O94</f>
        <v>92982.636720231734</v>
      </c>
      <c r="V89" s="51"/>
      <c r="W89" s="68" t="s">
        <v>151</v>
      </c>
      <c r="X89" s="70">
        <f>I93</f>
        <v>4221</v>
      </c>
    </row>
    <row r="90" spans="8:24" ht="15.75">
      <c r="H90" s="39" t="s">
        <v>106</v>
      </c>
      <c r="I90" s="63">
        <f>ONSV_AUX_2020!M58</f>
        <v>19374</v>
      </c>
      <c r="J90" s="10">
        <f>I90</f>
        <v>19374</v>
      </c>
      <c r="K90" s="11"/>
      <c r="L90" s="11"/>
      <c r="M90" s="11"/>
      <c r="O90" s="76"/>
      <c r="P90" s="79"/>
      <c r="Q90" s="68" t="s">
        <v>135</v>
      </c>
      <c r="R90" s="63">
        <f>J92-R87</f>
        <v>26226.408333758987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ONSV_AUX_2020!M59</f>
        <v>173632</v>
      </c>
      <c r="J91" s="64">
        <f>I91-(L84*I82)</f>
        <v>173548.90511949855</v>
      </c>
      <c r="K91" s="11"/>
      <c r="L91" s="11"/>
      <c r="M91" s="11"/>
      <c r="N91" s="30" t="s">
        <v>142</v>
      </c>
      <c r="O91" s="63">
        <f>I79</f>
        <v>54298</v>
      </c>
      <c r="P91" s="79"/>
      <c r="Q91" s="51"/>
      <c r="R91" s="51"/>
      <c r="S91" s="80"/>
      <c r="T91" s="68" t="s">
        <v>141</v>
      </c>
      <c r="U91" s="71">
        <f>R86</f>
        <v>70324.520402118054</v>
      </c>
      <c r="V91" s="51"/>
      <c r="W91" s="68" t="s">
        <v>152</v>
      </c>
      <c r="X91" s="70">
        <f>I94</f>
        <v>386470</v>
      </c>
    </row>
    <row r="92" spans="8:24" ht="15.75">
      <c r="H92" s="39" t="s">
        <v>108</v>
      </c>
      <c r="I92" s="63">
        <f>ONSV_AUX_2020!M60</f>
        <v>44115</v>
      </c>
      <c r="J92" s="64">
        <f>I92-(L85*I82)</f>
        <v>44093.887931640937</v>
      </c>
      <c r="K92" s="11"/>
      <c r="L92" s="11"/>
      <c r="M92" s="11"/>
      <c r="N92" s="30" t="s">
        <v>145</v>
      </c>
      <c r="O92" s="63">
        <f>I83</f>
        <v>5139</v>
      </c>
      <c r="P92" s="79"/>
      <c r="Q92" s="51"/>
      <c r="R92" s="51"/>
      <c r="S92" s="51"/>
      <c r="T92" s="68" t="s">
        <v>153</v>
      </c>
      <c r="U92" s="71">
        <f>I91-J91</f>
        <v>83.094880501448642</v>
      </c>
      <c r="V92" s="51"/>
      <c r="W92" s="68" t="s">
        <v>154</v>
      </c>
      <c r="X92" s="70">
        <f>I95</f>
        <v>118210</v>
      </c>
    </row>
    <row r="93" spans="8:24" ht="15.75">
      <c r="H93" s="39" t="s">
        <v>109</v>
      </c>
      <c r="I93" s="63">
        <f>ONSV_AUX_2020!M61</f>
        <v>4221</v>
      </c>
      <c r="J93" s="10">
        <f>I93</f>
        <v>4221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623379.91195458814</v>
      </c>
      <c r="P93" s="79"/>
      <c r="Q93" s="51"/>
      <c r="R93" s="81"/>
      <c r="S93" s="51"/>
      <c r="T93" s="68" t="s">
        <v>149</v>
      </c>
      <c r="U93" s="75">
        <f>R89</f>
        <v>103224.3847173805</v>
      </c>
      <c r="V93" s="51"/>
      <c r="W93" s="51"/>
      <c r="X93" s="51"/>
    </row>
    <row r="94" spans="8:24" ht="15.75">
      <c r="H94" s="39" t="s">
        <v>110</v>
      </c>
      <c r="I94" s="63">
        <f>ONSV_AUX_2020!M62</f>
        <v>386470</v>
      </c>
      <c r="J94" s="10">
        <f>I94</f>
        <v>386470</v>
      </c>
      <c r="K94" s="11"/>
      <c r="L94" s="11"/>
      <c r="M94" s="11"/>
      <c r="N94" s="30" t="s">
        <v>150</v>
      </c>
      <c r="O94" s="63">
        <f>IF((J88-O91-O93-O92)&lt;0,0,(J88-O91-O93-O92))</f>
        <v>92982.636720231734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ONSV_AUX_2020!M63</f>
        <v>118210</v>
      </c>
      <c r="J95" s="10">
        <f>I95</f>
        <v>118210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1603436</v>
      </c>
    </row>
    <row r="96" spans="8:24" ht="15.75">
      <c r="H96" s="39" t="s">
        <v>112</v>
      </c>
      <c r="I96" s="63">
        <f>ONSV_AUX_2020!M64</f>
        <v>10133</v>
      </c>
      <c r="J96" s="10">
        <f>I96</f>
        <v>10133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ONSV_AUX_2020!M65</f>
        <v>15341</v>
      </c>
      <c r="J97" s="64">
        <f>I97-(L86*I82)</f>
        <v>15333.658274040657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6" customFormat="1" ht="15.75">
      <c r="A100" s="100" t="str">
        <f>"MATO GROSSO DO SUL/"&amp;ONSV_AUX_2019!$A$1&amp;""</f>
        <v>MATO GROSSO DO SUL/2019</v>
      </c>
      <c r="B100" s="101"/>
      <c r="C100" s="101"/>
      <c r="D100" s="101"/>
      <c r="E100" s="101"/>
      <c r="F100" s="101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ONSV_AUX_2019!M27</f>
        <v>54092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ONSV_AUX_2019!M28</f>
        <v>594562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ONSV_AUX_2019!M29</f>
        <v>170097</v>
      </c>
      <c r="J106" s="9"/>
      <c r="K106" s="2" t="s">
        <v>122</v>
      </c>
      <c r="L106" s="63">
        <f>I113+I116+I117+I122</f>
        <v>971381</v>
      </c>
      <c r="N106" s="30" t="s">
        <v>123</v>
      </c>
      <c r="O106" s="63">
        <f>J113+J122</f>
        <v>763081.36001836555</v>
      </c>
      <c r="P106" s="67"/>
      <c r="Q106" s="68" t="s">
        <v>124</v>
      </c>
      <c r="R106" s="63">
        <f>J116+J117</f>
        <v>208134.63998163439</v>
      </c>
      <c r="S106" s="69"/>
      <c r="T106" s="68" t="s">
        <v>125</v>
      </c>
      <c r="U106" s="70">
        <f>O110</f>
        <v>10894.693040325677</v>
      </c>
      <c r="V106" s="51"/>
      <c r="W106" s="68" t="s">
        <v>126</v>
      </c>
      <c r="X106" s="71">
        <f>R112</f>
        <v>17056.196425997983</v>
      </c>
    </row>
    <row r="107" spans="1:24" ht="15.75">
      <c r="H107" s="38" t="s">
        <v>102</v>
      </c>
      <c r="I107" s="63">
        <f>ONSV_AUX_2019!M30</f>
        <v>165</v>
      </c>
      <c r="J107" s="9"/>
      <c r="K107" s="29"/>
      <c r="L107" s="65"/>
      <c r="M107" s="22"/>
      <c r="N107" s="30" t="s">
        <v>127</v>
      </c>
      <c r="O107" s="72">
        <f>J113/O106</f>
        <v>0.98167610267671723</v>
      </c>
      <c r="P107" s="67"/>
      <c r="Q107" s="73" t="s">
        <v>128</v>
      </c>
      <c r="R107" s="66">
        <f>J116/R106</f>
        <v>0.79659893356391409</v>
      </c>
      <c r="S107" s="74"/>
      <c r="T107" s="68" t="s">
        <v>129</v>
      </c>
      <c r="U107" s="70">
        <f>I122-J122</f>
        <v>2.3755097124612803</v>
      </c>
      <c r="V107" s="51"/>
      <c r="W107" s="68" t="s">
        <v>130</v>
      </c>
      <c r="X107" s="71">
        <f>I117-J117</f>
        <v>7.1922654447625973</v>
      </c>
    </row>
    <row r="108" spans="1:24" ht="15.75">
      <c r="H108" s="38" t="s">
        <v>16</v>
      </c>
      <c r="I108" s="63">
        <f>ONSV_AUX_2019!M31</f>
        <v>5190</v>
      </c>
      <c r="J108" s="9"/>
      <c r="K108" s="2" t="s">
        <v>131</v>
      </c>
      <c r="L108" s="66">
        <f>I113/L106</f>
        <v>0.77129982982990197</v>
      </c>
      <c r="M108" s="22"/>
      <c r="N108" s="30" t="s">
        <v>132</v>
      </c>
      <c r="O108" s="72">
        <f>J122/O106</f>
        <v>1.8323897323282816E-2</v>
      </c>
      <c r="P108" s="67"/>
      <c r="Q108" s="73" t="s">
        <v>133</v>
      </c>
      <c r="R108" s="66">
        <f>J117/R106</f>
        <v>0.20340106643608591</v>
      </c>
      <c r="S108" s="74"/>
      <c r="T108" s="68" t="s">
        <v>134</v>
      </c>
      <c r="U108" s="75">
        <f>O112</f>
        <v>3087.9314499618613</v>
      </c>
      <c r="V108" s="76"/>
      <c r="W108" s="68" t="s">
        <v>135</v>
      </c>
      <c r="X108" s="75">
        <f>R115</f>
        <v>25278.611308557254</v>
      </c>
    </row>
    <row r="109" spans="1:24" ht="15.75">
      <c r="H109" s="38" t="s">
        <v>94</v>
      </c>
      <c r="I109" s="63">
        <f>ONSV_AUX_2019!M32</f>
        <v>721257</v>
      </c>
      <c r="J109" s="10"/>
      <c r="K109" s="2" t="s">
        <v>2</v>
      </c>
      <c r="L109" s="66">
        <f>I116/L106</f>
        <v>0.17071365406570646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4.3589487544022379E-2</v>
      </c>
      <c r="M110" s="22"/>
      <c r="N110" s="30" t="s">
        <v>136</v>
      </c>
      <c r="O110" s="63">
        <f>IF(O108*I105&gt;J122,J122,O108*I105)</f>
        <v>10894.693040325677</v>
      </c>
      <c r="P110" s="79"/>
      <c r="Q110" s="68" t="s">
        <v>137</v>
      </c>
      <c r="R110" s="63">
        <f>I106-I114-I115-I118-I121</f>
        <v>83855</v>
      </c>
      <c r="S110" s="80"/>
      <c r="T110" s="68" t="s">
        <v>138</v>
      </c>
      <c r="U110" s="70">
        <f>O118</f>
        <v>583667.30695967434</v>
      </c>
      <c r="V110" s="79"/>
      <c r="W110" s="68" t="s">
        <v>139</v>
      </c>
      <c r="X110" s="70">
        <f>I114</f>
        <v>54217</v>
      </c>
    </row>
    <row r="111" spans="1:24" ht="15.75">
      <c r="H111" s="26" t="s">
        <v>140</v>
      </c>
      <c r="K111" s="2" t="s">
        <v>0</v>
      </c>
      <c r="L111" s="66">
        <f>I122/L106</f>
        <v>1.4397028560369207E-2</v>
      </c>
      <c r="O111" s="51"/>
      <c r="P111" s="79"/>
      <c r="Q111" s="68" t="s">
        <v>141</v>
      </c>
      <c r="R111" s="63">
        <f>R107*R110</f>
        <v>66798.803574002013</v>
      </c>
      <c r="S111" s="51"/>
      <c r="T111" s="68" t="s">
        <v>142</v>
      </c>
      <c r="U111" s="70">
        <f>O116</f>
        <v>54092</v>
      </c>
      <c r="V111" s="69"/>
      <c r="W111" s="68" t="s">
        <v>143</v>
      </c>
      <c r="X111" s="70">
        <f>I115</f>
        <v>18099</v>
      </c>
    </row>
    <row r="112" spans="1:24" ht="15.75">
      <c r="K112" s="11"/>
      <c r="L112" s="11"/>
      <c r="M112" s="11"/>
      <c r="N112" s="30" t="s">
        <v>144</v>
      </c>
      <c r="O112" s="63">
        <f>J122-O110</f>
        <v>3087.9314499618613</v>
      </c>
      <c r="P112" s="79"/>
      <c r="Q112" s="68" t="s">
        <v>126</v>
      </c>
      <c r="R112" s="63">
        <f>R108*R110</f>
        <v>17056.196425997983</v>
      </c>
      <c r="S112" s="51"/>
      <c r="T112" s="68" t="s">
        <v>145</v>
      </c>
      <c r="U112" s="70">
        <f>O117</f>
        <v>5190</v>
      </c>
      <c r="V112" s="74"/>
      <c r="W112" s="51"/>
      <c r="X112" s="65"/>
    </row>
    <row r="113" spans="8:24" ht="15.75">
      <c r="H113" s="39" t="s">
        <v>104</v>
      </c>
      <c r="I113" s="63">
        <f>ONSV_AUX_2019!M56</f>
        <v>749226</v>
      </c>
      <c r="J113" s="64">
        <f>I113-(L108*I107)</f>
        <v>749098.73552807805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127.26447192195337</v>
      </c>
      <c r="V113" s="74"/>
      <c r="W113" s="68" t="s">
        <v>147</v>
      </c>
      <c r="X113" s="70">
        <f>I121</f>
        <v>9847</v>
      </c>
    </row>
    <row r="114" spans="8:24" ht="15.75">
      <c r="H114" s="39" t="s">
        <v>105</v>
      </c>
      <c r="I114" s="63">
        <f>ONSV_AUX_2019!M57</f>
        <v>54217</v>
      </c>
      <c r="J114" s="10">
        <f>I114</f>
        <v>54217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99001.028673077133</v>
      </c>
      <c r="S114" s="51"/>
      <c r="T114" s="68" t="s">
        <v>150</v>
      </c>
      <c r="U114" s="75">
        <f>O119</f>
        <v>106149.4285684037</v>
      </c>
      <c r="V114" s="51"/>
      <c r="W114" s="68" t="s">
        <v>151</v>
      </c>
      <c r="X114" s="70">
        <f>I118</f>
        <v>4079</v>
      </c>
    </row>
    <row r="115" spans="8:24" ht="15.75">
      <c r="H115" s="39" t="s">
        <v>106</v>
      </c>
      <c r="I115" s="63">
        <f>ONSV_AUX_2019!M58</f>
        <v>18099</v>
      </c>
      <c r="J115" s="10">
        <f>I115</f>
        <v>18099</v>
      </c>
      <c r="K115" s="11"/>
      <c r="L115" s="11"/>
      <c r="M115" s="11"/>
      <c r="O115" s="76"/>
      <c r="P115" s="79"/>
      <c r="Q115" s="68" t="s">
        <v>135</v>
      </c>
      <c r="R115" s="63">
        <f>J117-R112</f>
        <v>25278.611308557254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ONSV_AUX_2019!M59</f>
        <v>165828</v>
      </c>
      <c r="J116" s="64">
        <f>I116-(L109*I107)</f>
        <v>165799.83224707915</v>
      </c>
      <c r="K116" s="11"/>
      <c r="L116" s="11"/>
      <c r="M116" s="11"/>
      <c r="N116" s="30" t="s">
        <v>142</v>
      </c>
      <c r="O116" s="63">
        <f>I104</f>
        <v>54092</v>
      </c>
      <c r="P116" s="79"/>
      <c r="Q116" s="51"/>
      <c r="R116" s="51"/>
      <c r="S116" s="80"/>
      <c r="T116" s="68" t="s">
        <v>141</v>
      </c>
      <c r="U116" s="71">
        <f>R111</f>
        <v>66798.803574002013</v>
      </c>
      <c r="V116" s="51"/>
      <c r="W116" s="68" t="s">
        <v>152</v>
      </c>
      <c r="X116" s="70">
        <f>I119</f>
        <v>376211</v>
      </c>
    </row>
    <row r="117" spans="8:24" ht="15.75">
      <c r="H117" s="39" t="s">
        <v>108</v>
      </c>
      <c r="I117" s="63">
        <f>ONSV_AUX_2019!M60</f>
        <v>42342</v>
      </c>
      <c r="J117" s="64">
        <f>I117-(L110*I107)</f>
        <v>42334.807734555237</v>
      </c>
      <c r="K117" s="11"/>
      <c r="L117" s="11"/>
      <c r="M117" s="11"/>
      <c r="N117" s="30" t="s">
        <v>145</v>
      </c>
      <c r="O117" s="63">
        <f>I108</f>
        <v>5190</v>
      </c>
      <c r="P117" s="79"/>
      <c r="Q117" s="51"/>
      <c r="R117" s="51"/>
      <c r="S117" s="51"/>
      <c r="T117" s="68" t="s">
        <v>153</v>
      </c>
      <c r="U117" s="71">
        <f>I116-J116</f>
        <v>28.167752920853673</v>
      </c>
      <c r="V117" s="51"/>
      <c r="W117" s="68" t="s">
        <v>154</v>
      </c>
      <c r="X117" s="70">
        <f>I120</f>
        <v>113554</v>
      </c>
    </row>
    <row r="118" spans="8:24" ht="15.75">
      <c r="H118" s="39" t="s">
        <v>109</v>
      </c>
      <c r="I118" s="63">
        <f>ONSV_AUX_2019!M61</f>
        <v>4079</v>
      </c>
      <c r="J118" s="10">
        <f>I118</f>
        <v>4079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583667.30695967434</v>
      </c>
      <c r="P118" s="79"/>
      <c r="Q118" s="51"/>
      <c r="R118" s="81"/>
      <c r="S118" s="51"/>
      <c r="T118" s="68" t="s">
        <v>149</v>
      </c>
      <c r="U118" s="75">
        <f>R114</f>
        <v>99001.028673077133</v>
      </c>
      <c r="V118" s="51"/>
      <c r="W118" s="51"/>
      <c r="X118" s="51"/>
    </row>
    <row r="119" spans="8:24" ht="15.75">
      <c r="H119" s="39" t="s">
        <v>110</v>
      </c>
      <c r="I119" s="63">
        <f>ONSV_AUX_2019!M62</f>
        <v>376211</v>
      </c>
      <c r="J119" s="10">
        <f>I119</f>
        <v>376211</v>
      </c>
      <c r="K119" s="11"/>
      <c r="L119" s="11"/>
      <c r="M119" s="11"/>
      <c r="N119" s="30" t="s">
        <v>150</v>
      </c>
      <c r="O119" s="63">
        <f>IF((J113-O116-O118-O117)&lt;0,0,(J113-O116-O118-O117))</f>
        <v>106149.4285684037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ONSV_AUX_2019!M63</f>
        <v>113554</v>
      </c>
      <c r="J120" s="10">
        <f>I120</f>
        <v>113554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1547388</v>
      </c>
    </row>
    <row r="121" spans="8:24" ht="15.75">
      <c r="H121" s="39" t="s">
        <v>112</v>
      </c>
      <c r="I121" s="63">
        <f>ONSV_AUX_2019!M64</f>
        <v>9847</v>
      </c>
      <c r="J121" s="10">
        <f>I121</f>
        <v>9847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ONSV_AUX_2019!M65</f>
        <v>13985</v>
      </c>
      <c r="J122" s="64">
        <f>I122-(L111*I107)</f>
        <v>13982.624490287539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K104:L104"/>
    <mergeCell ref="A100:F100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0.39997558519241921"/>
  </sheetPr>
  <dimension ref="A1:X122"/>
  <sheetViews>
    <sheetView showGridLines="0" topLeftCell="A91" zoomScale="90" zoomScaleNormal="90" workbookViewId="0">
      <selection sqref="A1:F1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3" customFormat="1" ht="15.75">
      <c r="A1" s="100" t="str">
        <f>"MINAS GERAIS/"&amp;ONSV_AUX_2023!$A$1&amp;""</f>
        <v>MINAS GERAIS/2023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ONSV_AUX_2023!N27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ONSV_AUX_2023!N28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ONSV_AUX_2023!N29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ONSV_AUX_2023!N30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ONSV_AUX_2023!N31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ONSV_AUX_2023!N32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ONSV_AUX_2023!N56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ONSV_AUX_2023!N57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ONSV_AUX_2023!N58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ONSV_AUX_2023!N59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ONSV_AUX_2023!N60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ONSV_AUX_2023!N61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ONSV_AUX_2023!N62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ONSV_AUX_2023!N63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ONSV_AUX_2023!N64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ONSV_AUX_2023!N65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6" customFormat="1" ht="15.75">
      <c r="A25" s="100" t="str">
        <f>"MINAS GERAIS/"&amp;ONSV_AUX_2022!$A$1&amp;""</f>
        <v>MINAS GERAIS/2022</v>
      </c>
      <c r="B25" s="101"/>
      <c r="C25" s="101"/>
      <c r="D25" s="101"/>
      <c r="E25" s="101"/>
      <c r="F25" s="10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5.75">
      <c r="A26" s="3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ONSV_AUX_2022!N27</f>
        <v>436626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ONSV_AUX_2022!N28</f>
        <v>5563419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ONSV_AUX_2022!N29</f>
        <v>1013467</v>
      </c>
      <c r="J31" s="9"/>
      <c r="K31" s="2" t="s">
        <v>122</v>
      </c>
      <c r="L31" s="63">
        <f>I38+I41+I42+I47</f>
        <v>8577890</v>
      </c>
      <c r="N31" s="30" t="s">
        <v>123</v>
      </c>
      <c r="O31" s="63">
        <f>J38+J47</f>
        <v>7002512.7897647321</v>
      </c>
      <c r="P31" s="67"/>
      <c r="Q31" s="68" t="s">
        <v>124</v>
      </c>
      <c r="R31" s="63">
        <f>J41+J42</f>
        <v>1566588.2102352676</v>
      </c>
      <c r="S31" s="69"/>
      <c r="T31" s="68" t="s">
        <v>125</v>
      </c>
      <c r="U31" s="70">
        <f>O35</f>
        <v>98023.612584285045</v>
      </c>
      <c r="V31" s="51"/>
      <c r="W31" s="68" t="s">
        <v>126</v>
      </c>
      <c r="X31" s="71">
        <f>R37</f>
        <v>107938.6066822047</v>
      </c>
    </row>
    <row r="32" spans="1:24" ht="15.75">
      <c r="H32" s="38" t="s">
        <v>102</v>
      </c>
      <c r="I32" s="63">
        <f>ONSV_AUX_2022!N30</f>
        <v>8789</v>
      </c>
      <c r="J32" s="9"/>
      <c r="K32" s="29"/>
      <c r="L32" s="65"/>
      <c r="M32" s="22"/>
      <c r="N32" s="30" t="s">
        <v>127</v>
      </c>
      <c r="O32" s="72">
        <f>J38/O31</f>
        <v>0.98238068846076754</v>
      </c>
      <c r="P32" s="67"/>
      <c r="Q32" s="73" t="s">
        <v>128</v>
      </c>
      <c r="R32" s="66">
        <f>J41/R31</f>
        <v>0.73888642675177507</v>
      </c>
      <c r="S32" s="74"/>
      <c r="T32" s="68" t="s">
        <v>129</v>
      </c>
      <c r="U32" s="70">
        <f>I47-J47</f>
        <v>126.54559967544628</v>
      </c>
      <c r="V32" s="51"/>
      <c r="W32" s="68" t="s">
        <v>130</v>
      </c>
      <c r="X32" s="71">
        <f>I42-J42</f>
        <v>419.55461692792596</v>
      </c>
    </row>
    <row r="33" spans="8:24" ht="15.75">
      <c r="H33" s="38" t="s">
        <v>16</v>
      </c>
      <c r="I33" s="63">
        <f>ONSV_AUX_2022!N31</f>
        <v>42924</v>
      </c>
      <c r="J33" s="9"/>
      <c r="K33" s="2" t="s">
        <v>131</v>
      </c>
      <c r="L33" s="66">
        <f>I38/L31</f>
        <v>0.80278355166596915</v>
      </c>
      <c r="M33" s="22"/>
      <c r="N33" s="30" t="s">
        <v>132</v>
      </c>
      <c r="O33" s="72">
        <f>J47/O31</f>
        <v>1.7619311539232449E-2</v>
      </c>
      <c r="P33" s="67"/>
      <c r="Q33" s="73" t="s">
        <v>133</v>
      </c>
      <c r="R33" s="66">
        <f>J42/R31</f>
        <v>0.26111357324822487</v>
      </c>
      <c r="S33" s="74"/>
      <c r="T33" s="68" t="s">
        <v>134</v>
      </c>
      <c r="U33" s="75">
        <f>O37</f>
        <v>25355.841816039509</v>
      </c>
      <c r="V33" s="76"/>
      <c r="W33" s="68" t="s">
        <v>135</v>
      </c>
      <c r="X33" s="75">
        <f>R40</f>
        <v>301118.83870086737</v>
      </c>
    </row>
    <row r="34" spans="8:24" ht="15.75">
      <c r="H34" s="38" t="s">
        <v>94</v>
      </c>
      <c r="I34" s="63">
        <f>ONSV_AUX_2022!N32</f>
        <v>5286363</v>
      </c>
      <c r="J34" s="10"/>
      <c r="K34" s="2" t="s">
        <v>2</v>
      </c>
      <c r="L34" s="66">
        <f>I41/L31</f>
        <v>0.13508193739952365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4.7736331428824573E-2</v>
      </c>
      <c r="M35" s="22"/>
      <c r="N35" s="30" t="s">
        <v>136</v>
      </c>
      <c r="O35" s="63">
        <f>IF(O33*I30&gt;J47,J47,O33*I30)</f>
        <v>98023.612584285045</v>
      </c>
      <c r="P35" s="79"/>
      <c r="Q35" s="68" t="s">
        <v>137</v>
      </c>
      <c r="R35" s="63">
        <f>I31-I39-I40-I43-I46</f>
        <v>413378</v>
      </c>
      <c r="S35" s="80"/>
      <c r="T35" s="68" t="s">
        <v>138</v>
      </c>
      <c r="U35" s="70">
        <f>O43</f>
        <v>5465395.3874157146</v>
      </c>
      <c r="V35" s="79"/>
      <c r="W35" s="68" t="s">
        <v>139</v>
      </c>
      <c r="X35" s="70">
        <f>I39</f>
        <v>368479</v>
      </c>
    </row>
    <row r="36" spans="8:24" ht="15.75">
      <c r="H36" s="26" t="s">
        <v>140</v>
      </c>
      <c r="K36" s="2" t="s">
        <v>0</v>
      </c>
      <c r="L36" s="66">
        <f>I47/L31</f>
        <v>1.4398179505682633E-2</v>
      </c>
      <c r="O36" s="51"/>
      <c r="P36" s="79"/>
      <c r="Q36" s="68" t="s">
        <v>141</v>
      </c>
      <c r="R36" s="63">
        <f>R32*R35</f>
        <v>305439.3933177953</v>
      </c>
      <c r="S36" s="51"/>
      <c r="T36" s="68" t="s">
        <v>142</v>
      </c>
      <c r="U36" s="70">
        <f>O41</f>
        <v>436626</v>
      </c>
      <c r="V36" s="69"/>
      <c r="W36" s="68" t="s">
        <v>143</v>
      </c>
      <c r="X36" s="70">
        <f>I40</f>
        <v>93862</v>
      </c>
    </row>
    <row r="37" spans="8:24" ht="15.75">
      <c r="K37" s="11"/>
      <c r="L37" s="11"/>
      <c r="M37" s="11"/>
      <c r="N37" s="30" t="s">
        <v>144</v>
      </c>
      <c r="O37" s="63">
        <f>J47-O35</f>
        <v>25355.841816039509</v>
      </c>
      <c r="P37" s="79"/>
      <c r="Q37" s="68" t="s">
        <v>126</v>
      </c>
      <c r="R37" s="63">
        <f>R33*R35</f>
        <v>107938.6066822047</v>
      </c>
      <c r="S37" s="51"/>
      <c r="T37" s="68" t="s">
        <v>145</v>
      </c>
      <c r="U37" s="70">
        <f>O42</f>
        <v>42924</v>
      </c>
      <c r="V37" s="74"/>
      <c r="W37" s="51"/>
      <c r="X37" s="65"/>
    </row>
    <row r="38" spans="8:24" ht="15.75">
      <c r="H38" s="39" t="s">
        <v>104</v>
      </c>
      <c r="I38" s="63">
        <f>ONSV_AUX_2022!N56</f>
        <v>6886189</v>
      </c>
      <c r="J38" s="64">
        <f>I38-(L33*I32)</f>
        <v>6879133.3353644079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7055.6646355921403</v>
      </c>
      <c r="V38" s="74"/>
      <c r="W38" s="68" t="s">
        <v>147</v>
      </c>
      <c r="X38" s="70">
        <f>I46</f>
        <v>86678</v>
      </c>
    </row>
    <row r="39" spans="8:24" ht="15.75">
      <c r="H39" s="39" t="s">
        <v>105</v>
      </c>
      <c r="I39" s="63">
        <f>ONSV_AUX_2022!N57</f>
        <v>368479</v>
      </c>
      <c r="J39" s="10">
        <f>I39</f>
        <v>368479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852091.37153440015</v>
      </c>
      <c r="S39" s="51"/>
      <c r="T39" s="68" t="s">
        <v>150</v>
      </c>
      <c r="U39" s="75">
        <f>O44</f>
        <v>934187.9479486933</v>
      </c>
      <c r="V39" s="51"/>
      <c r="W39" s="68" t="s">
        <v>151</v>
      </c>
      <c r="X39" s="70">
        <f>I43</f>
        <v>51070</v>
      </c>
    </row>
    <row r="40" spans="8:24" ht="15.75">
      <c r="H40" s="39" t="s">
        <v>106</v>
      </c>
      <c r="I40" s="63">
        <f>ONSV_AUX_2022!N58</f>
        <v>93862</v>
      </c>
      <c r="J40" s="10">
        <f>I40</f>
        <v>93862</v>
      </c>
      <c r="K40" s="11"/>
      <c r="L40" s="11"/>
      <c r="M40" s="11"/>
      <c r="O40" s="76"/>
      <c r="P40" s="79"/>
      <c r="Q40" s="68" t="s">
        <v>135</v>
      </c>
      <c r="R40" s="63">
        <f>J42-R37</f>
        <v>301118.83870086737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ONSV_AUX_2022!N59</f>
        <v>1158718</v>
      </c>
      <c r="J41" s="64">
        <f>I41-(L34*I32)</f>
        <v>1157530.7648521955</v>
      </c>
      <c r="K41" s="11"/>
      <c r="L41" s="11"/>
      <c r="M41" s="11"/>
      <c r="N41" s="30" t="s">
        <v>142</v>
      </c>
      <c r="O41" s="63">
        <f>I29</f>
        <v>436626</v>
      </c>
      <c r="P41" s="79"/>
      <c r="Q41" s="51"/>
      <c r="R41" s="51"/>
      <c r="S41" s="80"/>
      <c r="T41" s="68" t="s">
        <v>141</v>
      </c>
      <c r="U41" s="71">
        <f>R36</f>
        <v>305439.3933177953</v>
      </c>
      <c r="V41" s="51"/>
      <c r="W41" s="68" t="s">
        <v>152</v>
      </c>
      <c r="X41" s="70">
        <f>I44</f>
        <v>2817566</v>
      </c>
    </row>
    <row r="42" spans="8:24" ht="15.75">
      <c r="H42" s="39" t="s">
        <v>108</v>
      </c>
      <c r="I42" s="63">
        <f>ONSV_AUX_2022!N60</f>
        <v>409477</v>
      </c>
      <c r="J42" s="64">
        <f>I42-(L35*I32)</f>
        <v>409057.44538307207</v>
      </c>
      <c r="K42" s="11"/>
      <c r="L42" s="11"/>
      <c r="M42" s="11"/>
      <c r="N42" s="30" t="s">
        <v>145</v>
      </c>
      <c r="O42" s="63">
        <f>I33</f>
        <v>42924</v>
      </c>
      <c r="P42" s="79"/>
      <c r="Q42" s="51"/>
      <c r="R42" s="51"/>
      <c r="S42" s="51"/>
      <c r="T42" s="68" t="s">
        <v>153</v>
      </c>
      <c r="U42" s="71">
        <f>I41-J41</f>
        <v>1187.2351478044875</v>
      </c>
      <c r="V42" s="51"/>
      <c r="W42" s="68" t="s">
        <v>154</v>
      </c>
      <c r="X42" s="70">
        <f>I45</f>
        <v>347623</v>
      </c>
    </row>
    <row r="43" spans="8:24" ht="15.75">
      <c r="H43" s="39" t="s">
        <v>109</v>
      </c>
      <c r="I43" s="63">
        <f>ONSV_AUX_2022!N61</f>
        <v>51070</v>
      </c>
      <c r="J43" s="10">
        <f>I43</f>
        <v>51070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5465395.3874157146</v>
      </c>
      <c r="P43" s="79"/>
      <c r="Q43" s="51"/>
      <c r="R43" s="81"/>
      <c r="S43" s="51"/>
      <c r="T43" s="68" t="s">
        <v>149</v>
      </c>
      <c r="U43" s="75">
        <f>R39</f>
        <v>852091.37153440015</v>
      </c>
      <c r="V43" s="51"/>
      <c r="W43" s="51"/>
      <c r="X43" s="51"/>
    </row>
    <row r="44" spans="8:24" ht="15.75">
      <c r="H44" s="39" t="s">
        <v>110</v>
      </c>
      <c r="I44" s="63">
        <f>ONSV_AUX_2022!N62</f>
        <v>2817566</v>
      </c>
      <c r="J44" s="10">
        <f>I44</f>
        <v>2817566</v>
      </c>
      <c r="K44" s="11"/>
      <c r="L44" s="11"/>
      <c r="M44" s="11"/>
      <c r="N44" s="30" t="s">
        <v>150</v>
      </c>
      <c r="O44" s="63">
        <f>IF((J38-O41-O43-O42)&lt;0,0,(J38-O41-O43-O42))</f>
        <v>934187.9479486933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ONSV_AUX_2022!N63</f>
        <v>347623</v>
      </c>
      <c r="J45" s="10">
        <f>I45</f>
        <v>347623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12343168</v>
      </c>
    </row>
    <row r="46" spans="8:24" ht="15.75">
      <c r="H46" s="39" t="s">
        <v>112</v>
      </c>
      <c r="I46" s="63">
        <f>ONSV_AUX_2022!N64</f>
        <v>86678</v>
      </c>
      <c r="J46" s="10">
        <f>I46</f>
        <v>86678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ONSV_AUX_2022!N65</f>
        <v>123506</v>
      </c>
      <c r="J47" s="64">
        <f>I47-(L36*I32)</f>
        <v>123379.45440032455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6" customFormat="1" ht="15.75">
      <c r="A50" s="100" t="str">
        <f>"MINAS GERAIS/"&amp;ONSV_AUX_2021!$A$1&amp;""</f>
        <v>MINAS GERAIS/2021</v>
      </c>
      <c r="B50" s="101"/>
      <c r="C50" s="101"/>
      <c r="D50" s="101"/>
      <c r="E50" s="101"/>
      <c r="F50" s="101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ONSV_AUX_2021!N27</f>
        <v>436347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ONSV_AUX_2021!N28</f>
        <v>5218514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ONSV_AUX_2021!N29</f>
        <v>954180</v>
      </c>
      <c r="J56" s="9"/>
      <c r="K56" s="2" t="s">
        <v>122</v>
      </c>
      <c r="L56" s="63">
        <f>I63+I66+I67+I72</f>
        <v>8261133</v>
      </c>
      <c r="N56" s="30" t="s">
        <v>123</v>
      </c>
      <c r="O56" s="63">
        <f>J63+J72</f>
        <v>6792116.1156170713</v>
      </c>
      <c r="P56" s="67"/>
      <c r="Q56" s="68" t="s">
        <v>124</v>
      </c>
      <c r="R56" s="63">
        <f>J66+J67</f>
        <v>1464409.8843829292</v>
      </c>
      <c r="S56" s="69"/>
      <c r="T56" s="68" t="s">
        <v>125</v>
      </c>
      <c r="U56" s="70">
        <f>O60</f>
        <v>78756.42083160067</v>
      </c>
      <c r="V56" s="51"/>
      <c r="W56" s="68" t="s">
        <v>126</v>
      </c>
      <c r="X56" s="71">
        <f>R62</f>
        <v>98099.72284158018</v>
      </c>
    </row>
    <row r="57" spans="1:24" ht="15.75">
      <c r="H57" s="38" t="s">
        <v>102</v>
      </c>
      <c r="I57" s="63">
        <f>ONSV_AUX_2021!N30</f>
        <v>4607</v>
      </c>
      <c r="J57" s="9"/>
      <c r="K57" s="29"/>
      <c r="L57" s="65"/>
      <c r="M57" s="22"/>
      <c r="N57" s="30" t="s">
        <v>127</v>
      </c>
      <c r="O57" s="72">
        <f>J63/O56</f>
        <v>0.98490826683005916</v>
      </c>
      <c r="P57" s="67"/>
      <c r="Q57" s="73" t="s">
        <v>128</v>
      </c>
      <c r="R57" s="66">
        <f>J66/R56</f>
        <v>0.73867530423613537</v>
      </c>
      <c r="S57" s="74"/>
      <c r="T57" s="68" t="s">
        <v>129</v>
      </c>
      <c r="U57" s="70">
        <f>I72-J72</f>
        <v>57.195923852093983</v>
      </c>
      <c r="V57" s="51"/>
      <c r="W57" s="68" t="s">
        <v>130</v>
      </c>
      <c r="X57" s="71">
        <f>I67-J67</f>
        <v>213.53249003493693</v>
      </c>
    </row>
    <row r="58" spans="1:24" ht="15.75">
      <c r="H58" s="38" t="s">
        <v>16</v>
      </c>
      <c r="I58" s="63">
        <f>ONSV_AUX_2021!N31</f>
        <v>39817</v>
      </c>
      <c r="J58" s="9"/>
      <c r="K58" s="2" t="s">
        <v>131</v>
      </c>
      <c r="L58" s="66">
        <f>I63/L56</f>
        <v>0.81022106773973979</v>
      </c>
      <c r="M58" s="22"/>
      <c r="N58" s="30" t="s">
        <v>132</v>
      </c>
      <c r="O58" s="72">
        <f>J72/O56</f>
        <v>1.5091733169940842E-2</v>
      </c>
      <c r="P58" s="67"/>
      <c r="Q58" s="73" t="s">
        <v>133</v>
      </c>
      <c r="R58" s="66">
        <f>J67/R56</f>
        <v>0.26132469576386458</v>
      </c>
      <c r="S58" s="74"/>
      <c r="T58" s="68" t="s">
        <v>134</v>
      </c>
      <c r="U58" s="75">
        <f>O62</f>
        <v>23748.383244547236</v>
      </c>
      <c r="V58" s="76"/>
      <c r="W58" s="68" t="s">
        <v>135</v>
      </c>
      <c r="X58" s="75">
        <f>R65</f>
        <v>284586.7446683849</v>
      </c>
    </row>
    <row r="59" spans="1:24" ht="15.75">
      <c r="H59" s="38" t="s">
        <v>94</v>
      </c>
      <c r="I59" s="63">
        <f>ONSV_AUX_2021!N32</f>
        <v>5246386</v>
      </c>
      <c r="J59" s="10"/>
      <c r="K59" s="2" t="s">
        <v>2</v>
      </c>
      <c r="L59" s="66">
        <f>I66/L56</f>
        <v>0.13101435360016597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4.6349574568040487E-2</v>
      </c>
      <c r="M60" s="22"/>
      <c r="N60" s="30" t="s">
        <v>136</v>
      </c>
      <c r="O60" s="63">
        <f>IF(O58*I55&gt;J72,J72,O58*I55)</f>
        <v>78756.42083160067</v>
      </c>
      <c r="P60" s="79"/>
      <c r="Q60" s="68" t="s">
        <v>137</v>
      </c>
      <c r="R60" s="63">
        <f>I56-I64-I65-I68-I71</f>
        <v>375394</v>
      </c>
      <c r="S60" s="80"/>
      <c r="T60" s="68" t="s">
        <v>138</v>
      </c>
      <c r="U60" s="70">
        <f>O68</f>
        <v>5139757.5791683998</v>
      </c>
      <c r="V60" s="79"/>
      <c r="W60" s="68" t="s">
        <v>139</v>
      </c>
      <c r="X60" s="70">
        <f>I64</f>
        <v>357062</v>
      </c>
    </row>
    <row r="61" spans="1:24" ht="15.75">
      <c r="H61" s="26" t="s">
        <v>140</v>
      </c>
      <c r="K61" s="2" t="s">
        <v>0</v>
      </c>
      <c r="L61" s="66">
        <f>I72/L56</f>
        <v>1.2415004092053717E-2</v>
      </c>
      <c r="O61" s="51"/>
      <c r="P61" s="79"/>
      <c r="Q61" s="68" t="s">
        <v>141</v>
      </c>
      <c r="R61" s="63">
        <f>R57*R60</f>
        <v>277294.27715841978</v>
      </c>
      <c r="S61" s="51"/>
      <c r="T61" s="68" t="s">
        <v>142</v>
      </c>
      <c r="U61" s="70">
        <f>O66</f>
        <v>436347</v>
      </c>
      <c r="V61" s="69"/>
      <c r="W61" s="68" t="s">
        <v>143</v>
      </c>
      <c r="X61" s="70">
        <f>I65</f>
        <v>87131</v>
      </c>
    </row>
    <row r="62" spans="1:24" ht="15.75">
      <c r="K62" s="11"/>
      <c r="L62" s="11"/>
      <c r="M62" s="11"/>
      <c r="N62" s="30" t="s">
        <v>144</v>
      </c>
      <c r="O62" s="63">
        <f>J72-O60</f>
        <v>23748.383244547236</v>
      </c>
      <c r="P62" s="79"/>
      <c r="Q62" s="68" t="s">
        <v>126</v>
      </c>
      <c r="R62" s="63">
        <f>R58*R60</f>
        <v>98099.72284158018</v>
      </c>
      <c r="S62" s="51"/>
      <c r="T62" s="68" t="s">
        <v>145</v>
      </c>
      <c r="U62" s="70">
        <f>O67</f>
        <v>39817</v>
      </c>
      <c r="V62" s="74"/>
      <c r="W62" s="51"/>
      <c r="X62" s="65"/>
    </row>
    <row r="63" spans="1:24" ht="15.75">
      <c r="H63" s="39" t="s">
        <v>104</v>
      </c>
      <c r="I63" s="63">
        <f>ONSV_AUX_2021!N56</f>
        <v>6693344</v>
      </c>
      <c r="J63" s="64">
        <f>I63-(L58*I57)</f>
        <v>6689611.3115409231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3732.6884590769187</v>
      </c>
      <c r="V63" s="74"/>
      <c r="W63" s="68" t="s">
        <v>147</v>
      </c>
      <c r="X63" s="70">
        <f>I71</f>
        <v>84527</v>
      </c>
    </row>
    <row r="64" spans="1:24" ht="15.75">
      <c r="H64" s="39" t="s">
        <v>105</v>
      </c>
      <c r="I64" s="63">
        <f>ONSV_AUX_2021!N57</f>
        <v>357062</v>
      </c>
      <c r="J64" s="10">
        <f>I64</f>
        <v>357062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804429.13971454417</v>
      </c>
      <c r="S64" s="51"/>
      <c r="T64" s="68" t="s">
        <v>150</v>
      </c>
      <c r="U64" s="75">
        <f>O69</f>
        <v>1073689.7323725233</v>
      </c>
      <c r="V64" s="51"/>
      <c r="W64" s="68" t="s">
        <v>151</v>
      </c>
      <c r="X64" s="70">
        <f>I68</f>
        <v>50066</v>
      </c>
    </row>
    <row r="65" spans="1:24" ht="15.75">
      <c r="H65" s="39" t="s">
        <v>106</v>
      </c>
      <c r="I65" s="63">
        <f>ONSV_AUX_2021!N58</f>
        <v>87131</v>
      </c>
      <c r="J65" s="10">
        <f>I65</f>
        <v>87131</v>
      </c>
      <c r="K65" s="11"/>
      <c r="L65" s="11"/>
      <c r="M65" s="11"/>
      <c r="O65" s="76"/>
      <c r="P65" s="79"/>
      <c r="Q65" s="68" t="s">
        <v>135</v>
      </c>
      <c r="R65" s="63">
        <f>J67-R62</f>
        <v>284586.7446683849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ONSV_AUX_2021!N59</f>
        <v>1082327</v>
      </c>
      <c r="J66" s="64">
        <f>I66-(L59*I57)</f>
        <v>1081723.416872964</v>
      </c>
      <c r="K66" s="11"/>
      <c r="L66" s="11"/>
      <c r="M66" s="11"/>
      <c r="N66" s="30" t="s">
        <v>142</v>
      </c>
      <c r="O66" s="63">
        <f>I54</f>
        <v>436347</v>
      </c>
      <c r="P66" s="79"/>
      <c r="Q66" s="51"/>
      <c r="R66" s="51"/>
      <c r="S66" s="80"/>
      <c r="T66" s="68" t="s">
        <v>141</v>
      </c>
      <c r="U66" s="71">
        <f>R61</f>
        <v>277294.27715841978</v>
      </c>
      <c r="V66" s="51"/>
      <c r="W66" s="68" t="s">
        <v>152</v>
      </c>
      <c r="X66" s="70">
        <f>I69</f>
        <v>2721372</v>
      </c>
    </row>
    <row r="67" spans="1:24" ht="15.75">
      <c r="H67" s="39" t="s">
        <v>108</v>
      </c>
      <c r="I67" s="63">
        <f>ONSV_AUX_2021!N60</f>
        <v>382900</v>
      </c>
      <c r="J67" s="64">
        <f>I67-(L60*I57)</f>
        <v>382686.46750996506</v>
      </c>
      <c r="K67" s="11"/>
      <c r="L67" s="11"/>
      <c r="M67" s="11"/>
      <c r="N67" s="30" t="s">
        <v>145</v>
      </c>
      <c r="O67" s="63">
        <f>I58</f>
        <v>39817</v>
      </c>
      <c r="P67" s="79"/>
      <c r="Q67" s="51"/>
      <c r="R67" s="51"/>
      <c r="S67" s="51"/>
      <c r="T67" s="68" t="s">
        <v>153</v>
      </c>
      <c r="U67" s="71">
        <f>I66-J66</f>
        <v>603.58312703599222</v>
      </c>
      <c r="V67" s="51"/>
      <c r="W67" s="68" t="s">
        <v>154</v>
      </c>
      <c r="X67" s="70">
        <f>I70</f>
        <v>327787</v>
      </c>
    </row>
    <row r="68" spans="1:24" ht="15.75">
      <c r="H68" s="39" t="s">
        <v>109</v>
      </c>
      <c r="I68" s="63">
        <f>ONSV_AUX_2021!N61</f>
        <v>50066</v>
      </c>
      <c r="J68" s="10">
        <f>I68</f>
        <v>50066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5139757.5791683998</v>
      </c>
      <c r="P68" s="79"/>
      <c r="Q68" s="51"/>
      <c r="R68" s="81"/>
      <c r="S68" s="51"/>
      <c r="T68" s="68" t="s">
        <v>149</v>
      </c>
      <c r="U68" s="75">
        <f>R64</f>
        <v>804429.13971454417</v>
      </c>
      <c r="V68" s="51"/>
      <c r="W68" s="51"/>
      <c r="X68" s="51"/>
    </row>
    <row r="69" spans="1:24" ht="15.75">
      <c r="H69" s="39" t="s">
        <v>110</v>
      </c>
      <c r="I69" s="63">
        <f>ONSV_AUX_2021!N62</f>
        <v>2721372</v>
      </c>
      <c r="J69" s="10">
        <f>I69</f>
        <v>2721372</v>
      </c>
      <c r="K69" s="11"/>
      <c r="L69" s="11"/>
      <c r="M69" s="11"/>
      <c r="N69" s="30" t="s">
        <v>150</v>
      </c>
      <c r="O69" s="63">
        <f>IF((J63-O66-O68-O67)&lt;0,0,(J63-O66-O68-O67))</f>
        <v>1073689.7323725233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ONSV_AUX_2021!N63</f>
        <v>327787</v>
      </c>
      <c r="J70" s="10">
        <f>I70</f>
        <v>327787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11889078</v>
      </c>
    </row>
    <row r="71" spans="1:24" ht="15.75">
      <c r="H71" s="39" t="s">
        <v>112</v>
      </c>
      <c r="I71" s="63">
        <f>ONSV_AUX_2021!N64</f>
        <v>84527</v>
      </c>
      <c r="J71" s="10">
        <f>I71</f>
        <v>84527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ONSV_AUX_2021!N65</f>
        <v>102562</v>
      </c>
      <c r="J72" s="64">
        <f>I72-(L61*I57)</f>
        <v>102504.80407614791</v>
      </c>
      <c r="K72" s="12"/>
      <c r="L72" s="12"/>
      <c r="M72" s="12"/>
      <c r="N72" s="12"/>
      <c r="O72" s="12"/>
      <c r="P72" s="12"/>
      <c r="Q72" s="4"/>
      <c r="R72" s="4"/>
    </row>
    <row r="75" spans="1:24" s="36" customFormat="1" ht="15.75">
      <c r="A75" s="100" t="str">
        <f>"MINAS GERAIS/"&amp;ONSV_AUX_2020!$A$1&amp;""</f>
        <v>MINAS GERAIS/2020</v>
      </c>
      <c r="B75" s="101"/>
      <c r="C75" s="101"/>
      <c r="D75" s="101"/>
      <c r="E75" s="101"/>
      <c r="F75" s="10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ONSV_AUX_2020!N27</f>
        <v>435993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ONSV_AUX_2020!N28</f>
        <v>4948007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ONSV_AUX_2020!N29</f>
        <v>907767</v>
      </c>
      <c r="J81" s="9"/>
      <c r="K81" s="2" t="s">
        <v>122</v>
      </c>
      <c r="L81" s="63">
        <f>I88+I91+I92+I97</f>
        <v>8021418</v>
      </c>
      <c r="N81" s="30" t="s">
        <v>123</v>
      </c>
      <c r="O81" s="63">
        <f>J88+J97</f>
        <v>6634268.1986568961</v>
      </c>
      <c r="P81" s="67"/>
      <c r="Q81" s="68" t="s">
        <v>124</v>
      </c>
      <c r="R81" s="63">
        <f>J91+J92</f>
        <v>1384733.8013431043</v>
      </c>
      <c r="S81" s="69"/>
      <c r="T81" s="68" t="s">
        <v>125</v>
      </c>
      <c r="U81" s="70">
        <f>O85</f>
        <v>66944.527171977854</v>
      </c>
      <c r="V81" s="51"/>
      <c r="W81" s="68" t="s">
        <v>126</v>
      </c>
      <c r="X81" s="71">
        <f>R87</f>
        <v>91164.384937093491</v>
      </c>
    </row>
    <row r="82" spans="8:24" ht="15.75">
      <c r="H82" s="38" t="s">
        <v>102</v>
      </c>
      <c r="I82" s="63">
        <f>ONSV_AUX_2020!N30</f>
        <v>2416</v>
      </c>
      <c r="J82" s="9"/>
      <c r="K82" s="29"/>
      <c r="L82" s="65"/>
      <c r="M82" s="22"/>
      <c r="N82" s="30" t="s">
        <v>127</v>
      </c>
      <c r="O82" s="72">
        <f>J88/O81</f>
        <v>0.98647040572659295</v>
      </c>
      <c r="P82" s="67"/>
      <c r="Q82" s="73" t="s">
        <v>128</v>
      </c>
      <c r="R82" s="66">
        <f>J91/R81</f>
        <v>0.73724814117738779</v>
      </c>
      <c r="S82" s="74"/>
      <c r="T82" s="68" t="s">
        <v>129</v>
      </c>
      <c r="U82" s="70">
        <f>I97-J97</f>
        <v>27.042971205344656</v>
      </c>
      <c r="V82" s="51"/>
      <c r="W82" s="68" t="s">
        <v>130</v>
      </c>
      <c r="X82" s="71">
        <f>I92-J92</f>
        <v>109.61972259765025</v>
      </c>
    </row>
    <row r="83" spans="8:24" ht="15.75">
      <c r="H83" s="38" t="s">
        <v>16</v>
      </c>
      <c r="I83" s="63">
        <f>ONSV_AUX_2020!N31</f>
        <v>38823</v>
      </c>
      <c r="J83" s="9"/>
      <c r="K83" s="2" t="s">
        <v>131</v>
      </c>
      <c r="L83" s="66">
        <f>I88/L81</f>
        <v>0.81612515393163654</v>
      </c>
      <c r="M83" s="22"/>
      <c r="N83" s="30" t="s">
        <v>132</v>
      </c>
      <c r="O83" s="72">
        <f>J97/O81</f>
        <v>1.3529594273407022E-2</v>
      </c>
      <c r="P83" s="67"/>
      <c r="Q83" s="73" t="s">
        <v>133</v>
      </c>
      <c r="R83" s="66">
        <f>J92/R81</f>
        <v>0.26275185882261209</v>
      </c>
      <c r="S83" s="74"/>
      <c r="T83" s="68" t="s">
        <v>134</v>
      </c>
      <c r="U83" s="75">
        <f>O87</f>
        <v>22814.429856816801</v>
      </c>
      <c r="V83" s="76"/>
      <c r="W83" s="68" t="s">
        <v>135</v>
      </c>
      <c r="X83" s="75">
        <f>R90</f>
        <v>272676.99534030887</v>
      </c>
    </row>
    <row r="84" spans="8:24" ht="15.75">
      <c r="H84" s="38" t="s">
        <v>94</v>
      </c>
      <c r="I84" s="63">
        <f>ONSV_AUX_2020!N32</f>
        <v>5210983</v>
      </c>
      <c r="J84" s="10"/>
      <c r="K84" s="2" t="s">
        <v>2</v>
      </c>
      <c r="L84" s="66">
        <f>I91/L81</f>
        <v>0.12730916154724764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4.5372401737448415E-2</v>
      </c>
      <c r="M85" s="22"/>
      <c r="N85" s="30" t="s">
        <v>136</v>
      </c>
      <c r="O85" s="63">
        <f>IF(O83*I80&gt;J97,J97,O83*I80)</f>
        <v>66944.527171977854</v>
      </c>
      <c r="P85" s="79"/>
      <c r="Q85" s="68" t="s">
        <v>137</v>
      </c>
      <c r="R85" s="63">
        <f>I81-I89-I90-I93-I96</f>
        <v>346960</v>
      </c>
      <c r="S85" s="80"/>
      <c r="T85" s="68" t="s">
        <v>138</v>
      </c>
      <c r="U85" s="70">
        <f>O93</f>
        <v>4881062.4728280222</v>
      </c>
      <c r="V85" s="79"/>
      <c r="W85" s="68" t="s">
        <v>139</v>
      </c>
      <c r="X85" s="70">
        <f>I89</f>
        <v>348366</v>
      </c>
    </row>
    <row r="86" spans="8:24" ht="15.75">
      <c r="H86" s="26" t="s">
        <v>140</v>
      </c>
      <c r="K86" s="2" t="s">
        <v>0</v>
      </c>
      <c r="L86" s="66">
        <f>I97/L81</f>
        <v>1.1193282783667427E-2</v>
      </c>
      <c r="O86" s="51"/>
      <c r="P86" s="79"/>
      <c r="Q86" s="68" t="s">
        <v>141</v>
      </c>
      <c r="R86" s="63">
        <f>R82*R85</f>
        <v>255795.61506290647</v>
      </c>
      <c r="S86" s="51"/>
      <c r="T86" s="68" t="s">
        <v>142</v>
      </c>
      <c r="U86" s="70">
        <f>O91</f>
        <v>435993</v>
      </c>
      <c r="V86" s="69"/>
      <c r="W86" s="68" t="s">
        <v>143</v>
      </c>
      <c r="X86" s="70">
        <f>I90</f>
        <v>80698</v>
      </c>
    </row>
    <row r="87" spans="8:24" ht="15.75">
      <c r="K87" s="11"/>
      <c r="L87" s="11"/>
      <c r="M87" s="11"/>
      <c r="N87" s="30" t="s">
        <v>144</v>
      </c>
      <c r="O87" s="63">
        <f>J97-O85</f>
        <v>22814.429856816801</v>
      </c>
      <c r="P87" s="79"/>
      <c r="Q87" s="68" t="s">
        <v>126</v>
      </c>
      <c r="R87" s="63">
        <f>R83*R85</f>
        <v>91164.384937093491</v>
      </c>
      <c r="S87" s="51"/>
      <c r="T87" s="68" t="s">
        <v>145</v>
      </c>
      <c r="U87" s="70">
        <f>O92</f>
        <v>38823</v>
      </c>
      <c r="V87" s="74"/>
      <c r="W87" s="51"/>
      <c r="X87" s="65"/>
    </row>
    <row r="88" spans="8:24" ht="15.75">
      <c r="H88" s="39" t="s">
        <v>104</v>
      </c>
      <c r="I88" s="63">
        <f>ONSV_AUX_2020!N56</f>
        <v>6546481</v>
      </c>
      <c r="J88" s="64">
        <f>I88-(L83*I82)</f>
        <v>6544509.2416281011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1971.7583718989044</v>
      </c>
      <c r="V88" s="74"/>
      <c r="W88" s="68" t="s">
        <v>147</v>
      </c>
      <c r="X88" s="70">
        <f>I96</f>
        <v>82159</v>
      </c>
    </row>
    <row r="89" spans="8:24" ht="15.75">
      <c r="H89" s="39" t="s">
        <v>105</v>
      </c>
      <c r="I89" s="63">
        <f>ONSV_AUX_2020!N57</f>
        <v>348366</v>
      </c>
      <c r="J89" s="10">
        <f>I89</f>
        <v>348366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765096.80600279546</v>
      </c>
      <c r="S89" s="51"/>
      <c r="T89" s="68" t="s">
        <v>150</v>
      </c>
      <c r="U89" s="75">
        <f>O94</f>
        <v>1188630.7688000789</v>
      </c>
      <c r="V89" s="51"/>
      <c r="W89" s="68" t="s">
        <v>151</v>
      </c>
      <c r="X89" s="70">
        <f>I93</f>
        <v>49584</v>
      </c>
    </row>
    <row r="90" spans="8:24" ht="15.75">
      <c r="H90" s="39" t="s">
        <v>106</v>
      </c>
      <c r="I90" s="63">
        <f>ONSV_AUX_2020!N58</f>
        <v>80698</v>
      </c>
      <c r="J90" s="10">
        <f>I90</f>
        <v>80698</v>
      </c>
      <c r="K90" s="11"/>
      <c r="L90" s="11"/>
      <c r="M90" s="11"/>
      <c r="O90" s="76"/>
      <c r="P90" s="79"/>
      <c r="Q90" s="68" t="s">
        <v>135</v>
      </c>
      <c r="R90" s="63">
        <f>J92-R87</f>
        <v>272676.99534030887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ONSV_AUX_2020!N59</f>
        <v>1021200</v>
      </c>
      <c r="J91" s="64">
        <f>I91-(L84*I82)</f>
        <v>1020892.4210657019</v>
      </c>
      <c r="K91" s="11"/>
      <c r="L91" s="11"/>
      <c r="M91" s="11"/>
      <c r="N91" s="30" t="s">
        <v>142</v>
      </c>
      <c r="O91" s="63">
        <f>I79</f>
        <v>435993</v>
      </c>
      <c r="P91" s="79"/>
      <c r="Q91" s="51"/>
      <c r="R91" s="51"/>
      <c r="S91" s="80"/>
      <c r="T91" s="68" t="s">
        <v>141</v>
      </c>
      <c r="U91" s="71">
        <f>R86</f>
        <v>255795.61506290647</v>
      </c>
      <c r="V91" s="51"/>
      <c r="W91" s="68" t="s">
        <v>152</v>
      </c>
      <c r="X91" s="70">
        <f>I94</f>
        <v>2637433</v>
      </c>
    </row>
    <row r="92" spans="8:24" ht="15.75">
      <c r="H92" s="39" t="s">
        <v>108</v>
      </c>
      <c r="I92" s="63">
        <f>ONSV_AUX_2020!N60</f>
        <v>363951</v>
      </c>
      <c r="J92" s="64">
        <f>I92-(L85*I82)</f>
        <v>363841.38027740235</v>
      </c>
      <c r="K92" s="11"/>
      <c r="L92" s="11"/>
      <c r="M92" s="11"/>
      <c r="N92" s="30" t="s">
        <v>145</v>
      </c>
      <c r="O92" s="63">
        <f>I83</f>
        <v>38823</v>
      </c>
      <c r="P92" s="79"/>
      <c r="Q92" s="51"/>
      <c r="R92" s="51"/>
      <c r="S92" s="51"/>
      <c r="T92" s="68" t="s">
        <v>153</v>
      </c>
      <c r="U92" s="71">
        <f>I91-J91</f>
        <v>307.57893429812975</v>
      </c>
      <c r="V92" s="51"/>
      <c r="W92" s="68" t="s">
        <v>154</v>
      </c>
      <c r="X92" s="70">
        <f>I95</f>
        <v>312220</v>
      </c>
    </row>
    <row r="93" spans="8:24" ht="15.75">
      <c r="H93" s="39" t="s">
        <v>109</v>
      </c>
      <c r="I93" s="63">
        <f>ONSV_AUX_2020!N61</f>
        <v>49584</v>
      </c>
      <c r="J93" s="10">
        <f>I93</f>
        <v>49584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4881062.4728280222</v>
      </c>
      <c r="P93" s="79"/>
      <c r="Q93" s="51"/>
      <c r="R93" s="81"/>
      <c r="S93" s="51"/>
      <c r="T93" s="68" t="s">
        <v>149</v>
      </c>
      <c r="U93" s="75">
        <f>R89</f>
        <v>765096.80600279546</v>
      </c>
      <c r="V93" s="51"/>
      <c r="W93" s="51"/>
      <c r="X93" s="51"/>
    </row>
    <row r="94" spans="8:24" ht="15.75">
      <c r="H94" s="39" t="s">
        <v>110</v>
      </c>
      <c r="I94" s="63">
        <f>ONSV_AUX_2020!N62</f>
        <v>2637433</v>
      </c>
      <c r="J94" s="10">
        <f>I94</f>
        <v>2637433</v>
      </c>
      <c r="K94" s="11"/>
      <c r="L94" s="11"/>
      <c r="M94" s="11"/>
      <c r="N94" s="30" t="s">
        <v>150</v>
      </c>
      <c r="O94" s="63">
        <f>IF((J88-O91-O93-O92)&lt;0,0,(J88-O91-O93-O92))</f>
        <v>1188630.7688000789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ONSV_AUX_2020!N63</f>
        <v>312220</v>
      </c>
      <c r="J95" s="10">
        <f>I95</f>
        <v>312220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11531878</v>
      </c>
    </row>
    <row r="96" spans="8:24" ht="15.75">
      <c r="H96" s="39" t="s">
        <v>112</v>
      </c>
      <c r="I96" s="63">
        <f>ONSV_AUX_2020!N64</f>
        <v>82159</v>
      </c>
      <c r="J96" s="10">
        <f>I96</f>
        <v>82159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ONSV_AUX_2020!N65</f>
        <v>89786</v>
      </c>
      <c r="J97" s="64">
        <f>I97-(L86*I82)</f>
        <v>89758.957028794655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6" customFormat="1" ht="15.75">
      <c r="A100" s="100" t="str">
        <f>"MINAS GERAIS/"&amp;ONSV_AUX_2019!$A$1&amp;""</f>
        <v>MINAS GERAIS/2019</v>
      </c>
      <c r="B100" s="101"/>
      <c r="C100" s="101"/>
      <c r="D100" s="101"/>
      <c r="E100" s="101"/>
      <c r="F100" s="101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ONSV_AUX_2019!N27</f>
        <v>435582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ONSV_AUX_2019!N28</f>
        <v>4620423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ONSV_AUX_2019!N29</f>
        <v>863605</v>
      </c>
      <c r="J106" s="9"/>
      <c r="K106" s="2" t="s">
        <v>122</v>
      </c>
      <c r="L106" s="63">
        <f>I113+I116+I117+I122</f>
        <v>7714571</v>
      </c>
      <c r="N106" s="30" t="s">
        <v>123</v>
      </c>
      <c r="O106" s="63">
        <f>J113+J122</f>
        <v>6403383.39271231</v>
      </c>
      <c r="P106" s="67"/>
      <c r="Q106" s="68" t="s">
        <v>124</v>
      </c>
      <c r="R106" s="63">
        <f>J116+J117</f>
        <v>1310066.6072876898</v>
      </c>
      <c r="S106" s="69"/>
      <c r="T106" s="68" t="s">
        <v>125</v>
      </c>
      <c r="U106" s="70">
        <f>O110</f>
        <v>57432.129864026028</v>
      </c>
      <c r="V106" s="51"/>
      <c r="W106" s="68" t="s">
        <v>126</v>
      </c>
      <c r="X106" s="71">
        <f>R112</f>
        <v>86220.393263306367</v>
      </c>
    </row>
    <row r="107" spans="1:24" ht="15.75">
      <c r="H107" s="38" t="s">
        <v>102</v>
      </c>
      <c r="I107" s="63">
        <f>ONSV_AUX_2019!N30</f>
        <v>1121</v>
      </c>
      <c r="J107" s="9"/>
      <c r="K107" s="29"/>
      <c r="L107" s="65"/>
      <c r="M107" s="22"/>
      <c r="N107" s="30" t="s">
        <v>127</v>
      </c>
      <c r="O107" s="72">
        <f>J113/O106</f>
        <v>0.98756994113655261</v>
      </c>
      <c r="P107" s="67"/>
      <c r="Q107" s="73" t="s">
        <v>128</v>
      </c>
      <c r="R107" s="66">
        <f>J116/R106</f>
        <v>0.73208004231230972</v>
      </c>
      <c r="S107" s="74"/>
      <c r="T107" s="68" t="s">
        <v>129</v>
      </c>
      <c r="U107" s="70">
        <f>I122-J122</f>
        <v>11.567503364742151</v>
      </c>
      <c r="V107" s="51"/>
      <c r="W107" s="68" t="s">
        <v>130</v>
      </c>
      <c r="X107" s="71">
        <f>I117-J117</f>
        <v>51.0100074262009</v>
      </c>
    </row>
    <row r="108" spans="1:24" ht="15.75">
      <c r="H108" s="38" t="s">
        <v>16</v>
      </c>
      <c r="I108" s="63">
        <f>ONSV_AUX_2019!N31</f>
        <v>36839</v>
      </c>
      <c r="J108" s="9"/>
      <c r="K108" s="2" t="s">
        <v>131</v>
      </c>
      <c r="L108" s="66">
        <f>I113/L106</f>
        <v>0.81983923668600622</v>
      </c>
      <c r="M108" s="22"/>
      <c r="N108" s="30" t="s">
        <v>132</v>
      </c>
      <c r="O108" s="72">
        <f>J122/O106</f>
        <v>1.2430058863447358E-2</v>
      </c>
      <c r="P108" s="67"/>
      <c r="Q108" s="73" t="s">
        <v>133</v>
      </c>
      <c r="R108" s="66">
        <f>J117/R106</f>
        <v>0.26791995768769028</v>
      </c>
      <c r="S108" s="74"/>
      <c r="T108" s="68" t="s">
        <v>134</v>
      </c>
      <c r="U108" s="75">
        <f>O112</f>
        <v>22162.302632609229</v>
      </c>
      <c r="V108" s="76"/>
      <c r="W108" s="68" t="s">
        <v>135</v>
      </c>
      <c r="X108" s="75">
        <f>R115</f>
        <v>264772.59672926745</v>
      </c>
    </row>
    <row r="109" spans="1:24" ht="15.75">
      <c r="H109" s="38" t="s">
        <v>94</v>
      </c>
      <c r="I109" s="63">
        <f>ONSV_AUX_2019!N32</f>
        <v>5176737</v>
      </c>
      <c r="J109" s="10"/>
      <c r="K109" s="2" t="s">
        <v>2</v>
      </c>
      <c r="L109" s="66">
        <f>I116/L106</f>
        <v>0.12433782772885232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4.5504020897597544E-2</v>
      </c>
      <c r="M110" s="22"/>
      <c r="N110" s="30" t="s">
        <v>136</v>
      </c>
      <c r="O110" s="63">
        <f>IF(O108*I105&gt;J122,J122,O108*I105)</f>
        <v>57432.129864026028</v>
      </c>
      <c r="P110" s="79"/>
      <c r="Q110" s="68" t="s">
        <v>137</v>
      </c>
      <c r="R110" s="63">
        <f>I106-I114-I115-I118-I121</f>
        <v>321814</v>
      </c>
      <c r="S110" s="80"/>
      <c r="T110" s="68" t="s">
        <v>138</v>
      </c>
      <c r="U110" s="70">
        <f>O118</f>
        <v>4562990.8701359741</v>
      </c>
      <c r="V110" s="79"/>
      <c r="W110" s="68" t="s">
        <v>139</v>
      </c>
      <c r="X110" s="70">
        <f>I114</f>
        <v>339525</v>
      </c>
    </row>
    <row r="111" spans="1:24" ht="15.75">
      <c r="H111" s="26" t="s">
        <v>140</v>
      </c>
      <c r="K111" s="2" t="s">
        <v>0</v>
      </c>
      <c r="L111" s="66">
        <f>I122/L106</f>
        <v>1.0318914687543869E-2</v>
      </c>
      <c r="O111" s="51"/>
      <c r="P111" s="79"/>
      <c r="Q111" s="68" t="s">
        <v>141</v>
      </c>
      <c r="R111" s="63">
        <f>R107*R110</f>
        <v>235593.60673669365</v>
      </c>
      <c r="S111" s="51"/>
      <c r="T111" s="68" t="s">
        <v>142</v>
      </c>
      <c r="U111" s="70">
        <f>O116</f>
        <v>435582</v>
      </c>
      <c r="V111" s="69"/>
      <c r="W111" s="68" t="s">
        <v>143</v>
      </c>
      <c r="X111" s="70">
        <f>I115</f>
        <v>74728</v>
      </c>
    </row>
    <row r="112" spans="1:24" ht="15.75">
      <c r="K112" s="11"/>
      <c r="L112" s="11"/>
      <c r="M112" s="11"/>
      <c r="N112" s="30" t="s">
        <v>144</v>
      </c>
      <c r="O112" s="63">
        <f>J122-O110</f>
        <v>22162.302632609229</v>
      </c>
      <c r="P112" s="79"/>
      <c r="Q112" s="68" t="s">
        <v>126</v>
      </c>
      <c r="R112" s="63">
        <f>R108*R110</f>
        <v>86220.393263306367</v>
      </c>
      <c r="S112" s="51"/>
      <c r="T112" s="68" t="s">
        <v>145</v>
      </c>
      <c r="U112" s="70">
        <f>O117</f>
        <v>36839</v>
      </c>
      <c r="V112" s="74"/>
      <c r="W112" s="51"/>
      <c r="X112" s="65"/>
    </row>
    <row r="113" spans="8:24" ht="15.75">
      <c r="H113" s="39" t="s">
        <v>104</v>
      </c>
      <c r="I113" s="63">
        <f>ONSV_AUX_2019!N56</f>
        <v>6324708</v>
      </c>
      <c r="J113" s="64">
        <f>I113-(L108*I107)</f>
        <v>6323788.9602156747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919.03978432528675</v>
      </c>
      <c r="V113" s="74"/>
      <c r="W113" s="68" t="s">
        <v>147</v>
      </c>
      <c r="X113" s="70">
        <f>I121</f>
        <v>79837</v>
      </c>
    </row>
    <row r="114" spans="8:24" ht="15.75">
      <c r="H114" s="39" t="s">
        <v>105</v>
      </c>
      <c r="I114" s="63">
        <f>ONSV_AUX_2019!N57</f>
        <v>339525</v>
      </c>
      <c r="J114" s="10">
        <f>I114</f>
        <v>339525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723480.01055842231</v>
      </c>
      <c r="S114" s="51"/>
      <c r="T114" s="68" t="s">
        <v>150</v>
      </c>
      <c r="U114" s="75">
        <f>O119</f>
        <v>1288377.0900797006</v>
      </c>
      <c r="V114" s="51"/>
      <c r="W114" s="68" t="s">
        <v>151</v>
      </c>
      <c r="X114" s="70">
        <f>I118</f>
        <v>47701</v>
      </c>
    </row>
    <row r="115" spans="8:24" ht="15.75">
      <c r="H115" s="39" t="s">
        <v>106</v>
      </c>
      <c r="I115" s="63">
        <f>ONSV_AUX_2019!N58</f>
        <v>74728</v>
      </c>
      <c r="J115" s="10">
        <f>I115</f>
        <v>74728</v>
      </c>
      <c r="K115" s="11"/>
      <c r="L115" s="11"/>
      <c r="M115" s="11"/>
      <c r="O115" s="76"/>
      <c r="P115" s="79"/>
      <c r="Q115" s="68" t="s">
        <v>135</v>
      </c>
      <c r="R115" s="63">
        <f>J117-R112</f>
        <v>264772.59672926745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ONSV_AUX_2019!N59</f>
        <v>959213</v>
      </c>
      <c r="J116" s="64">
        <f>I116-(L109*I107)</f>
        <v>959073.61729511595</v>
      </c>
      <c r="K116" s="11"/>
      <c r="L116" s="11"/>
      <c r="M116" s="11"/>
      <c r="N116" s="30" t="s">
        <v>142</v>
      </c>
      <c r="O116" s="63">
        <f>I104</f>
        <v>435582</v>
      </c>
      <c r="P116" s="79"/>
      <c r="Q116" s="51"/>
      <c r="R116" s="51"/>
      <c r="S116" s="80"/>
      <c r="T116" s="68" t="s">
        <v>141</v>
      </c>
      <c r="U116" s="71">
        <f>R111</f>
        <v>235593.60673669365</v>
      </c>
      <c r="V116" s="51"/>
      <c r="W116" s="68" t="s">
        <v>152</v>
      </c>
      <c r="X116" s="70">
        <f>I119</f>
        <v>2565506</v>
      </c>
    </row>
    <row r="117" spans="8:24" ht="15.75">
      <c r="H117" s="39" t="s">
        <v>108</v>
      </c>
      <c r="I117" s="63">
        <f>ONSV_AUX_2019!N60</f>
        <v>351044</v>
      </c>
      <c r="J117" s="64">
        <f>I117-(L110*I107)</f>
        <v>350992.9899925738</v>
      </c>
      <c r="K117" s="11"/>
      <c r="L117" s="11"/>
      <c r="M117" s="11"/>
      <c r="N117" s="30" t="s">
        <v>145</v>
      </c>
      <c r="O117" s="63">
        <f>I108</f>
        <v>36839</v>
      </c>
      <c r="P117" s="79"/>
      <c r="Q117" s="51"/>
      <c r="R117" s="51"/>
      <c r="S117" s="51"/>
      <c r="T117" s="68" t="s">
        <v>153</v>
      </c>
      <c r="U117" s="71">
        <f>I116-J116</f>
        <v>139.38270488404669</v>
      </c>
      <c r="V117" s="51"/>
      <c r="W117" s="68" t="s">
        <v>154</v>
      </c>
      <c r="X117" s="70">
        <f>I120</f>
        <v>299342</v>
      </c>
    </row>
    <row r="118" spans="8:24" ht="15.75">
      <c r="H118" s="39" t="s">
        <v>109</v>
      </c>
      <c r="I118" s="63">
        <f>ONSV_AUX_2019!N61</f>
        <v>47701</v>
      </c>
      <c r="J118" s="10">
        <f>I118</f>
        <v>47701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4562990.8701359741</v>
      </c>
      <c r="P118" s="79"/>
      <c r="Q118" s="51"/>
      <c r="R118" s="81"/>
      <c r="S118" s="51"/>
      <c r="T118" s="68" t="s">
        <v>149</v>
      </c>
      <c r="U118" s="75">
        <f>R114</f>
        <v>723480.01055842231</v>
      </c>
      <c r="V118" s="51"/>
      <c r="W118" s="51"/>
      <c r="X118" s="51"/>
    </row>
    <row r="119" spans="8:24" ht="15.75">
      <c r="H119" s="39" t="s">
        <v>110</v>
      </c>
      <c r="I119" s="63">
        <f>ONSV_AUX_2019!N62</f>
        <v>2565506</v>
      </c>
      <c r="J119" s="10">
        <f>I119</f>
        <v>2565506</v>
      </c>
      <c r="K119" s="11"/>
      <c r="L119" s="11"/>
      <c r="M119" s="11"/>
      <c r="N119" s="30" t="s">
        <v>150</v>
      </c>
      <c r="O119" s="63">
        <f>IF((J113-O116-O118-O117)&lt;0,0,(J113-O116-O118-O117))</f>
        <v>1288377.0900797006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ONSV_AUX_2019!N63</f>
        <v>299342</v>
      </c>
      <c r="J120" s="10">
        <f>I120</f>
        <v>299342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11121210</v>
      </c>
    </row>
    <row r="121" spans="8:24" ht="15.75">
      <c r="H121" s="39" t="s">
        <v>112</v>
      </c>
      <c r="I121" s="63">
        <f>ONSV_AUX_2019!N64</f>
        <v>79837</v>
      </c>
      <c r="J121" s="10">
        <f>I121</f>
        <v>79837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ONSV_AUX_2019!N65</f>
        <v>79606</v>
      </c>
      <c r="J122" s="64">
        <f>I122-(L111*I107)</f>
        <v>79594.432496635258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K29:L29"/>
    <mergeCell ref="A25:F25"/>
    <mergeCell ref="A50:F50"/>
    <mergeCell ref="T27:X27"/>
    <mergeCell ref="T52:X52"/>
    <mergeCell ref="K104:L104"/>
    <mergeCell ref="A75:F75"/>
    <mergeCell ref="K54:L54"/>
    <mergeCell ref="K79:L79"/>
    <mergeCell ref="A100:F10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X122"/>
  <sheetViews>
    <sheetView showGridLines="0" topLeftCell="A97" zoomScale="90" zoomScaleNormal="90" workbookViewId="0">
      <selection activeCell="A100" sqref="A100:F100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3" customFormat="1" ht="15.75">
      <c r="A1" s="100" t="str">
        <f>"PARÁ/"&amp;ONSV_AUX_2023!$A$1&amp;""</f>
        <v>PARÁ/2023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ONSV_AUX_2023!O27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ONSV_AUX_2023!O28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ONSV_AUX_2023!O29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ONSV_AUX_2023!O30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ONSV_AUX_2023!O31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ONSV_AUX_2023!O32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ONSV_AUX_2023!O56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ONSV_AUX_2023!O57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ONSV_AUX_2023!O58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ONSV_AUX_2023!O59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ONSV_AUX_2023!O60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ONSV_AUX_2023!O61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ONSV_AUX_2023!O62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ONSV_AUX_2023!O63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ONSV_AUX_2023!O64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ONSV_AUX_2023!O65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6" customFormat="1" ht="15.75">
      <c r="A25" s="100" t="str">
        <f>"PARÁ/"&amp;ONSV_AUX_2022!$A$1&amp;""</f>
        <v>PARÁ/2022</v>
      </c>
      <c r="B25" s="101"/>
      <c r="C25" s="101"/>
      <c r="D25" s="101"/>
      <c r="E25" s="101"/>
      <c r="F25" s="10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5.75">
      <c r="A26" s="1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ONSV_AUX_2022!O27</f>
        <v>23983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ONSV_AUX_2022!O28</f>
        <v>1061518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ONSV_AUX_2022!O29</f>
        <v>228057</v>
      </c>
      <c r="J31" s="9"/>
      <c r="K31" s="2" t="s">
        <v>122</v>
      </c>
      <c r="L31" s="63">
        <f>I38+I41+I42+I47</f>
        <v>970068</v>
      </c>
      <c r="N31" s="30" t="s">
        <v>123</v>
      </c>
      <c r="O31" s="63">
        <f>J38+J47</f>
        <v>728140.79877390049</v>
      </c>
      <c r="P31" s="67"/>
      <c r="Q31" s="68" t="s">
        <v>124</v>
      </c>
      <c r="R31" s="63">
        <f>J41+J42</f>
        <v>240498.20122609963</v>
      </c>
      <c r="S31" s="69"/>
      <c r="T31" s="68" t="s">
        <v>125</v>
      </c>
      <c r="U31" s="70">
        <f>O35</f>
        <v>20715.439220755659</v>
      </c>
      <c r="V31" s="51"/>
      <c r="W31" s="68" t="s">
        <v>126</v>
      </c>
      <c r="X31" s="71">
        <f>R37</f>
        <v>23380.952784478497</v>
      </c>
    </row>
    <row r="32" spans="1:24" ht="15.75">
      <c r="H32" s="38" t="s">
        <v>102</v>
      </c>
      <c r="I32" s="63">
        <f>ONSV_AUX_2022!O30</f>
        <v>1429</v>
      </c>
      <c r="J32" s="9"/>
      <c r="K32" s="29"/>
      <c r="L32" s="65"/>
      <c r="M32" s="22"/>
      <c r="N32" s="30" t="s">
        <v>127</v>
      </c>
      <c r="O32" s="72">
        <f>J38/O31</f>
        <v>0.97155022867055663</v>
      </c>
      <c r="P32" s="67"/>
      <c r="Q32" s="73" t="s">
        <v>128</v>
      </c>
      <c r="R32" s="66">
        <f>J41/R31</f>
        <v>0.79971600935010145</v>
      </c>
      <c r="S32" s="74"/>
      <c r="T32" s="68" t="s">
        <v>129</v>
      </c>
      <c r="U32" s="70">
        <f>I47-J47</f>
        <v>30.560779244340665</v>
      </c>
      <c r="V32" s="51"/>
      <c r="W32" s="68" t="s">
        <v>130</v>
      </c>
      <c r="X32" s="71">
        <f>I42-J42</f>
        <v>71.060514314463944</v>
      </c>
    </row>
    <row r="33" spans="8:24" ht="15.75">
      <c r="H33" s="38" t="s">
        <v>16</v>
      </c>
      <c r="I33" s="63">
        <f>ONSV_AUX_2022!O31</f>
        <v>489</v>
      </c>
      <c r="J33" s="9"/>
      <c r="K33" s="2" t="s">
        <v>131</v>
      </c>
      <c r="L33" s="66">
        <f>I38/L31</f>
        <v>0.73032921403448003</v>
      </c>
      <c r="M33" s="22"/>
      <c r="N33" s="30" t="s">
        <v>132</v>
      </c>
      <c r="O33" s="72">
        <f>J47/O31</f>
        <v>2.8449771329443301E-2</v>
      </c>
      <c r="P33" s="67"/>
      <c r="Q33" s="73" t="s">
        <v>133</v>
      </c>
      <c r="R33" s="66">
        <f>J42/R31</f>
        <v>0.20028399064989846</v>
      </c>
      <c r="S33" s="74"/>
      <c r="T33" s="68" t="s">
        <v>134</v>
      </c>
      <c r="U33" s="75">
        <f>O37</f>
        <v>0</v>
      </c>
      <c r="V33" s="76"/>
      <c r="W33" s="68" t="s">
        <v>135</v>
      </c>
      <c r="X33" s="75">
        <f>R40</f>
        <v>24786.986701207039</v>
      </c>
    </row>
    <row r="34" spans="8:24" ht="15.75">
      <c r="H34" s="38" t="s">
        <v>94</v>
      </c>
      <c r="I34" s="63">
        <f>ONSV_AUX_2022!O32</f>
        <v>1033894</v>
      </c>
      <c r="J34" s="10"/>
      <c r="K34" s="2" t="s">
        <v>2</v>
      </c>
      <c r="L34" s="66">
        <f>I41/L31</f>
        <v>0.19855721454578443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4.9727441787586028E-2</v>
      </c>
      <c r="M35" s="22"/>
      <c r="N35" s="30" t="s">
        <v>136</v>
      </c>
      <c r="O35" s="63">
        <f>IF(O33*I30&gt;J47,J47,O33*I30)</f>
        <v>20715.439220755659</v>
      </c>
      <c r="P35" s="79"/>
      <c r="Q35" s="68" t="s">
        <v>137</v>
      </c>
      <c r="R35" s="63">
        <f>I31-I39-I40-I43-I46</f>
        <v>116739</v>
      </c>
      <c r="S35" s="80"/>
      <c r="T35" s="68" t="s">
        <v>138</v>
      </c>
      <c r="U35" s="70">
        <f>O43</f>
        <v>682953.35955314478</v>
      </c>
      <c r="V35" s="79"/>
      <c r="W35" s="68" t="s">
        <v>139</v>
      </c>
      <c r="X35" s="70">
        <f>I39</f>
        <v>69789</v>
      </c>
    </row>
    <row r="36" spans="8:24" ht="15.75">
      <c r="H36" s="26" t="s">
        <v>140</v>
      </c>
      <c r="K36" s="2" t="s">
        <v>0</v>
      </c>
      <c r="L36" s="66">
        <f>I47/L31</f>
        <v>2.13861296321495E-2</v>
      </c>
      <c r="O36" s="51"/>
      <c r="P36" s="79"/>
      <c r="Q36" s="68" t="s">
        <v>141</v>
      </c>
      <c r="R36" s="63">
        <f>R32*R35</f>
        <v>93358.047215521496</v>
      </c>
      <c r="S36" s="51"/>
      <c r="T36" s="68" t="s">
        <v>142</v>
      </c>
      <c r="U36" s="70">
        <f>O41</f>
        <v>23983</v>
      </c>
      <c r="V36" s="69"/>
      <c r="W36" s="68" t="s">
        <v>143</v>
      </c>
      <c r="X36" s="70">
        <f>I40</f>
        <v>12708</v>
      </c>
    </row>
    <row r="37" spans="8:24" ht="15.75">
      <c r="K37" s="11"/>
      <c r="L37" s="11"/>
      <c r="M37" s="11"/>
      <c r="N37" s="30" t="s">
        <v>144</v>
      </c>
      <c r="O37" s="63">
        <f>J47-O35</f>
        <v>0</v>
      </c>
      <c r="P37" s="79"/>
      <c r="Q37" s="68" t="s">
        <v>126</v>
      </c>
      <c r="R37" s="63">
        <f>R33*R35</f>
        <v>23380.952784478497</v>
      </c>
      <c r="S37" s="51"/>
      <c r="T37" s="68" t="s">
        <v>145</v>
      </c>
      <c r="U37" s="70">
        <f>O42</f>
        <v>489</v>
      </c>
      <c r="V37" s="74"/>
      <c r="W37" s="51"/>
      <c r="X37" s="65"/>
    </row>
    <row r="38" spans="8:24" ht="15.75">
      <c r="H38" s="39" t="s">
        <v>104</v>
      </c>
      <c r="I38" s="63">
        <f>ONSV_AUX_2022!O56</f>
        <v>708469</v>
      </c>
      <c r="J38" s="64">
        <f>I38-(L33*I32)</f>
        <v>707425.35955314478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1043.6404468552209</v>
      </c>
      <c r="V38" s="74"/>
      <c r="W38" s="68" t="s">
        <v>147</v>
      </c>
      <c r="X38" s="70">
        <f>I46</f>
        <v>21392</v>
      </c>
    </row>
    <row r="39" spans="8:24" ht="15.75">
      <c r="H39" s="39" t="s">
        <v>105</v>
      </c>
      <c r="I39" s="63">
        <f>ONSV_AUX_2022!O57</f>
        <v>69789</v>
      </c>
      <c r="J39" s="10">
        <f>I39</f>
        <v>69789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98972.214524892581</v>
      </c>
      <c r="S39" s="51"/>
      <c r="T39" s="68" t="s">
        <v>150</v>
      </c>
      <c r="U39" s="75">
        <f>O44</f>
        <v>0</v>
      </c>
      <c r="V39" s="51"/>
      <c r="W39" s="68" t="s">
        <v>151</v>
      </c>
      <c r="X39" s="70">
        <f>I43</f>
        <v>7429</v>
      </c>
    </row>
    <row r="40" spans="8:24" ht="15.75">
      <c r="H40" s="39" t="s">
        <v>106</v>
      </c>
      <c r="I40" s="63">
        <f>ONSV_AUX_2022!O58</f>
        <v>12708</v>
      </c>
      <c r="J40" s="10">
        <f>I40</f>
        <v>12708</v>
      </c>
      <c r="K40" s="11"/>
      <c r="L40" s="11"/>
      <c r="M40" s="11"/>
      <c r="O40" s="76"/>
      <c r="P40" s="79"/>
      <c r="Q40" s="68" t="s">
        <v>135</v>
      </c>
      <c r="R40" s="63">
        <f>J42-R37</f>
        <v>24786.986701207039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ONSV_AUX_2022!O59</f>
        <v>192614</v>
      </c>
      <c r="J41" s="64">
        <f>I41-(L34*I32)</f>
        <v>192330.26174041408</v>
      </c>
      <c r="K41" s="11"/>
      <c r="L41" s="11"/>
      <c r="M41" s="11"/>
      <c r="N41" s="30" t="s">
        <v>142</v>
      </c>
      <c r="O41" s="63">
        <f>I29</f>
        <v>23983</v>
      </c>
      <c r="P41" s="79"/>
      <c r="Q41" s="51"/>
      <c r="R41" s="51"/>
      <c r="S41" s="80"/>
      <c r="T41" s="68" t="s">
        <v>141</v>
      </c>
      <c r="U41" s="71">
        <f>R36</f>
        <v>93358.047215521496</v>
      </c>
      <c r="V41" s="51"/>
      <c r="W41" s="68" t="s">
        <v>152</v>
      </c>
      <c r="X41" s="70">
        <f>I44</f>
        <v>1028248</v>
      </c>
    </row>
    <row r="42" spans="8:24" ht="15.75">
      <c r="H42" s="39" t="s">
        <v>108</v>
      </c>
      <c r="I42" s="63">
        <f>ONSV_AUX_2022!O60</f>
        <v>48239</v>
      </c>
      <c r="J42" s="64">
        <f>I42-(L35*I32)</f>
        <v>48167.939485685536</v>
      </c>
      <c r="K42" s="11"/>
      <c r="L42" s="11"/>
      <c r="M42" s="11"/>
      <c r="N42" s="30" t="s">
        <v>145</v>
      </c>
      <c r="O42" s="63">
        <f>I33</f>
        <v>489</v>
      </c>
      <c r="P42" s="79"/>
      <c r="Q42" s="51"/>
      <c r="R42" s="51"/>
      <c r="S42" s="51"/>
      <c r="T42" s="68" t="s">
        <v>153</v>
      </c>
      <c r="U42" s="71">
        <f>I41-J41</f>
        <v>283.73825958592352</v>
      </c>
      <c r="V42" s="51"/>
      <c r="W42" s="68" t="s">
        <v>154</v>
      </c>
      <c r="X42" s="70">
        <f>I45</f>
        <v>240146</v>
      </c>
    </row>
    <row r="43" spans="8:24" ht="15.75">
      <c r="H43" s="39" t="s">
        <v>109</v>
      </c>
      <c r="I43" s="63">
        <f>ONSV_AUX_2022!O61</f>
        <v>7429</v>
      </c>
      <c r="J43" s="10">
        <f>I43</f>
        <v>7429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682953.35955314478</v>
      </c>
      <c r="P43" s="79"/>
      <c r="Q43" s="51"/>
      <c r="R43" s="81"/>
      <c r="S43" s="51"/>
      <c r="T43" s="68" t="s">
        <v>149</v>
      </c>
      <c r="U43" s="75">
        <f>R39</f>
        <v>98972.214524892581</v>
      </c>
      <c r="V43" s="51"/>
      <c r="W43" s="51"/>
      <c r="X43" s="51"/>
    </row>
    <row r="44" spans="8:24" ht="15.75">
      <c r="H44" s="39" t="s">
        <v>110</v>
      </c>
      <c r="I44" s="63">
        <f>ONSV_AUX_2022!O62</f>
        <v>1028248</v>
      </c>
      <c r="J44" s="10">
        <f>I44</f>
        <v>1028248</v>
      </c>
      <c r="K44" s="11"/>
      <c r="L44" s="11"/>
      <c r="M44" s="11"/>
      <c r="N44" s="30" t="s">
        <v>150</v>
      </c>
      <c r="O44" s="63">
        <f>IF((J38-O41-O43-O42)&lt;0,0,(J38-O41-O43-O42))</f>
        <v>0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ONSV_AUX_2022!O63</f>
        <v>240146</v>
      </c>
      <c r="J45" s="10">
        <f>I45</f>
        <v>240146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2349780</v>
      </c>
    </row>
    <row r="46" spans="8:24" ht="15.75">
      <c r="H46" s="39" t="s">
        <v>112</v>
      </c>
      <c r="I46" s="63">
        <f>ONSV_AUX_2022!O64</f>
        <v>21392</v>
      </c>
      <c r="J46" s="10">
        <f>I46</f>
        <v>21392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ONSV_AUX_2022!O65</f>
        <v>20746</v>
      </c>
      <c r="J47" s="64">
        <f>I47-(L36*I32)</f>
        <v>20715.439220755659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6" customFormat="1" ht="15.75">
      <c r="A50" s="100" t="str">
        <f>"PARÁ/"&amp;ONSV_AUX_2021!$A$1&amp;""</f>
        <v>PARÁ/2021</v>
      </c>
      <c r="B50" s="101"/>
      <c r="C50" s="101"/>
      <c r="D50" s="101"/>
      <c r="E50" s="101"/>
      <c r="F50" s="101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ONSV_AUX_2021!O27</f>
        <v>23932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ONSV_AUX_2021!O28</f>
        <v>990958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ONSV_AUX_2021!O29</f>
        <v>213254</v>
      </c>
      <c r="J56" s="9"/>
      <c r="K56" s="2" t="s">
        <v>122</v>
      </c>
      <c r="L56" s="63">
        <f>I63+I66+I67+I72</f>
        <v>927305</v>
      </c>
      <c r="N56" s="30" t="s">
        <v>123</v>
      </c>
      <c r="O56" s="63">
        <f>J63+J72</f>
        <v>702183.96784660919</v>
      </c>
      <c r="P56" s="67"/>
      <c r="Q56" s="68" t="s">
        <v>124</v>
      </c>
      <c r="R56" s="63">
        <f>J66+J67</f>
        <v>224324.03215339076</v>
      </c>
      <c r="S56" s="69"/>
      <c r="T56" s="68" t="s">
        <v>125</v>
      </c>
      <c r="U56" s="70">
        <f>O60</f>
        <v>17519.929020117437</v>
      </c>
      <c r="V56" s="51"/>
      <c r="W56" s="68" t="s">
        <v>126</v>
      </c>
      <c r="X56" s="71">
        <f>R62</f>
        <v>21818.637212326903</v>
      </c>
    </row>
    <row r="57" spans="1:24" ht="15.75">
      <c r="H57" s="38" t="s">
        <v>102</v>
      </c>
      <c r="I57" s="63">
        <f>ONSV_AUX_2021!O30</f>
        <v>797</v>
      </c>
      <c r="J57" s="9"/>
      <c r="K57" s="29"/>
      <c r="L57" s="65"/>
      <c r="M57" s="22"/>
      <c r="N57" s="30" t="s">
        <v>127</v>
      </c>
      <c r="O57" s="72">
        <f>J63/O56</f>
        <v>0.97504937477589271</v>
      </c>
      <c r="P57" s="67"/>
      <c r="Q57" s="73" t="s">
        <v>128</v>
      </c>
      <c r="R57" s="66">
        <f>J66/R56</f>
        <v>0.79690179362809943</v>
      </c>
      <c r="S57" s="74"/>
      <c r="T57" s="68" t="s">
        <v>129</v>
      </c>
      <c r="U57" s="70">
        <f>I72-J72</f>
        <v>15.070979882562824</v>
      </c>
      <c r="V57" s="51"/>
      <c r="W57" s="68" t="s">
        <v>130</v>
      </c>
      <c r="X57" s="71">
        <f>I67-J67</f>
        <v>39.19142353378993</v>
      </c>
    </row>
    <row r="58" spans="1:24" ht="15.75">
      <c r="H58" s="38" t="s">
        <v>16</v>
      </c>
      <c r="I58" s="63">
        <f>ONSV_AUX_2021!O31</f>
        <v>452</v>
      </c>
      <c r="J58" s="9"/>
      <c r="K58" s="2" t="s">
        <v>131</v>
      </c>
      <c r="L58" s="66">
        <f>I63/L56</f>
        <v>0.73897261418842775</v>
      </c>
      <c r="M58" s="22"/>
      <c r="N58" s="30" t="s">
        <v>132</v>
      </c>
      <c r="O58" s="72">
        <f>J72/O56</f>
        <v>2.4950625224107414E-2</v>
      </c>
      <c r="P58" s="67"/>
      <c r="Q58" s="73" t="s">
        <v>133</v>
      </c>
      <c r="R58" s="66">
        <f>J67/R56</f>
        <v>0.20309820637190054</v>
      </c>
      <c r="S58" s="74"/>
      <c r="T58" s="68" t="s">
        <v>134</v>
      </c>
      <c r="U58" s="75">
        <f>O62</f>
        <v>0</v>
      </c>
      <c r="V58" s="76"/>
      <c r="W58" s="68" t="s">
        <v>135</v>
      </c>
      <c r="X58" s="75">
        <f>R65</f>
        <v>23741.171364139307</v>
      </c>
    </row>
    <row r="59" spans="1:24" ht="15.75">
      <c r="H59" s="38" t="s">
        <v>94</v>
      </c>
      <c r="I59" s="63">
        <f>ONSV_AUX_2021!O32</f>
        <v>1004646</v>
      </c>
      <c r="J59" s="10"/>
      <c r="K59" s="2" t="s">
        <v>2</v>
      </c>
      <c r="L59" s="66">
        <f>I66/L56</f>
        <v>0.19294406910347728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4.9173680719935726E-2</v>
      </c>
      <c r="M60" s="22"/>
      <c r="N60" s="30" t="s">
        <v>136</v>
      </c>
      <c r="O60" s="63">
        <f>IF(O58*I55&gt;J72,J72,O58*I55)</f>
        <v>17519.929020117437</v>
      </c>
      <c r="P60" s="79"/>
      <c r="Q60" s="68" t="s">
        <v>137</v>
      </c>
      <c r="R60" s="63">
        <f>I56-I64-I65-I68-I71</f>
        <v>107429</v>
      </c>
      <c r="S60" s="80"/>
      <c r="T60" s="68" t="s">
        <v>138</v>
      </c>
      <c r="U60" s="70">
        <f>O68</f>
        <v>660280.0388264918</v>
      </c>
      <c r="V60" s="79"/>
      <c r="W60" s="68" t="s">
        <v>139</v>
      </c>
      <c r="X60" s="70">
        <f>I64</f>
        <v>66958</v>
      </c>
    </row>
    <row r="61" spans="1:24" ht="15.75">
      <c r="H61" s="26" t="s">
        <v>140</v>
      </c>
      <c r="K61" s="2" t="s">
        <v>0</v>
      </c>
      <c r="L61" s="66">
        <f>I72/L56</f>
        <v>1.8909635988159236E-2</v>
      </c>
      <c r="O61" s="51"/>
      <c r="P61" s="79"/>
      <c r="Q61" s="68" t="s">
        <v>141</v>
      </c>
      <c r="R61" s="63">
        <f>R57*R60</f>
        <v>85610.36278767309</v>
      </c>
      <c r="S61" s="51"/>
      <c r="T61" s="68" t="s">
        <v>142</v>
      </c>
      <c r="U61" s="70">
        <f>O66</f>
        <v>23932</v>
      </c>
      <c r="V61" s="69"/>
      <c r="W61" s="68" t="s">
        <v>143</v>
      </c>
      <c r="X61" s="70">
        <f>I65</f>
        <v>11244</v>
      </c>
    </row>
    <row r="62" spans="1:24" ht="15.75">
      <c r="K62" s="11"/>
      <c r="L62" s="11"/>
      <c r="M62" s="11"/>
      <c r="N62" s="30" t="s">
        <v>144</v>
      </c>
      <c r="O62" s="63">
        <f>J72-O60</f>
        <v>0</v>
      </c>
      <c r="P62" s="79"/>
      <c r="Q62" s="68" t="s">
        <v>126</v>
      </c>
      <c r="R62" s="63">
        <f>R58*R60</f>
        <v>21818.637212326903</v>
      </c>
      <c r="S62" s="51"/>
      <c r="T62" s="68" t="s">
        <v>145</v>
      </c>
      <c r="U62" s="70">
        <f>O67</f>
        <v>452</v>
      </c>
      <c r="V62" s="74"/>
      <c r="W62" s="51"/>
      <c r="X62" s="65"/>
    </row>
    <row r="63" spans="1:24" ht="15.75">
      <c r="H63" s="39" t="s">
        <v>104</v>
      </c>
      <c r="I63" s="63">
        <f>ONSV_AUX_2021!O56</f>
        <v>685253</v>
      </c>
      <c r="J63" s="64">
        <f>I63-(L58*I57)</f>
        <v>684664.0388264918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588.96117350819986</v>
      </c>
      <c r="V63" s="74"/>
      <c r="W63" s="68" t="s">
        <v>147</v>
      </c>
      <c r="X63" s="70">
        <f>I71</f>
        <v>20382</v>
      </c>
    </row>
    <row r="64" spans="1:24" ht="15.75">
      <c r="H64" s="39" t="s">
        <v>105</v>
      </c>
      <c r="I64" s="63">
        <f>ONSV_AUX_2021!O57</f>
        <v>66958</v>
      </c>
      <c r="J64" s="10">
        <f>I64</f>
        <v>66958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93153.860789251441</v>
      </c>
      <c r="S64" s="51"/>
      <c r="T64" s="68" t="s">
        <v>150</v>
      </c>
      <c r="U64" s="75">
        <f>O69</f>
        <v>0</v>
      </c>
      <c r="V64" s="51"/>
      <c r="W64" s="68" t="s">
        <v>151</v>
      </c>
      <c r="X64" s="70">
        <f>I68</f>
        <v>7241</v>
      </c>
    </row>
    <row r="65" spans="1:24" ht="15.75">
      <c r="H65" s="39" t="s">
        <v>106</v>
      </c>
      <c r="I65" s="63">
        <f>ONSV_AUX_2021!O58</f>
        <v>11244</v>
      </c>
      <c r="J65" s="10">
        <f>I65</f>
        <v>11244</v>
      </c>
      <c r="K65" s="11"/>
      <c r="L65" s="11"/>
      <c r="M65" s="11"/>
      <c r="O65" s="76"/>
      <c r="P65" s="79"/>
      <c r="Q65" s="68" t="s">
        <v>135</v>
      </c>
      <c r="R65" s="63">
        <f>J67-R62</f>
        <v>23741.171364139307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ONSV_AUX_2021!O59</f>
        <v>178918</v>
      </c>
      <c r="J66" s="64">
        <f>I66-(L59*I57)</f>
        <v>178764.22357692453</v>
      </c>
      <c r="K66" s="11"/>
      <c r="L66" s="11"/>
      <c r="M66" s="11"/>
      <c r="N66" s="30" t="s">
        <v>142</v>
      </c>
      <c r="O66" s="63">
        <f>I54</f>
        <v>23932</v>
      </c>
      <c r="P66" s="79"/>
      <c r="Q66" s="51"/>
      <c r="R66" s="51"/>
      <c r="S66" s="80"/>
      <c r="T66" s="68" t="s">
        <v>141</v>
      </c>
      <c r="U66" s="71">
        <f>R61</f>
        <v>85610.36278767309</v>
      </c>
      <c r="V66" s="51"/>
      <c r="W66" s="68" t="s">
        <v>152</v>
      </c>
      <c r="X66" s="70">
        <f>I69</f>
        <v>978134</v>
      </c>
    </row>
    <row r="67" spans="1:24" ht="15.75">
      <c r="H67" s="39" t="s">
        <v>108</v>
      </c>
      <c r="I67" s="63">
        <f>ONSV_AUX_2021!O60</f>
        <v>45599</v>
      </c>
      <c r="J67" s="64">
        <f>I67-(L60*I57)</f>
        <v>45559.80857646621</v>
      </c>
      <c r="K67" s="11"/>
      <c r="L67" s="11"/>
      <c r="M67" s="11"/>
      <c r="N67" s="30" t="s">
        <v>145</v>
      </c>
      <c r="O67" s="63">
        <f>I58</f>
        <v>452</v>
      </c>
      <c r="P67" s="79"/>
      <c r="Q67" s="51"/>
      <c r="R67" s="51"/>
      <c r="S67" s="51"/>
      <c r="T67" s="68" t="s">
        <v>153</v>
      </c>
      <c r="U67" s="71">
        <f>I66-J66</f>
        <v>153.77642307546921</v>
      </c>
      <c r="V67" s="51"/>
      <c r="W67" s="68" t="s">
        <v>154</v>
      </c>
      <c r="X67" s="70">
        <f>I70</f>
        <v>222807</v>
      </c>
    </row>
    <row r="68" spans="1:24" ht="15.75">
      <c r="H68" s="39" t="s">
        <v>109</v>
      </c>
      <c r="I68" s="63">
        <f>ONSV_AUX_2021!O61</f>
        <v>7241</v>
      </c>
      <c r="J68" s="10">
        <f>I68</f>
        <v>7241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660280.0388264918</v>
      </c>
      <c r="P68" s="79"/>
      <c r="Q68" s="51"/>
      <c r="R68" s="81"/>
      <c r="S68" s="51"/>
      <c r="T68" s="68" t="s">
        <v>149</v>
      </c>
      <c r="U68" s="75">
        <f>R64</f>
        <v>93153.860789251441</v>
      </c>
      <c r="V68" s="51"/>
      <c r="W68" s="51"/>
      <c r="X68" s="51"/>
    </row>
    <row r="69" spans="1:24" ht="15.75">
      <c r="H69" s="39" t="s">
        <v>110</v>
      </c>
      <c r="I69" s="63">
        <f>ONSV_AUX_2021!O62</f>
        <v>978134</v>
      </c>
      <c r="J69" s="10">
        <f>I69</f>
        <v>978134</v>
      </c>
      <c r="K69" s="11"/>
      <c r="L69" s="11"/>
      <c r="M69" s="11"/>
      <c r="N69" s="30" t="s">
        <v>150</v>
      </c>
      <c r="O69" s="63">
        <f>IF((J63-O66-O68-O67)&lt;0,0,(J63-O66-O68-O67))</f>
        <v>0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ONSV_AUX_2021!O63</f>
        <v>222807</v>
      </c>
      <c r="J70" s="10">
        <f>I70</f>
        <v>222807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2234071</v>
      </c>
    </row>
    <row r="71" spans="1:24" ht="15.75">
      <c r="H71" s="39" t="s">
        <v>112</v>
      </c>
      <c r="I71" s="63">
        <f>ONSV_AUX_2021!O64</f>
        <v>20382</v>
      </c>
      <c r="J71" s="10">
        <f>I71</f>
        <v>20382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ONSV_AUX_2021!O65</f>
        <v>17535</v>
      </c>
      <c r="J72" s="64">
        <f>I72-(L61*I57)</f>
        <v>17519.929020117437</v>
      </c>
      <c r="K72" s="12"/>
      <c r="L72" s="12"/>
      <c r="M72" s="12"/>
      <c r="N72" s="12"/>
      <c r="O72" s="12"/>
      <c r="P72" s="12"/>
      <c r="Q72" s="4"/>
      <c r="R72" s="4"/>
    </row>
    <row r="75" spans="1:24" s="36" customFormat="1" ht="15.75">
      <c r="A75" s="100" t="str">
        <f>"PARÁ/"&amp;ONSV_AUX_2020!$A$1&amp;""</f>
        <v>PARÁ/2020</v>
      </c>
      <c r="B75" s="101"/>
      <c r="C75" s="101"/>
      <c r="D75" s="101"/>
      <c r="E75" s="101"/>
      <c r="F75" s="10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ONSV_AUX_2020!O27</f>
        <v>23898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ONSV_AUX_2020!O28</f>
        <v>903617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ONSV_AUX_2020!O29</f>
        <v>198533</v>
      </c>
      <c r="J81" s="9"/>
      <c r="K81" s="2" t="s">
        <v>122</v>
      </c>
      <c r="L81" s="63">
        <f>I88+I91+I92+I97</f>
        <v>863422</v>
      </c>
      <c r="N81" s="30" t="s">
        <v>123</v>
      </c>
      <c r="O81" s="63">
        <f>J88+J97</f>
        <v>657587.11797012354</v>
      </c>
      <c r="P81" s="67"/>
      <c r="Q81" s="68" t="s">
        <v>124</v>
      </c>
      <c r="R81" s="63">
        <f>J91+J92</f>
        <v>205426.88202987649</v>
      </c>
      <c r="S81" s="69"/>
      <c r="T81" s="68" t="s">
        <v>125</v>
      </c>
      <c r="U81" s="70">
        <f>O85</f>
        <v>15022.89774872542</v>
      </c>
      <c r="V81" s="51"/>
      <c r="W81" s="68" t="s">
        <v>126</v>
      </c>
      <c r="X81" s="71">
        <f>R87</f>
        <v>20163.835698020666</v>
      </c>
    </row>
    <row r="82" spans="8:24" ht="15.75">
      <c r="H82" s="38" t="s">
        <v>102</v>
      </c>
      <c r="I82" s="63">
        <f>ONSV_AUX_2020!O30</f>
        <v>408</v>
      </c>
      <c r="J82" s="9"/>
      <c r="K82" s="29"/>
      <c r="L82" s="65"/>
      <c r="M82" s="22"/>
      <c r="N82" s="30" t="s">
        <v>127</v>
      </c>
      <c r="O82" s="72">
        <f>J88/O81</f>
        <v>0.97715451331361403</v>
      </c>
      <c r="P82" s="67"/>
      <c r="Q82" s="73" t="s">
        <v>128</v>
      </c>
      <c r="R82" s="66">
        <f>J91/R81</f>
        <v>0.79365913469959715</v>
      </c>
      <c r="S82" s="74"/>
      <c r="T82" s="68" t="s">
        <v>129</v>
      </c>
      <c r="U82" s="70">
        <f>I97-J97</f>
        <v>7.1022512745803397</v>
      </c>
      <c r="V82" s="51"/>
      <c r="W82" s="68" t="s">
        <v>130</v>
      </c>
      <c r="X82" s="71">
        <f>I92-J92</f>
        <v>20.039405991505191</v>
      </c>
    </row>
    <row r="83" spans="8:24" ht="15.75">
      <c r="H83" s="38" t="s">
        <v>16</v>
      </c>
      <c r="I83" s="63">
        <f>ONSV_AUX_2020!O31</f>
        <v>415</v>
      </c>
      <c r="J83" s="9"/>
      <c r="K83" s="2" t="s">
        <v>131</v>
      </c>
      <c r="L83" s="66">
        <f>I88/L81</f>
        <v>0.74455828088698228</v>
      </c>
      <c r="M83" s="22"/>
      <c r="N83" s="30" t="s">
        <v>132</v>
      </c>
      <c r="O83" s="72">
        <f>J97/O81</f>
        <v>2.2845486686386033E-2</v>
      </c>
      <c r="P83" s="67"/>
      <c r="Q83" s="73" t="s">
        <v>133</v>
      </c>
      <c r="R83" s="66">
        <f>J92/R81</f>
        <v>0.20634086530040285</v>
      </c>
      <c r="S83" s="74"/>
      <c r="T83" s="68" t="s">
        <v>134</v>
      </c>
      <c r="U83" s="75">
        <f>O87</f>
        <v>0</v>
      </c>
      <c r="V83" s="76"/>
      <c r="W83" s="68" t="s">
        <v>135</v>
      </c>
      <c r="X83" s="75">
        <f>R90</f>
        <v>22224.124895987828</v>
      </c>
    </row>
    <row r="84" spans="8:24" ht="15.75">
      <c r="H84" s="38" t="s">
        <v>94</v>
      </c>
      <c r="I84" s="63">
        <f>ONSV_AUX_2020!O32</f>
        <v>979305</v>
      </c>
      <c r="J84" s="10"/>
      <c r="K84" s="2" t="s">
        <v>2</v>
      </c>
      <c r="L84" s="66">
        <f>I91/L81</f>
        <v>0.18891804934319487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4.9116191155657372E-2</v>
      </c>
      <c r="M85" s="22"/>
      <c r="N85" s="30" t="s">
        <v>136</v>
      </c>
      <c r="O85" s="63">
        <f>IF(O83*I80&gt;J97,J97,O83*I80)</f>
        <v>15022.89774872542</v>
      </c>
      <c r="P85" s="79"/>
      <c r="Q85" s="68" t="s">
        <v>137</v>
      </c>
      <c r="R85" s="63">
        <f>I81-I89-I90-I93-I96</f>
        <v>97721</v>
      </c>
      <c r="S85" s="80"/>
      <c r="T85" s="68" t="s">
        <v>138</v>
      </c>
      <c r="U85" s="70">
        <f>O93</f>
        <v>618251.22022139817</v>
      </c>
      <c r="V85" s="79"/>
      <c r="W85" s="68" t="s">
        <v>139</v>
      </c>
      <c r="X85" s="70">
        <f>I89</f>
        <v>64564</v>
      </c>
    </row>
    <row r="86" spans="8:24" ht="15.75">
      <c r="H86" s="26" t="s">
        <v>140</v>
      </c>
      <c r="K86" s="2" t="s">
        <v>0</v>
      </c>
      <c r="L86" s="66">
        <f>I97/L81</f>
        <v>1.7407478614165493E-2</v>
      </c>
      <c r="O86" s="51"/>
      <c r="P86" s="79"/>
      <c r="Q86" s="68" t="s">
        <v>141</v>
      </c>
      <c r="R86" s="63">
        <f>R82*R85</f>
        <v>77557.164301979326</v>
      </c>
      <c r="S86" s="51"/>
      <c r="T86" s="68" t="s">
        <v>142</v>
      </c>
      <c r="U86" s="70">
        <f>O91</f>
        <v>23898</v>
      </c>
      <c r="V86" s="69"/>
      <c r="W86" s="68" t="s">
        <v>143</v>
      </c>
      <c r="X86" s="70">
        <f>I90</f>
        <v>9905</v>
      </c>
    </row>
    <row r="87" spans="8:24" ht="15.75">
      <c r="K87" s="11"/>
      <c r="L87" s="11"/>
      <c r="M87" s="11"/>
      <c r="N87" s="30" t="s">
        <v>144</v>
      </c>
      <c r="O87" s="63">
        <f>J97-O85</f>
        <v>0</v>
      </c>
      <c r="P87" s="79"/>
      <c r="Q87" s="68" t="s">
        <v>126</v>
      </c>
      <c r="R87" s="63">
        <f>R83*R85</f>
        <v>20163.835698020666</v>
      </c>
      <c r="S87" s="51"/>
      <c r="T87" s="68" t="s">
        <v>145</v>
      </c>
      <c r="U87" s="70">
        <f>O92</f>
        <v>415</v>
      </c>
      <c r="V87" s="74"/>
      <c r="W87" s="51"/>
      <c r="X87" s="65"/>
    </row>
    <row r="88" spans="8:24" ht="15.75">
      <c r="H88" s="39" t="s">
        <v>104</v>
      </c>
      <c r="I88" s="63">
        <f>ONSV_AUX_2020!O56</f>
        <v>642868</v>
      </c>
      <c r="J88" s="64">
        <f>I88-(L83*I82)</f>
        <v>642564.22022139817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303.77977860183455</v>
      </c>
      <c r="V88" s="74"/>
      <c r="W88" s="68" t="s">
        <v>147</v>
      </c>
      <c r="X88" s="70">
        <f>I96</f>
        <v>19357</v>
      </c>
    </row>
    <row r="89" spans="8:24" ht="15.75">
      <c r="H89" s="39" t="s">
        <v>105</v>
      </c>
      <c r="I89" s="63">
        <f>ONSV_AUX_2020!O57</f>
        <v>64564</v>
      </c>
      <c r="J89" s="10">
        <f>I89</f>
        <v>64564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85481.757133888663</v>
      </c>
      <c r="S89" s="51"/>
      <c r="T89" s="68" t="s">
        <v>150</v>
      </c>
      <c r="U89" s="75">
        <f>O94</f>
        <v>0</v>
      </c>
      <c r="V89" s="51"/>
      <c r="W89" s="68" t="s">
        <v>151</v>
      </c>
      <c r="X89" s="70">
        <f>I93</f>
        <v>6986</v>
      </c>
    </row>
    <row r="90" spans="8:24" ht="15.75">
      <c r="H90" s="39" t="s">
        <v>106</v>
      </c>
      <c r="I90" s="63">
        <f>ONSV_AUX_2020!O58</f>
        <v>9905</v>
      </c>
      <c r="J90" s="10">
        <f>I90</f>
        <v>9905</v>
      </c>
      <c r="K90" s="11"/>
      <c r="L90" s="11"/>
      <c r="M90" s="11"/>
      <c r="O90" s="76"/>
      <c r="P90" s="79"/>
      <c r="Q90" s="68" t="s">
        <v>135</v>
      </c>
      <c r="R90" s="63">
        <f>J92-R87</f>
        <v>22224.124895987828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ONSV_AUX_2020!O59</f>
        <v>163116</v>
      </c>
      <c r="J91" s="64">
        <f>I91-(L84*I82)</f>
        <v>163038.92143586799</v>
      </c>
      <c r="K91" s="11"/>
      <c r="L91" s="11"/>
      <c r="M91" s="11"/>
      <c r="N91" s="30" t="s">
        <v>142</v>
      </c>
      <c r="O91" s="63">
        <f>I79</f>
        <v>23898</v>
      </c>
      <c r="P91" s="79"/>
      <c r="Q91" s="51"/>
      <c r="R91" s="51"/>
      <c r="S91" s="80"/>
      <c r="T91" s="68" t="s">
        <v>141</v>
      </c>
      <c r="U91" s="71">
        <f>R86</f>
        <v>77557.164301979326</v>
      </c>
      <c r="V91" s="51"/>
      <c r="W91" s="68" t="s">
        <v>152</v>
      </c>
      <c r="X91" s="70">
        <f>I94</f>
        <v>933139</v>
      </c>
    </row>
    <row r="92" spans="8:24" ht="15.75">
      <c r="H92" s="39" t="s">
        <v>108</v>
      </c>
      <c r="I92" s="63">
        <f>ONSV_AUX_2020!O60</f>
        <v>42408</v>
      </c>
      <c r="J92" s="64">
        <f>I92-(L85*I82)</f>
        <v>42387.960594008495</v>
      </c>
      <c r="K92" s="11"/>
      <c r="L92" s="11"/>
      <c r="M92" s="11"/>
      <c r="N92" s="30" t="s">
        <v>145</v>
      </c>
      <c r="O92" s="63">
        <f>I83</f>
        <v>415</v>
      </c>
      <c r="P92" s="79"/>
      <c r="Q92" s="51"/>
      <c r="R92" s="51"/>
      <c r="S92" s="51"/>
      <c r="T92" s="68" t="s">
        <v>153</v>
      </c>
      <c r="U92" s="71">
        <f>I91-J91</f>
        <v>77.078564132010797</v>
      </c>
      <c r="V92" s="51"/>
      <c r="W92" s="68" t="s">
        <v>154</v>
      </c>
      <c r="X92" s="70">
        <f>I95</f>
        <v>208527</v>
      </c>
    </row>
    <row r="93" spans="8:24" ht="15.75">
      <c r="H93" s="39" t="s">
        <v>109</v>
      </c>
      <c r="I93" s="63">
        <f>ONSV_AUX_2020!O61</f>
        <v>6986</v>
      </c>
      <c r="J93" s="10">
        <f>I93</f>
        <v>6986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618251.22022139817</v>
      </c>
      <c r="P93" s="79"/>
      <c r="Q93" s="51"/>
      <c r="R93" s="81"/>
      <c r="S93" s="51"/>
      <c r="T93" s="68" t="s">
        <v>149</v>
      </c>
      <c r="U93" s="75">
        <f>R89</f>
        <v>85481.757133888663</v>
      </c>
      <c r="V93" s="51"/>
      <c r="W93" s="51"/>
      <c r="X93" s="51"/>
    </row>
    <row r="94" spans="8:24" ht="15.75">
      <c r="H94" s="39" t="s">
        <v>110</v>
      </c>
      <c r="I94" s="63">
        <f>ONSV_AUX_2020!O62</f>
        <v>933139</v>
      </c>
      <c r="J94" s="10">
        <f>I94</f>
        <v>933139</v>
      </c>
      <c r="K94" s="11"/>
      <c r="L94" s="11"/>
      <c r="M94" s="11"/>
      <c r="N94" s="30" t="s">
        <v>150</v>
      </c>
      <c r="O94" s="63">
        <f>IF((J88-O91-O93-O92)&lt;0,0,(J88-O91-O93-O92))</f>
        <v>0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ONSV_AUX_2020!O63</f>
        <v>208527</v>
      </c>
      <c r="J95" s="10">
        <f>I95</f>
        <v>208527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2105900</v>
      </c>
    </row>
    <row r="96" spans="8:24" ht="15.75">
      <c r="H96" s="39" t="s">
        <v>112</v>
      </c>
      <c r="I96" s="63">
        <f>ONSV_AUX_2020!O64</f>
        <v>19357</v>
      </c>
      <c r="J96" s="10">
        <f>I96</f>
        <v>19357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ONSV_AUX_2020!O65</f>
        <v>15030</v>
      </c>
      <c r="J97" s="64">
        <f>I97-(L86*I82)</f>
        <v>15022.89774872542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6" customFormat="1" ht="15.75">
      <c r="A100" s="100" t="str">
        <f>"PARÁ/"&amp;ONSV_AUX_2019!$A$1&amp;""</f>
        <v>PARÁ/2019</v>
      </c>
      <c r="B100" s="101"/>
      <c r="C100" s="101"/>
      <c r="D100" s="101"/>
      <c r="E100" s="101"/>
      <c r="F100" s="101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ONSV_AUX_2019!O27</f>
        <v>23883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ONSV_AUX_2019!O28</f>
        <v>844618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ONSV_AUX_2019!O29</f>
        <v>189615</v>
      </c>
      <c r="J106" s="9"/>
      <c r="K106" s="2" t="s">
        <v>122</v>
      </c>
      <c r="L106" s="63">
        <f>I113+I116+I117+I122</f>
        <v>823910</v>
      </c>
      <c r="N106" s="30" t="s">
        <v>123</v>
      </c>
      <c r="O106" s="63">
        <f>J113+J122</f>
        <v>628672.44044859265</v>
      </c>
      <c r="P106" s="67"/>
      <c r="Q106" s="68" t="s">
        <v>124</v>
      </c>
      <c r="R106" s="63">
        <f>J116+J117</f>
        <v>195062.55955140732</v>
      </c>
      <c r="S106" s="69"/>
      <c r="T106" s="68" t="s">
        <v>125</v>
      </c>
      <c r="U106" s="70">
        <f>O110</f>
        <v>14267.968813341264</v>
      </c>
      <c r="V106" s="51"/>
      <c r="W106" s="68" t="s">
        <v>126</v>
      </c>
      <c r="X106" s="71">
        <f>R112</f>
        <v>19257.732809168443</v>
      </c>
    </row>
    <row r="107" spans="1:24" ht="15.75">
      <c r="H107" s="38" t="s">
        <v>102</v>
      </c>
      <c r="I107" s="63">
        <f>ONSV_AUX_2019!O30</f>
        <v>175</v>
      </c>
      <c r="J107" s="9"/>
      <c r="K107" s="29"/>
      <c r="L107" s="65"/>
      <c r="M107" s="22"/>
      <c r="N107" s="30" t="s">
        <v>127</v>
      </c>
      <c r="O107" s="72">
        <f>J113/O106</f>
        <v>0.97730460587208146</v>
      </c>
      <c r="P107" s="67"/>
      <c r="Q107" s="73" t="s">
        <v>128</v>
      </c>
      <c r="R107" s="66">
        <f>J116/R106</f>
        <v>0.79050147613580446</v>
      </c>
      <c r="S107" s="74"/>
      <c r="T107" s="68" t="s">
        <v>129</v>
      </c>
      <c r="U107" s="70">
        <f>I122-J122</f>
        <v>3.0311866587362601</v>
      </c>
      <c r="V107" s="51"/>
      <c r="W107" s="68" t="s">
        <v>130</v>
      </c>
      <c r="X107" s="71">
        <f>I117-J117</f>
        <v>8.6817128084367141</v>
      </c>
    </row>
    <row r="108" spans="1:24" ht="15.75">
      <c r="H108" s="38" t="s">
        <v>16</v>
      </c>
      <c r="I108" s="63">
        <f>ONSV_AUX_2019!O31</f>
        <v>391</v>
      </c>
      <c r="J108" s="9"/>
      <c r="K108" s="2" t="s">
        <v>131</v>
      </c>
      <c r="L108" s="66">
        <f>I113/L106</f>
        <v>0.74587636999186802</v>
      </c>
      <c r="M108" s="22"/>
      <c r="N108" s="30" t="s">
        <v>132</v>
      </c>
      <c r="O108" s="72">
        <f>J122/O106</f>
        <v>2.2695394127918628E-2</v>
      </c>
      <c r="P108" s="67"/>
      <c r="Q108" s="73" t="s">
        <v>133</v>
      </c>
      <c r="R108" s="66">
        <f>J117/R106</f>
        <v>0.20949852386419551</v>
      </c>
      <c r="S108" s="74"/>
      <c r="T108" s="68" t="s">
        <v>134</v>
      </c>
      <c r="U108" s="75">
        <f>O112</f>
        <v>0</v>
      </c>
      <c r="V108" s="76"/>
      <c r="W108" s="68" t="s">
        <v>135</v>
      </c>
      <c r="X108" s="75">
        <f>R115</f>
        <v>21607.58547802312</v>
      </c>
    </row>
    <row r="109" spans="1:24" ht="15.75">
      <c r="H109" s="38" t="s">
        <v>94</v>
      </c>
      <c r="I109" s="63">
        <f>ONSV_AUX_2019!O32</f>
        <v>958602</v>
      </c>
      <c r="J109" s="10"/>
      <c r="K109" s="2" t="s">
        <v>2</v>
      </c>
      <c r="L109" s="66">
        <f>I116/L106</f>
        <v>0.18719277590999017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4.9609787476787515E-2</v>
      </c>
      <c r="M110" s="22"/>
      <c r="N110" s="30" t="s">
        <v>136</v>
      </c>
      <c r="O110" s="63">
        <f>IF(O108*I105&gt;J122,J122,O108*I105)</f>
        <v>14267.968813341264</v>
      </c>
      <c r="P110" s="79"/>
      <c r="Q110" s="68" t="s">
        <v>137</v>
      </c>
      <c r="R110" s="63">
        <f>I106-I114-I115-I118-I121</f>
        <v>91923</v>
      </c>
      <c r="S110" s="80"/>
      <c r="T110" s="68" t="s">
        <v>138</v>
      </c>
      <c r="U110" s="70">
        <f>O118</f>
        <v>590130.47163525142</v>
      </c>
      <c r="V110" s="79"/>
      <c r="W110" s="68" t="s">
        <v>139</v>
      </c>
      <c r="X110" s="70">
        <f>I114</f>
        <v>62896</v>
      </c>
    </row>
    <row r="111" spans="1:24" ht="15.75">
      <c r="H111" s="26" t="s">
        <v>140</v>
      </c>
      <c r="K111" s="2" t="s">
        <v>0</v>
      </c>
      <c r="L111" s="66">
        <f>I122/L106</f>
        <v>1.7321066621354273E-2</v>
      </c>
      <c r="O111" s="51"/>
      <c r="P111" s="79"/>
      <c r="Q111" s="68" t="s">
        <v>141</v>
      </c>
      <c r="R111" s="63">
        <f>R107*R110</f>
        <v>72665.267190831553</v>
      </c>
      <c r="S111" s="51"/>
      <c r="T111" s="68" t="s">
        <v>142</v>
      </c>
      <c r="U111" s="70">
        <f>O116</f>
        <v>23883</v>
      </c>
      <c r="V111" s="69"/>
      <c r="W111" s="68" t="s">
        <v>143</v>
      </c>
      <c r="X111" s="70">
        <f>I115</f>
        <v>9114</v>
      </c>
    </row>
    <row r="112" spans="1:24" ht="15.75">
      <c r="K112" s="11"/>
      <c r="L112" s="11"/>
      <c r="M112" s="11"/>
      <c r="N112" s="30" t="s">
        <v>144</v>
      </c>
      <c r="O112" s="63">
        <f>J122-O110</f>
        <v>0</v>
      </c>
      <c r="P112" s="79"/>
      <c r="Q112" s="68" t="s">
        <v>126</v>
      </c>
      <c r="R112" s="63">
        <f>R108*R110</f>
        <v>19257.732809168443</v>
      </c>
      <c r="S112" s="51"/>
      <c r="T112" s="68" t="s">
        <v>145</v>
      </c>
      <c r="U112" s="70">
        <f>O117</f>
        <v>391</v>
      </c>
      <c r="V112" s="74"/>
      <c r="W112" s="51"/>
      <c r="X112" s="65"/>
    </row>
    <row r="113" spans="8:24" ht="15.75">
      <c r="H113" s="39" t="s">
        <v>104</v>
      </c>
      <c r="I113" s="63">
        <f>ONSV_AUX_2019!O56</f>
        <v>614535</v>
      </c>
      <c r="J113" s="64">
        <f>I113-(L108*I107)</f>
        <v>614404.47163525142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130.52836474857759</v>
      </c>
      <c r="V113" s="74"/>
      <c r="W113" s="68" t="s">
        <v>147</v>
      </c>
      <c r="X113" s="70">
        <f>I121</f>
        <v>18888</v>
      </c>
    </row>
    <row r="114" spans="8:24" ht="15.75">
      <c r="H114" s="39" t="s">
        <v>105</v>
      </c>
      <c r="I114" s="63">
        <f>ONSV_AUX_2019!O57</f>
        <v>62896</v>
      </c>
      <c r="J114" s="10">
        <f>I114</f>
        <v>62896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81531.974073384205</v>
      </c>
      <c r="S114" s="51"/>
      <c r="T114" s="68" t="s">
        <v>150</v>
      </c>
      <c r="U114" s="75">
        <f>O119</f>
        <v>0</v>
      </c>
      <c r="V114" s="51"/>
      <c r="W114" s="68" t="s">
        <v>151</v>
      </c>
      <c r="X114" s="70">
        <f>I118</f>
        <v>6794</v>
      </c>
    </row>
    <row r="115" spans="8:24" ht="15.75">
      <c r="H115" s="39" t="s">
        <v>106</v>
      </c>
      <c r="I115" s="63">
        <f>ONSV_AUX_2019!O58</f>
        <v>9114</v>
      </c>
      <c r="J115" s="10">
        <f>I115</f>
        <v>9114</v>
      </c>
      <c r="K115" s="11"/>
      <c r="L115" s="11"/>
      <c r="M115" s="11"/>
      <c r="O115" s="76"/>
      <c r="P115" s="79"/>
      <c r="Q115" s="68" t="s">
        <v>135</v>
      </c>
      <c r="R115" s="63">
        <f>J117-R112</f>
        <v>21607.58547802312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ONSV_AUX_2019!O59</f>
        <v>154230</v>
      </c>
      <c r="J116" s="64">
        <f>I116-(L109*I107)</f>
        <v>154197.24126421576</v>
      </c>
      <c r="K116" s="11"/>
      <c r="L116" s="11"/>
      <c r="M116" s="11"/>
      <c r="N116" s="30" t="s">
        <v>142</v>
      </c>
      <c r="O116" s="63">
        <f>I104</f>
        <v>23883</v>
      </c>
      <c r="P116" s="79"/>
      <c r="Q116" s="51"/>
      <c r="R116" s="51"/>
      <c r="S116" s="80"/>
      <c r="T116" s="68" t="s">
        <v>141</v>
      </c>
      <c r="U116" s="71">
        <f>R111</f>
        <v>72665.267190831553</v>
      </c>
      <c r="V116" s="51"/>
      <c r="W116" s="68" t="s">
        <v>152</v>
      </c>
      <c r="X116" s="70">
        <f>I119</f>
        <v>897278</v>
      </c>
    </row>
    <row r="117" spans="8:24" ht="15.75">
      <c r="H117" s="39" t="s">
        <v>108</v>
      </c>
      <c r="I117" s="63">
        <f>ONSV_AUX_2019!O60</f>
        <v>40874</v>
      </c>
      <c r="J117" s="64">
        <f>I117-(L110*I107)</f>
        <v>40865.318287191563</v>
      </c>
      <c r="K117" s="11"/>
      <c r="L117" s="11"/>
      <c r="M117" s="11"/>
      <c r="N117" s="30" t="s">
        <v>145</v>
      </c>
      <c r="O117" s="63">
        <f>I108</f>
        <v>391</v>
      </c>
      <c r="P117" s="79"/>
      <c r="Q117" s="51"/>
      <c r="R117" s="51"/>
      <c r="S117" s="51"/>
      <c r="T117" s="68" t="s">
        <v>153</v>
      </c>
      <c r="U117" s="71">
        <f>I116-J116</f>
        <v>32.758735784242162</v>
      </c>
      <c r="V117" s="51"/>
      <c r="W117" s="68" t="s">
        <v>154</v>
      </c>
      <c r="X117" s="70">
        <f>I120</f>
        <v>197872</v>
      </c>
    </row>
    <row r="118" spans="8:24" ht="15.75">
      <c r="H118" s="39" t="s">
        <v>109</v>
      </c>
      <c r="I118" s="63">
        <f>ONSV_AUX_2019!O61</f>
        <v>6794</v>
      </c>
      <c r="J118" s="10">
        <f>I118</f>
        <v>6794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590130.47163525142</v>
      </c>
      <c r="P118" s="79"/>
      <c r="Q118" s="51"/>
      <c r="R118" s="81"/>
      <c r="S118" s="51"/>
      <c r="T118" s="68" t="s">
        <v>149</v>
      </c>
      <c r="U118" s="75">
        <f>R114</f>
        <v>81531.974073384205</v>
      </c>
      <c r="V118" s="51"/>
      <c r="W118" s="51"/>
      <c r="X118" s="51"/>
    </row>
    <row r="119" spans="8:24" ht="15.75">
      <c r="H119" s="39" t="s">
        <v>110</v>
      </c>
      <c r="I119" s="63">
        <f>ONSV_AUX_2019!O62</f>
        <v>897278</v>
      </c>
      <c r="J119" s="10">
        <f>I119</f>
        <v>897278</v>
      </c>
      <c r="K119" s="11"/>
      <c r="L119" s="11"/>
      <c r="M119" s="11"/>
      <c r="N119" s="30" t="s">
        <v>150</v>
      </c>
      <c r="O119" s="63">
        <f>IF((J113-O116-O118-O117)&lt;0,0,(J113-O116-O118-O117))</f>
        <v>0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ONSV_AUX_2019!O63</f>
        <v>197872</v>
      </c>
      <c r="J120" s="10">
        <f>I120</f>
        <v>197872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2016752</v>
      </c>
    </row>
    <row r="121" spans="8:24" ht="15.75">
      <c r="H121" s="39" t="s">
        <v>112</v>
      </c>
      <c r="I121" s="63">
        <f>ONSV_AUX_2019!O64</f>
        <v>18888</v>
      </c>
      <c r="J121" s="10">
        <f>I121</f>
        <v>18888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ONSV_AUX_2019!O65</f>
        <v>14271</v>
      </c>
      <c r="J122" s="64">
        <f>I122-(L111*I107)</f>
        <v>14267.968813341264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9" tint="0.39997558519241921"/>
  </sheetPr>
  <dimension ref="A1:X122"/>
  <sheetViews>
    <sheetView showGridLines="0" topLeftCell="A85" zoomScale="90" zoomScaleNormal="90" workbookViewId="0">
      <selection activeCell="H76" sqref="H76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3" customFormat="1" ht="15.75">
      <c r="A1" s="100" t="str">
        <f>"PARAÍBA/"&amp;ONSV_AUX_2023!$A$1&amp;""</f>
        <v>PARAÍBA/2023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ONSV_AUX_2023!P27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ONSV_AUX_2023!P28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ONSV_AUX_2023!P29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ONSV_AUX_2023!P30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ONSV_AUX_2023!P31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ONSV_AUX_2023!P32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ONSV_AUX_2023!P56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ONSV_AUX_2023!P57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ONSV_AUX_2023!P58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ONSV_AUX_2023!P59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ONSV_AUX_2023!P60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ONSV_AUX_2023!P61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ONSV_AUX_2023!P62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ONSV_AUX_2023!P63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ONSV_AUX_2023!P64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ONSV_AUX_2023!P65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6" customFormat="1" ht="15.75">
      <c r="A25" s="100" t="str">
        <f>"PARAÍBA/"&amp;ONSV_AUX_2022!$A$1&amp;""</f>
        <v>PARAÍBA/2022</v>
      </c>
      <c r="B25" s="101"/>
      <c r="C25" s="101"/>
      <c r="D25" s="101"/>
      <c r="E25" s="101"/>
      <c r="F25" s="10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5.75">
      <c r="A26" s="3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ONSV_AUX_2022!P27</f>
        <v>29390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ONSV_AUX_2022!P28</f>
        <v>654204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ONSV_AUX_2022!P29</f>
        <v>102321</v>
      </c>
      <c r="J31" s="9"/>
      <c r="K31" s="2" t="s">
        <v>122</v>
      </c>
      <c r="L31" s="63">
        <f>I38+I41+I42+I47</f>
        <v>751642</v>
      </c>
      <c r="N31" s="30" t="s">
        <v>123</v>
      </c>
      <c r="O31" s="63">
        <f>J38+J47</f>
        <v>620222.85794567096</v>
      </c>
      <c r="P31" s="67"/>
      <c r="Q31" s="68" t="s">
        <v>124</v>
      </c>
      <c r="R31" s="63">
        <f>J41+J42</f>
        <v>130343.14205432904</v>
      </c>
      <c r="S31" s="69"/>
      <c r="T31" s="68" t="s">
        <v>125</v>
      </c>
      <c r="U31" s="70">
        <f>O35</f>
        <v>18585.356315905712</v>
      </c>
      <c r="V31" s="51"/>
      <c r="W31" s="68" t="s">
        <v>126</v>
      </c>
      <c r="X31" s="71">
        <f>R37</f>
        <v>13436.916961618019</v>
      </c>
    </row>
    <row r="32" spans="1:24" ht="15.75">
      <c r="H32" s="38" t="s">
        <v>102</v>
      </c>
      <c r="I32" s="63">
        <f>ONSV_AUX_2022!P30</f>
        <v>1076</v>
      </c>
      <c r="J32" s="9"/>
      <c r="K32" s="29"/>
      <c r="L32" s="65"/>
      <c r="M32" s="22"/>
      <c r="N32" s="30" t="s">
        <v>127</v>
      </c>
      <c r="O32" s="72">
        <f>J38/O31</f>
        <v>0.97003438993289459</v>
      </c>
      <c r="P32" s="67"/>
      <c r="Q32" s="73" t="s">
        <v>128</v>
      </c>
      <c r="R32" s="66">
        <f>J41/R31</f>
        <v>0.75056308894507007</v>
      </c>
      <c r="S32" s="74"/>
      <c r="T32" s="68" t="s">
        <v>129</v>
      </c>
      <c r="U32" s="70">
        <f>I47-J47</f>
        <v>26.643684094287892</v>
      </c>
      <c r="V32" s="51"/>
      <c r="W32" s="68" t="s">
        <v>130</v>
      </c>
      <c r="X32" s="71">
        <f>I42-J42</f>
        <v>46.609268774231168</v>
      </c>
    </row>
    <row r="33" spans="8:24" ht="15.75">
      <c r="H33" s="38" t="s">
        <v>16</v>
      </c>
      <c r="I33" s="63">
        <f>ONSV_AUX_2022!P31</f>
        <v>23177</v>
      </c>
      <c r="J33" s="9"/>
      <c r="K33" s="2" t="s">
        <v>131</v>
      </c>
      <c r="L33" s="66">
        <f>I38/L31</f>
        <v>0.80157841099885319</v>
      </c>
      <c r="M33" s="22"/>
      <c r="N33" s="30" t="s">
        <v>132</v>
      </c>
      <c r="O33" s="72">
        <f>J47/O31</f>
        <v>2.9965610067105453E-2</v>
      </c>
      <c r="P33" s="67"/>
      <c r="Q33" s="73" t="s">
        <v>133</v>
      </c>
      <c r="R33" s="66">
        <f>J42/R31</f>
        <v>0.24943691105492991</v>
      </c>
      <c r="S33" s="74"/>
      <c r="T33" s="68" t="s">
        <v>134</v>
      </c>
      <c r="U33" s="75">
        <f>O37</f>
        <v>0</v>
      </c>
      <c r="V33" s="76"/>
      <c r="W33" s="68" t="s">
        <v>135</v>
      </c>
      <c r="X33" s="75">
        <f>R40</f>
        <v>19075.47376960775</v>
      </c>
    </row>
    <row r="34" spans="8:24" ht="15.75">
      <c r="H34" s="38" t="s">
        <v>94</v>
      </c>
      <c r="I34" s="63">
        <f>ONSV_AUX_2022!P32</f>
        <v>666674</v>
      </c>
      <c r="J34" s="10"/>
      <c r="K34" s="2" t="s">
        <v>2</v>
      </c>
      <c r="L34" s="66">
        <f>I41/L31</f>
        <v>0.13034263652110978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4.3317164288318111E-2</v>
      </c>
      <c r="M35" s="22"/>
      <c r="N35" s="30" t="s">
        <v>136</v>
      </c>
      <c r="O35" s="63">
        <f>IF(O33*I30&gt;J47,J47,O33*I30)</f>
        <v>18585.356315905712</v>
      </c>
      <c r="P35" s="79"/>
      <c r="Q35" s="68" t="s">
        <v>137</v>
      </c>
      <c r="R35" s="63">
        <f>I31-I39-I40-I43-I46</f>
        <v>53869</v>
      </c>
      <c r="S35" s="80"/>
      <c r="T35" s="68" t="s">
        <v>138</v>
      </c>
      <c r="U35" s="70">
        <f>O43</f>
        <v>549070.50162976526</v>
      </c>
      <c r="V35" s="79"/>
      <c r="W35" s="68" t="s">
        <v>139</v>
      </c>
      <c r="X35" s="70">
        <f>I39</f>
        <v>31209</v>
      </c>
    </row>
    <row r="36" spans="8:24" ht="15.75">
      <c r="H36" s="26" t="s">
        <v>140</v>
      </c>
      <c r="K36" s="2" t="s">
        <v>0</v>
      </c>
      <c r="L36" s="66">
        <f>I47/L31</f>
        <v>2.4761788191718929E-2</v>
      </c>
      <c r="O36" s="51"/>
      <c r="P36" s="79"/>
      <c r="Q36" s="68" t="s">
        <v>141</v>
      </c>
      <c r="R36" s="63">
        <f>R32*R35</f>
        <v>40432.083038381978</v>
      </c>
      <c r="S36" s="51"/>
      <c r="T36" s="68" t="s">
        <v>142</v>
      </c>
      <c r="U36" s="70">
        <f>O41</f>
        <v>29390</v>
      </c>
      <c r="V36" s="69"/>
      <c r="W36" s="68" t="s">
        <v>143</v>
      </c>
      <c r="X36" s="70">
        <f>I40</f>
        <v>3458</v>
      </c>
    </row>
    <row r="37" spans="8:24" ht="15.75">
      <c r="K37" s="11"/>
      <c r="L37" s="11"/>
      <c r="M37" s="11"/>
      <c r="N37" s="30" t="s">
        <v>144</v>
      </c>
      <c r="O37" s="63">
        <f>J47-O35</f>
        <v>0</v>
      </c>
      <c r="P37" s="79"/>
      <c r="Q37" s="68" t="s">
        <v>126</v>
      </c>
      <c r="R37" s="63">
        <f>R33*R35</f>
        <v>13436.916961618019</v>
      </c>
      <c r="S37" s="51"/>
      <c r="T37" s="68" t="s">
        <v>145</v>
      </c>
      <c r="U37" s="70">
        <f>O42</f>
        <v>23177</v>
      </c>
      <c r="V37" s="74"/>
      <c r="W37" s="51"/>
      <c r="X37" s="65"/>
    </row>
    <row r="38" spans="8:24" ht="15.75">
      <c r="H38" s="39" t="s">
        <v>104</v>
      </c>
      <c r="I38" s="63">
        <f>ONSV_AUX_2022!P56</f>
        <v>602500</v>
      </c>
      <c r="J38" s="64">
        <f>I38-(L33*I32)</f>
        <v>601637.50162976526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862.4983702347381</v>
      </c>
      <c r="V38" s="74"/>
      <c r="W38" s="68" t="s">
        <v>147</v>
      </c>
      <c r="X38" s="70">
        <f>I46</f>
        <v>8364</v>
      </c>
    </row>
    <row r="39" spans="8:24" ht="15.75">
      <c r="H39" s="39" t="s">
        <v>105</v>
      </c>
      <c r="I39" s="63">
        <f>ONSV_AUX_2022!P57</f>
        <v>31209</v>
      </c>
      <c r="J39" s="10">
        <f>I39</f>
        <v>31209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57398.668284721301</v>
      </c>
      <c r="S39" s="51"/>
      <c r="T39" s="68" t="s">
        <v>150</v>
      </c>
      <c r="U39" s="75">
        <f>O44</f>
        <v>0</v>
      </c>
      <c r="V39" s="51"/>
      <c r="W39" s="68" t="s">
        <v>151</v>
      </c>
      <c r="X39" s="70">
        <f>I43</f>
        <v>5421</v>
      </c>
    </row>
    <row r="40" spans="8:24" ht="15.75">
      <c r="H40" s="39" t="s">
        <v>106</v>
      </c>
      <c r="I40" s="63">
        <f>ONSV_AUX_2022!P58</f>
        <v>3458</v>
      </c>
      <c r="J40" s="10">
        <f>I40</f>
        <v>3458</v>
      </c>
      <c r="K40" s="11"/>
      <c r="L40" s="11"/>
      <c r="M40" s="11"/>
      <c r="O40" s="76"/>
      <c r="P40" s="79"/>
      <c r="Q40" s="68" t="s">
        <v>135</v>
      </c>
      <c r="R40" s="63">
        <f>J42-R37</f>
        <v>19075.47376960775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ONSV_AUX_2022!P59</f>
        <v>97971</v>
      </c>
      <c r="J41" s="64">
        <f>I41-(L34*I32)</f>
        <v>97830.751323103279</v>
      </c>
      <c r="K41" s="11"/>
      <c r="L41" s="11"/>
      <c r="M41" s="11"/>
      <c r="N41" s="30" t="s">
        <v>142</v>
      </c>
      <c r="O41" s="63">
        <f>I29</f>
        <v>29390</v>
      </c>
      <c r="P41" s="79"/>
      <c r="Q41" s="51"/>
      <c r="R41" s="51"/>
      <c r="S41" s="80"/>
      <c r="T41" s="68" t="s">
        <v>141</v>
      </c>
      <c r="U41" s="71">
        <f>R36</f>
        <v>40432.083038381978</v>
      </c>
      <c r="V41" s="51"/>
      <c r="W41" s="68" t="s">
        <v>152</v>
      </c>
      <c r="X41" s="70">
        <f>I44</f>
        <v>565076</v>
      </c>
    </row>
    <row r="42" spans="8:24" ht="15.75">
      <c r="H42" s="39" t="s">
        <v>108</v>
      </c>
      <c r="I42" s="63">
        <f>ONSV_AUX_2022!P60</f>
        <v>32559</v>
      </c>
      <c r="J42" s="64">
        <f>I42-(L35*I32)</f>
        <v>32512.390731225769</v>
      </c>
      <c r="K42" s="11"/>
      <c r="L42" s="11"/>
      <c r="M42" s="11"/>
      <c r="N42" s="30" t="s">
        <v>145</v>
      </c>
      <c r="O42" s="63">
        <f>I33</f>
        <v>23177</v>
      </c>
      <c r="P42" s="79"/>
      <c r="Q42" s="51"/>
      <c r="R42" s="51"/>
      <c r="S42" s="51"/>
      <c r="T42" s="68" t="s">
        <v>153</v>
      </c>
      <c r="U42" s="71">
        <f>I41-J41</f>
        <v>140.24867689672101</v>
      </c>
      <c r="V42" s="51"/>
      <c r="W42" s="68" t="s">
        <v>154</v>
      </c>
      <c r="X42" s="70">
        <f>I45</f>
        <v>81496</v>
      </c>
    </row>
    <row r="43" spans="8:24" ht="15.75">
      <c r="H43" s="39" t="s">
        <v>109</v>
      </c>
      <c r="I43" s="63">
        <f>ONSV_AUX_2022!P61</f>
        <v>5421</v>
      </c>
      <c r="J43" s="10">
        <f>I43</f>
        <v>5421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549070.50162976526</v>
      </c>
      <c r="P43" s="79"/>
      <c r="Q43" s="51"/>
      <c r="R43" s="81"/>
      <c r="S43" s="51"/>
      <c r="T43" s="68" t="s">
        <v>149</v>
      </c>
      <c r="U43" s="75">
        <f>R39</f>
        <v>57398.668284721301</v>
      </c>
      <c r="V43" s="51"/>
      <c r="W43" s="51"/>
      <c r="X43" s="51"/>
    </row>
    <row r="44" spans="8:24" ht="15.75">
      <c r="H44" s="39" t="s">
        <v>110</v>
      </c>
      <c r="I44" s="63">
        <f>ONSV_AUX_2022!P62</f>
        <v>565076</v>
      </c>
      <c r="J44" s="10">
        <f>I44</f>
        <v>565076</v>
      </c>
      <c r="K44" s="11"/>
      <c r="L44" s="11"/>
      <c r="M44" s="11"/>
      <c r="N44" s="30" t="s">
        <v>150</v>
      </c>
      <c r="O44" s="63">
        <f>IF((J38-O41-O43-O42)&lt;0,0,(J38-O41-O43-O42))</f>
        <v>0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ONSV_AUX_2022!P63</f>
        <v>81496</v>
      </c>
      <c r="J45" s="10">
        <f>I45</f>
        <v>81496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1446666</v>
      </c>
    </row>
    <row r="46" spans="8:24" ht="15.75">
      <c r="H46" s="39" t="s">
        <v>112</v>
      </c>
      <c r="I46" s="63">
        <f>ONSV_AUX_2022!P64</f>
        <v>8364</v>
      </c>
      <c r="J46" s="10">
        <f>I46</f>
        <v>8364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ONSV_AUX_2022!P65</f>
        <v>18612</v>
      </c>
      <c r="J47" s="64">
        <f>I47-(L36*I32)</f>
        <v>18585.356315905712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6" customFormat="1" ht="15.75">
      <c r="A50" s="100" t="str">
        <f>"PARAÍBA/"&amp;ONSV_AUX_2021!$A$1&amp;""</f>
        <v>PARAÍBA/2021</v>
      </c>
      <c r="B50" s="101"/>
      <c r="C50" s="101"/>
      <c r="D50" s="101"/>
      <c r="E50" s="101"/>
      <c r="F50" s="101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ONSV_AUX_2021!P27</f>
        <v>29363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ONSV_AUX_2021!P28</f>
        <v>623703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ONSV_AUX_2021!P29</f>
        <v>98865</v>
      </c>
      <c r="J56" s="9"/>
      <c r="K56" s="2" t="s">
        <v>122</v>
      </c>
      <c r="L56" s="63">
        <f>I63+I66+I67+I72</f>
        <v>731531</v>
      </c>
      <c r="N56" s="30" t="s">
        <v>123</v>
      </c>
      <c r="O56" s="63">
        <f>J63+J72</f>
        <v>605246.60134156991</v>
      </c>
      <c r="P56" s="67"/>
      <c r="Q56" s="68" t="s">
        <v>124</v>
      </c>
      <c r="R56" s="63">
        <f>J66+J67</f>
        <v>125699.39865843006</v>
      </c>
      <c r="S56" s="69"/>
      <c r="T56" s="68" t="s">
        <v>125</v>
      </c>
      <c r="U56" s="70">
        <f>O60</f>
        <v>16303.951414225781</v>
      </c>
      <c r="V56" s="51"/>
      <c r="W56" s="68" t="s">
        <v>126</v>
      </c>
      <c r="X56" s="71">
        <f>R62</f>
        <v>12870.543004769475</v>
      </c>
    </row>
    <row r="57" spans="1:24" ht="15.75">
      <c r="H57" s="38" t="s">
        <v>102</v>
      </c>
      <c r="I57" s="63">
        <f>ONSV_AUX_2021!P30</f>
        <v>585</v>
      </c>
      <c r="J57" s="9"/>
      <c r="K57" s="29"/>
      <c r="L57" s="65"/>
      <c r="M57" s="22"/>
      <c r="N57" s="30" t="s">
        <v>127</v>
      </c>
      <c r="O57" s="72">
        <f>J63/O56</f>
        <v>0.97306229993181803</v>
      </c>
      <c r="P57" s="67"/>
      <c r="Q57" s="73" t="s">
        <v>128</v>
      </c>
      <c r="R57" s="66">
        <f>J66/R56</f>
        <v>0.75158187599364079</v>
      </c>
      <c r="S57" s="74"/>
      <c r="T57" s="68" t="s">
        <v>129</v>
      </c>
      <c r="U57" s="70">
        <f>I72-J72</f>
        <v>13.048585774218736</v>
      </c>
      <c r="V57" s="51"/>
      <c r="W57" s="68" t="s">
        <v>130</v>
      </c>
      <c r="X57" s="71">
        <f>I67-J67</f>
        <v>24.991196545328421</v>
      </c>
    </row>
    <row r="58" spans="1:24" ht="15.75">
      <c r="H58" s="38" t="s">
        <v>16</v>
      </c>
      <c r="I58" s="63">
        <f>ONSV_AUX_2021!P31</f>
        <v>22883</v>
      </c>
      <c r="J58" s="9"/>
      <c r="K58" s="2" t="s">
        <v>131</v>
      </c>
      <c r="L58" s="66">
        <f>I63/L56</f>
        <v>0.80572661992451444</v>
      </c>
      <c r="M58" s="22"/>
      <c r="N58" s="30" t="s">
        <v>132</v>
      </c>
      <c r="O58" s="72">
        <f>J72/O56</f>
        <v>2.6937700068182083E-2</v>
      </c>
      <c r="P58" s="67"/>
      <c r="Q58" s="73" t="s">
        <v>133</v>
      </c>
      <c r="R58" s="66">
        <f>J67/R56</f>
        <v>0.24841812400635929</v>
      </c>
      <c r="S58" s="74"/>
      <c r="T58" s="68" t="s">
        <v>134</v>
      </c>
      <c r="U58" s="75">
        <f>O62</f>
        <v>0</v>
      </c>
      <c r="V58" s="76"/>
      <c r="W58" s="68" t="s">
        <v>135</v>
      </c>
      <c r="X58" s="75">
        <f>R65</f>
        <v>18355.465798685196</v>
      </c>
    </row>
    <row r="59" spans="1:24" ht="15.75">
      <c r="H59" s="38" t="s">
        <v>94</v>
      </c>
      <c r="I59" s="63">
        <f>ONSV_AUX_2021!P32</f>
        <v>650601</v>
      </c>
      <c r="J59" s="10"/>
      <c r="K59" s="2" t="s">
        <v>2</v>
      </c>
      <c r="L59" s="66">
        <f>I66/L56</f>
        <v>0.12924811115318421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4.2719994094576989E-2</v>
      </c>
      <c r="M60" s="22"/>
      <c r="N60" s="30" t="s">
        <v>136</v>
      </c>
      <c r="O60" s="63">
        <f>IF(O58*I55&gt;J72,J72,O58*I55)</f>
        <v>16303.951414225781</v>
      </c>
      <c r="P60" s="79"/>
      <c r="Q60" s="68" t="s">
        <v>137</v>
      </c>
      <c r="R60" s="63">
        <f>I56-I64-I65-I68-I71</f>
        <v>51810</v>
      </c>
      <c r="S60" s="80"/>
      <c r="T60" s="68" t="s">
        <v>138</v>
      </c>
      <c r="U60" s="70">
        <f>O68</f>
        <v>536696.64992734417</v>
      </c>
      <c r="V60" s="79"/>
      <c r="W60" s="68" t="s">
        <v>139</v>
      </c>
      <c r="X60" s="70">
        <f>I64</f>
        <v>30382</v>
      </c>
    </row>
    <row r="61" spans="1:24" ht="15.75">
      <c r="H61" s="26" t="s">
        <v>140</v>
      </c>
      <c r="K61" s="2" t="s">
        <v>0</v>
      </c>
      <c r="L61" s="66">
        <f>I72/L56</f>
        <v>2.230527482772432E-2</v>
      </c>
      <c r="O61" s="51"/>
      <c r="P61" s="79"/>
      <c r="Q61" s="68" t="s">
        <v>141</v>
      </c>
      <c r="R61" s="63">
        <f>R57*R60</f>
        <v>38939.456995230532</v>
      </c>
      <c r="S61" s="51"/>
      <c r="T61" s="68" t="s">
        <v>142</v>
      </c>
      <c r="U61" s="70">
        <f>O66</f>
        <v>29363</v>
      </c>
      <c r="V61" s="69"/>
      <c r="W61" s="68" t="s">
        <v>143</v>
      </c>
      <c r="X61" s="70">
        <f>I65</f>
        <v>3242</v>
      </c>
    </row>
    <row r="62" spans="1:24" ht="15.75">
      <c r="K62" s="11"/>
      <c r="L62" s="11"/>
      <c r="M62" s="11"/>
      <c r="N62" s="30" t="s">
        <v>144</v>
      </c>
      <c r="O62" s="63">
        <f>J72-O60</f>
        <v>0</v>
      </c>
      <c r="P62" s="79"/>
      <c r="Q62" s="68" t="s">
        <v>126</v>
      </c>
      <c r="R62" s="63">
        <f>R58*R60</f>
        <v>12870.543004769475</v>
      </c>
      <c r="S62" s="51"/>
      <c r="T62" s="68" t="s">
        <v>145</v>
      </c>
      <c r="U62" s="70">
        <f>O67</f>
        <v>22883</v>
      </c>
      <c r="V62" s="74"/>
      <c r="W62" s="51"/>
      <c r="X62" s="65"/>
    </row>
    <row r="63" spans="1:24" ht="15.75">
      <c r="H63" s="39" t="s">
        <v>104</v>
      </c>
      <c r="I63" s="63">
        <f>ONSV_AUX_2021!P56</f>
        <v>589414</v>
      </c>
      <c r="J63" s="64">
        <f>I63-(L58*I57)</f>
        <v>588942.64992734417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471.35007265582681</v>
      </c>
      <c r="V63" s="74"/>
      <c r="W63" s="68" t="s">
        <v>147</v>
      </c>
      <c r="X63" s="70">
        <f>I71</f>
        <v>8135</v>
      </c>
    </row>
    <row r="64" spans="1:24" ht="15.75">
      <c r="H64" s="39" t="s">
        <v>105</v>
      </c>
      <c r="I64" s="63">
        <f>ONSV_AUX_2021!P57</f>
        <v>30382</v>
      </c>
      <c r="J64" s="10">
        <f>I64</f>
        <v>30382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55533.932859744862</v>
      </c>
      <c r="S64" s="51"/>
      <c r="T64" s="68" t="s">
        <v>150</v>
      </c>
      <c r="U64" s="75">
        <f>O69</f>
        <v>0</v>
      </c>
      <c r="V64" s="51"/>
      <c r="W64" s="68" t="s">
        <v>151</v>
      </c>
      <c r="X64" s="70">
        <f>I68</f>
        <v>5296</v>
      </c>
    </row>
    <row r="65" spans="1:24" ht="15.75">
      <c r="H65" s="39" t="s">
        <v>106</v>
      </c>
      <c r="I65" s="63">
        <f>ONSV_AUX_2021!P58</f>
        <v>3242</v>
      </c>
      <c r="J65" s="10">
        <f>I65</f>
        <v>3242</v>
      </c>
      <c r="K65" s="11"/>
      <c r="L65" s="11"/>
      <c r="M65" s="11"/>
      <c r="O65" s="76"/>
      <c r="P65" s="79"/>
      <c r="Q65" s="68" t="s">
        <v>135</v>
      </c>
      <c r="R65" s="63">
        <f>J67-R62</f>
        <v>18355.465798685196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ONSV_AUX_2021!P59</f>
        <v>94549</v>
      </c>
      <c r="J66" s="64">
        <f>I66-(L59*I57)</f>
        <v>94473.389854975394</v>
      </c>
      <c r="K66" s="11"/>
      <c r="L66" s="11"/>
      <c r="M66" s="11"/>
      <c r="N66" s="30" t="s">
        <v>142</v>
      </c>
      <c r="O66" s="63">
        <f>I54</f>
        <v>29363</v>
      </c>
      <c r="P66" s="79"/>
      <c r="Q66" s="51"/>
      <c r="R66" s="51"/>
      <c r="S66" s="80"/>
      <c r="T66" s="68" t="s">
        <v>141</v>
      </c>
      <c r="U66" s="71">
        <f>R61</f>
        <v>38939.456995230532</v>
      </c>
      <c r="V66" s="51"/>
      <c r="W66" s="68" t="s">
        <v>152</v>
      </c>
      <c r="X66" s="70">
        <f>I69</f>
        <v>541984</v>
      </c>
    </row>
    <row r="67" spans="1:24" ht="15.75">
      <c r="H67" s="39" t="s">
        <v>108</v>
      </c>
      <c r="I67" s="63">
        <f>ONSV_AUX_2021!P60</f>
        <v>31251</v>
      </c>
      <c r="J67" s="64">
        <f>I67-(L60*I57)</f>
        <v>31226.008803454672</v>
      </c>
      <c r="K67" s="11"/>
      <c r="L67" s="11"/>
      <c r="M67" s="11"/>
      <c r="N67" s="30" t="s">
        <v>145</v>
      </c>
      <c r="O67" s="63">
        <f>I58</f>
        <v>22883</v>
      </c>
      <c r="P67" s="79"/>
      <c r="Q67" s="51"/>
      <c r="R67" s="51"/>
      <c r="S67" s="51"/>
      <c r="T67" s="68" t="s">
        <v>153</v>
      </c>
      <c r="U67" s="71">
        <f>I66-J66</f>
        <v>75.610145024606027</v>
      </c>
      <c r="V67" s="51"/>
      <c r="W67" s="68" t="s">
        <v>154</v>
      </c>
      <c r="X67" s="70">
        <f>I70</f>
        <v>76707</v>
      </c>
    </row>
    <row r="68" spans="1:24" ht="15.75">
      <c r="H68" s="39" t="s">
        <v>109</v>
      </c>
      <c r="I68" s="63">
        <f>ONSV_AUX_2021!P61</f>
        <v>5296</v>
      </c>
      <c r="J68" s="10">
        <f>I68</f>
        <v>5296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536696.64992734417</v>
      </c>
      <c r="P68" s="79"/>
      <c r="Q68" s="51"/>
      <c r="R68" s="81"/>
      <c r="S68" s="51"/>
      <c r="T68" s="68" t="s">
        <v>149</v>
      </c>
      <c r="U68" s="75">
        <f>R64</f>
        <v>55533.932859744862</v>
      </c>
      <c r="V68" s="51"/>
      <c r="W68" s="51"/>
      <c r="X68" s="51"/>
    </row>
    <row r="69" spans="1:24" ht="15.75">
      <c r="H69" s="39" t="s">
        <v>110</v>
      </c>
      <c r="I69" s="63">
        <f>ONSV_AUX_2021!P62</f>
        <v>541984</v>
      </c>
      <c r="J69" s="10">
        <f>I69</f>
        <v>541984</v>
      </c>
      <c r="K69" s="11"/>
      <c r="L69" s="11"/>
      <c r="M69" s="11"/>
      <c r="N69" s="30" t="s">
        <v>150</v>
      </c>
      <c r="O69" s="63">
        <f>IF((J63-O66-O68-O67)&lt;0,0,(J63-O66-O68-O67))</f>
        <v>0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ONSV_AUX_2021!P63</f>
        <v>76707</v>
      </c>
      <c r="J70" s="10">
        <f>I70</f>
        <v>76707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1397277</v>
      </c>
    </row>
    <row r="71" spans="1:24" ht="15.75">
      <c r="H71" s="39" t="s">
        <v>112</v>
      </c>
      <c r="I71" s="63">
        <f>ONSV_AUX_2021!P64</f>
        <v>8135</v>
      </c>
      <c r="J71" s="10">
        <f>I71</f>
        <v>8135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ONSV_AUX_2021!P65</f>
        <v>16317</v>
      </c>
      <c r="J72" s="64">
        <f>I72-(L61*I57)</f>
        <v>16303.951414225781</v>
      </c>
      <c r="K72" s="12"/>
      <c r="L72" s="12"/>
      <c r="M72" s="12"/>
      <c r="N72" s="12"/>
      <c r="O72" s="12"/>
      <c r="P72" s="12"/>
      <c r="Q72" s="4"/>
      <c r="R72" s="4"/>
    </row>
    <row r="75" spans="1:24" s="36" customFormat="1" ht="15.75">
      <c r="A75" s="100" t="str">
        <f>"PARAÍBA/"&amp;ONSV_AUX_2020!$A$1&amp;""</f>
        <v>PARAÍBA/2020</v>
      </c>
      <c r="B75" s="101"/>
      <c r="C75" s="101"/>
      <c r="D75" s="101"/>
      <c r="E75" s="101"/>
      <c r="F75" s="10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ONSV_AUX_2020!P27</f>
        <v>29308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ONSV_AUX_2020!P28</f>
        <v>579327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ONSV_AUX_2020!P29</f>
        <v>93390</v>
      </c>
      <c r="J81" s="9"/>
      <c r="K81" s="2" t="s">
        <v>122</v>
      </c>
      <c r="L81" s="63">
        <f>I88+I91+I92+I97</f>
        <v>694493</v>
      </c>
      <c r="N81" s="30" t="s">
        <v>123</v>
      </c>
      <c r="O81" s="63">
        <f>J88+J97</f>
        <v>575665.15528450254</v>
      </c>
      <c r="P81" s="67"/>
      <c r="Q81" s="68" t="s">
        <v>124</v>
      </c>
      <c r="R81" s="63">
        <f>J91+J92</f>
        <v>118545.84471549749</v>
      </c>
      <c r="S81" s="69"/>
      <c r="T81" s="68" t="s">
        <v>125</v>
      </c>
      <c r="U81" s="70">
        <f>O85</f>
        <v>13383.56337500882</v>
      </c>
      <c r="V81" s="51"/>
      <c r="W81" s="68" t="s">
        <v>126</v>
      </c>
      <c r="X81" s="71">
        <f>R87</f>
        <v>12091.661745113583</v>
      </c>
    </row>
    <row r="82" spans="8:24" ht="15.75">
      <c r="H82" s="38" t="s">
        <v>102</v>
      </c>
      <c r="I82" s="63">
        <f>ONSV_AUX_2020!P30</f>
        <v>282</v>
      </c>
      <c r="J82" s="9"/>
      <c r="K82" s="29"/>
      <c r="L82" s="65"/>
      <c r="M82" s="22"/>
      <c r="N82" s="30" t="s">
        <v>127</v>
      </c>
      <c r="O82" s="72">
        <f>J88/O81</f>
        <v>0.97675113170885852</v>
      </c>
      <c r="P82" s="67"/>
      <c r="Q82" s="73" t="s">
        <v>128</v>
      </c>
      <c r="R82" s="66">
        <f>J91/R81</f>
        <v>0.74862977890955695</v>
      </c>
      <c r="S82" s="74"/>
      <c r="T82" s="68" t="s">
        <v>129</v>
      </c>
      <c r="U82" s="70">
        <f>I97-J97</f>
        <v>5.4366249911799969</v>
      </c>
      <c r="V82" s="51"/>
      <c r="W82" s="68" t="s">
        <v>130</v>
      </c>
      <c r="X82" s="71">
        <f>I92-J92</f>
        <v>12.104804512069677</v>
      </c>
    </row>
    <row r="83" spans="8:24" ht="15.75">
      <c r="H83" s="38" t="s">
        <v>16</v>
      </c>
      <c r="I83" s="63">
        <f>ONSV_AUX_2020!P31</f>
        <v>22945</v>
      </c>
      <c r="J83" s="9"/>
      <c r="K83" s="2" t="s">
        <v>131</v>
      </c>
      <c r="L83" s="66">
        <f>I88/L81</f>
        <v>0.80995776775287875</v>
      </c>
      <c r="M83" s="22"/>
      <c r="N83" s="30" t="s">
        <v>132</v>
      </c>
      <c r="O83" s="72">
        <f>J97/O81</f>
        <v>2.3248868291141329E-2</v>
      </c>
      <c r="P83" s="67"/>
      <c r="Q83" s="73" t="s">
        <v>133</v>
      </c>
      <c r="R83" s="66">
        <f>J92/R81</f>
        <v>0.25137022109044305</v>
      </c>
      <c r="S83" s="74"/>
      <c r="T83" s="68" t="s">
        <v>134</v>
      </c>
      <c r="U83" s="75">
        <f>O87</f>
        <v>0</v>
      </c>
      <c r="V83" s="76"/>
      <c r="W83" s="68" t="s">
        <v>135</v>
      </c>
      <c r="X83" s="75">
        <f>R90</f>
        <v>17707.233450374348</v>
      </c>
    </row>
    <row r="84" spans="8:24" ht="15.75">
      <c r="H84" s="38" t="s">
        <v>94</v>
      </c>
      <c r="I84" s="63">
        <f>ONSV_AUX_2020!P32</f>
        <v>634640</v>
      </c>
      <c r="J84" s="10"/>
      <c r="K84" s="2" t="s">
        <v>2</v>
      </c>
      <c r="L84" s="66">
        <f>I91/L81</f>
        <v>0.12783858152637967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4.2924838695278425E-2</v>
      </c>
      <c r="M85" s="22"/>
      <c r="N85" s="30" t="s">
        <v>136</v>
      </c>
      <c r="O85" s="63">
        <f>IF(O83*I80&gt;J97,J97,O83*I80)</f>
        <v>13383.56337500882</v>
      </c>
      <c r="P85" s="79"/>
      <c r="Q85" s="68" t="s">
        <v>137</v>
      </c>
      <c r="R85" s="63">
        <f>I81-I89-I90-I93-I96</f>
        <v>48103</v>
      </c>
      <c r="S85" s="80"/>
      <c r="T85" s="68" t="s">
        <v>138</v>
      </c>
      <c r="U85" s="70">
        <f>O93</f>
        <v>510028.59190949367</v>
      </c>
      <c r="V85" s="79"/>
      <c r="W85" s="68" t="s">
        <v>139</v>
      </c>
      <c r="X85" s="70">
        <f>I89</f>
        <v>29483</v>
      </c>
    </row>
    <row r="86" spans="8:24" ht="15.75">
      <c r="H86" s="26" t="s">
        <v>140</v>
      </c>
      <c r="K86" s="2" t="s">
        <v>0</v>
      </c>
      <c r="L86" s="66">
        <f>I97/L81</f>
        <v>1.927881202546318E-2</v>
      </c>
      <c r="O86" s="51"/>
      <c r="P86" s="79"/>
      <c r="Q86" s="68" t="s">
        <v>141</v>
      </c>
      <c r="R86" s="63">
        <f>R82*R85</f>
        <v>36011.338254886417</v>
      </c>
      <c r="S86" s="51"/>
      <c r="T86" s="68" t="s">
        <v>142</v>
      </c>
      <c r="U86" s="70">
        <f>O91</f>
        <v>29308</v>
      </c>
      <c r="V86" s="69"/>
      <c r="W86" s="68" t="s">
        <v>143</v>
      </c>
      <c r="X86" s="70">
        <f>I90</f>
        <v>2881</v>
      </c>
    </row>
    <row r="87" spans="8:24" ht="15.75">
      <c r="K87" s="11"/>
      <c r="L87" s="11"/>
      <c r="M87" s="11"/>
      <c r="N87" s="30" t="s">
        <v>144</v>
      </c>
      <c r="O87" s="63">
        <f>J97-O85</f>
        <v>0</v>
      </c>
      <c r="P87" s="79"/>
      <c r="Q87" s="68" t="s">
        <v>126</v>
      </c>
      <c r="R87" s="63">
        <f>R83*R85</f>
        <v>12091.661745113583</v>
      </c>
      <c r="S87" s="51"/>
      <c r="T87" s="68" t="s">
        <v>145</v>
      </c>
      <c r="U87" s="70">
        <f>O92</f>
        <v>22945</v>
      </c>
      <c r="V87" s="74"/>
      <c r="W87" s="51"/>
      <c r="X87" s="65"/>
    </row>
    <row r="88" spans="8:24" ht="15.75">
      <c r="H88" s="39" t="s">
        <v>104</v>
      </c>
      <c r="I88" s="63">
        <f>ONSV_AUX_2020!P56</f>
        <v>562510</v>
      </c>
      <c r="J88" s="64">
        <f>I88-(L83*I82)</f>
        <v>562281.59190949367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228.40809050633106</v>
      </c>
      <c r="V88" s="74"/>
      <c r="W88" s="68" t="s">
        <v>147</v>
      </c>
      <c r="X88" s="70">
        <f>I96</f>
        <v>7834</v>
      </c>
    </row>
    <row r="89" spans="8:24" ht="15.75">
      <c r="H89" s="39" t="s">
        <v>105</v>
      </c>
      <c r="I89" s="63">
        <f>ONSV_AUX_2020!P57</f>
        <v>29483</v>
      </c>
      <c r="J89" s="10">
        <f>I89</f>
        <v>29483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52735.611265123138</v>
      </c>
      <c r="S89" s="51"/>
      <c r="T89" s="68" t="s">
        <v>150</v>
      </c>
      <c r="U89" s="75">
        <f>O94</f>
        <v>0</v>
      </c>
      <c r="V89" s="51"/>
      <c r="W89" s="68" t="s">
        <v>151</v>
      </c>
      <c r="X89" s="70">
        <f>I93</f>
        <v>5089</v>
      </c>
    </row>
    <row r="90" spans="8:24" ht="15.75">
      <c r="H90" s="39" t="s">
        <v>106</v>
      </c>
      <c r="I90" s="63">
        <f>ONSV_AUX_2020!P58</f>
        <v>2881</v>
      </c>
      <c r="J90" s="10">
        <f>I90</f>
        <v>2881</v>
      </c>
      <c r="K90" s="11"/>
      <c r="L90" s="11"/>
      <c r="M90" s="11"/>
      <c r="O90" s="76"/>
      <c r="P90" s="79"/>
      <c r="Q90" s="68" t="s">
        <v>135</v>
      </c>
      <c r="R90" s="63">
        <f>J92-R87</f>
        <v>17707.233450374348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ONSV_AUX_2020!P59</f>
        <v>88783</v>
      </c>
      <c r="J91" s="64">
        <f>I91-(L84*I82)</f>
        <v>88746.949520009555</v>
      </c>
      <c r="K91" s="11"/>
      <c r="L91" s="11"/>
      <c r="M91" s="11"/>
      <c r="N91" s="30" t="s">
        <v>142</v>
      </c>
      <c r="O91" s="63">
        <f>I79</f>
        <v>29308</v>
      </c>
      <c r="P91" s="79"/>
      <c r="Q91" s="51"/>
      <c r="R91" s="51"/>
      <c r="S91" s="80"/>
      <c r="T91" s="68" t="s">
        <v>141</v>
      </c>
      <c r="U91" s="71">
        <f>R86</f>
        <v>36011.338254886417</v>
      </c>
      <c r="V91" s="51"/>
      <c r="W91" s="68" t="s">
        <v>152</v>
      </c>
      <c r="X91" s="70">
        <f>I94</f>
        <v>519813</v>
      </c>
    </row>
    <row r="92" spans="8:24" ht="15.75">
      <c r="H92" s="39" t="s">
        <v>108</v>
      </c>
      <c r="I92" s="63">
        <f>ONSV_AUX_2020!P60</f>
        <v>29811</v>
      </c>
      <c r="J92" s="64">
        <f>I92-(L85*I82)</f>
        <v>29798.89519548793</v>
      </c>
      <c r="K92" s="11"/>
      <c r="L92" s="11"/>
      <c r="M92" s="11"/>
      <c r="N92" s="30" t="s">
        <v>145</v>
      </c>
      <c r="O92" s="63">
        <f>I83</f>
        <v>22945</v>
      </c>
      <c r="P92" s="79"/>
      <c r="Q92" s="51"/>
      <c r="R92" s="51"/>
      <c r="S92" s="51"/>
      <c r="T92" s="68" t="s">
        <v>153</v>
      </c>
      <c r="U92" s="71">
        <f>I91-J91</f>
        <v>36.050479990444728</v>
      </c>
      <c r="V92" s="51"/>
      <c r="W92" s="68" t="s">
        <v>154</v>
      </c>
      <c r="X92" s="70">
        <f>I95</f>
        <v>72719</v>
      </c>
    </row>
    <row r="93" spans="8:24" ht="15.75">
      <c r="H93" s="39" t="s">
        <v>109</v>
      </c>
      <c r="I93" s="63">
        <f>ONSV_AUX_2020!P61</f>
        <v>5089</v>
      </c>
      <c r="J93" s="10">
        <f>I93</f>
        <v>5089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510028.59190949367</v>
      </c>
      <c r="P93" s="79"/>
      <c r="Q93" s="51"/>
      <c r="R93" s="81"/>
      <c r="S93" s="51"/>
      <c r="T93" s="68" t="s">
        <v>149</v>
      </c>
      <c r="U93" s="75">
        <f>R89</f>
        <v>52735.611265123138</v>
      </c>
      <c r="V93" s="51"/>
      <c r="W93" s="51"/>
      <c r="X93" s="51"/>
    </row>
    <row r="94" spans="8:24" ht="15.75">
      <c r="H94" s="39" t="s">
        <v>110</v>
      </c>
      <c r="I94" s="63">
        <f>ONSV_AUX_2020!P62</f>
        <v>519813</v>
      </c>
      <c r="J94" s="10">
        <f>I94</f>
        <v>519813</v>
      </c>
      <c r="K94" s="11"/>
      <c r="L94" s="11"/>
      <c r="M94" s="11"/>
      <c r="N94" s="30" t="s">
        <v>150</v>
      </c>
      <c r="O94" s="63">
        <f>IF((J88-O91-O93-O92)&lt;0,0,(J88-O91-O93-O92))</f>
        <v>0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ONSV_AUX_2020!P63</f>
        <v>72719</v>
      </c>
      <c r="J95" s="10">
        <f>I95</f>
        <v>72719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1332312</v>
      </c>
    </row>
    <row r="96" spans="8:24" ht="15.75">
      <c r="H96" s="39" t="s">
        <v>112</v>
      </c>
      <c r="I96" s="63">
        <f>ONSV_AUX_2020!P64</f>
        <v>7834</v>
      </c>
      <c r="J96" s="10">
        <f>I96</f>
        <v>7834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ONSV_AUX_2020!P65</f>
        <v>13389</v>
      </c>
      <c r="J97" s="64">
        <f>I97-(L86*I82)</f>
        <v>13383.56337500882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6" customFormat="1" ht="15.75">
      <c r="A100" s="100" t="str">
        <f>"PARAÍBA/"&amp;ONSV_AUX_2019!$A$1&amp;""</f>
        <v>PARAÍBA/2019</v>
      </c>
      <c r="B100" s="101"/>
      <c r="C100" s="101"/>
      <c r="D100" s="101"/>
      <c r="E100" s="101"/>
      <c r="F100" s="101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ONSV_AUX_2019!P27</f>
        <v>29278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ONSV_AUX_2019!P28</f>
        <v>544709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ONSV_AUX_2019!P29</f>
        <v>89487</v>
      </c>
      <c r="J106" s="9"/>
      <c r="K106" s="2" t="s">
        <v>122</v>
      </c>
      <c r="L106" s="63">
        <f>I113+I116+I117+I122</f>
        <v>666152</v>
      </c>
      <c r="N106" s="30" t="s">
        <v>123</v>
      </c>
      <c r="O106" s="63">
        <f>J113+J122</f>
        <v>552301.05438698665</v>
      </c>
      <c r="P106" s="67"/>
      <c r="Q106" s="68" t="s">
        <v>124</v>
      </c>
      <c r="R106" s="63">
        <f>J116+J117</f>
        <v>113756.94561301326</v>
      </c>
      <c r="S106" s="69"/>
      <c r="T106" s="68" t="s">
        <v>125</v>
      </c>
      <c r="U106" s="70">
        <f>O110</f>
        <v>11717.013749617567</v>
      </c>
      <c r="V106" s="51"/>
      <c r="W106" s="68" t="s">
        <v>126</v>
      </c>
      <c r="X106" s="71">
        <f>R112</f>
        <v>11541.882124932979</v>
      </c>
    </row>
    <row r="107" spans="1:24" ht="15.75">
      <c r="H107" s="38" t="s">
        <v>102</v>
      </c>
      <c r="I107" s="63">
        <f>ONSV_AUX_2019!P30</f>
        <v>94</v>
      </c>
      <c r="J107" s="9"/>
      <c r="K107" s="29"/>
      <c r="L107" s="65"/>
      <c r="M107" s="22"/>
      <c r="N107" s="30" t="s">
        <v>127</v>
      </c>
      <c r="O107" s="72">
        <f>J113/O106</f>
        <v>0.97848940672979978</v>
      </c>
      <c r="P107" s="67"/>
      <c r="Q107" s="73" t="s">
        <v>128</v>
      </c>
      <c r="R107" s="66">
        <f>J116/R106</f>
        <v>0.74515043112161938</v>
      </c>
      <c r="S107" s="74"/>
      <c r="T107" s="68" t="s">
        <v>129</v>
      </c>
      <c r="U107" s="70">
        <f>I122-J122</f>
        <v>1.6766563787241466</v>
      </c>
      <c r="V107" s="51"/>
      <c r="W107" s="68" t="s">
        <v>130</v>
      </c>
      <c r="X107" s="71">
        <f>I117-J117</f>
        <v>4.0914536021809909</v>
      </c>
    </row>
    <row r="108" spans="1:24" ht="15.75">
      <c r="H108" s="38" t="s">
        <v>16</v>
      </c>
      <c r="I108" s="63">
        <f>ONSV_AUX_2019!P31</f>
        <v>22979</v>
      </c>
      <c r="J108" s="9"/>
      <c r="K108" s="2" t="s">
        <v>131</v>
      </c>
      <c r="L108" s="66">
        <f>I113/L106</f>
        <v>0.811371879090658</v>
      </c>
      <c r="M108" s="22"/>
      <c r="N108" s="30" t="s">
        <v>132</v>
      </c>
      <c r="O108" s="72">
        <f>J122/O106</f>
        <v>2.1510593270200357E-2</v>
      </c>
      <c r="P108" s="67"/>
      <c r="Q108" s="73" t="s">
        <v>133</v>
      </c>
      <c r="R108" s="66">
        <f>J117/R106</f>
        <v>0.25484956887838062</v>
      </c>
      <c r="S108" s="74"/>
      <c r="T108" s="68" t="s">
        <v>134</v>
      </c>
      <c r="U108" s="75">
        <f>O112</f>
        <v>163.30959400370921</v>
      </c>
      <c r="V108" s="76"/>
      <c r="W108" s="68" t="s">
        <v>135</v>
      </c>
      <c r="X108" s="75">
        <f>R115</f>
        <v>17449.026421464841</v>
      </c>
    </row>
    <row r="109" spans="1:24" ht="15.75">
      <c r="H109" s="38" t="s">
        <v>94</v>
      </c>
      <c r="I109" s="63">
        <f>ONSV_AUX_2019!P32</f>
        <v>622704</v>
      </c>
      <c r="J109" s="10"/>
      <c r="K109" s="2" t="s">
        <v>2</v>
      </c>
      <c r="L109" s="66">
        <f>I116/L106</f>
        <v>0.12726524877205203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4.3526102150860467E-2</v>
      </c>
      <c r="M110" s="22"/>
      <c r="N110" s="30" t="s">
        <v>136</v>
      </c>
      <c r="O110" s="63">
        <f>IF(O108*I105&gt;J122,J122,O108*I105)</f>
        <v>11717.013749617567</v>
      </c>
      <c r="P110" s="79"/>
      <c r="Q110" s="68" t="s">
        <v>137</v>
      </c>
      <c r="R110" s="63">
        <f>I106-I114-I115-I118-I121</f>
        <v>45289</v>
      </c>
      <c r="S110" s="80"/>
      <c r="T110" s="68" t="s">
        <v>138</v>
      </c>
      <c r="U110" s="70">
        <f>O118</f>
        <v>488163.73104336543</v>
      </c>
      <c r="V110" s="79"/>
      <c r="W110" s="68" t="s">
        <v>139</v>
      </c>
      <c r="X110" s="70">
        <f>I114</f>
        <v>28931</v>
      </c>
    </row>
    <row r="111" spans="1:24" ht="15.75">
      <c r="H111" s="26" t="s">
        <v>140</v>
      </c>
      <c r="K111" s="2" t="s">
        <v>0</v>
      </c>
      <c r="L111" s="66">
        <f>I122/L106</f>
        <v>1.7836769986429524E-2</v>
      </c>
      <c r="O111" s="51"/>
      <c r="P111" s="79"/>
      <c r="Q111" s="68" t="s">
        <v>141</v>
      </c>
      <c r="R111" s="63">
        <f>R107*R110</f>
        <v>33747.117875067022</v>
      </c>
      <c r="S111" s="51"/>
      <c r="T111" s="68" t="s">
        <v>142</v>
      </c>
      <c r="U111" s="70">
        <f>O116</f>
        <v>29278</v>
      </c>
      <c r="V111" s="69"/>
      <c r="W111" s="68" t="s">
        <v>143</v>
      </c>
      <c r="X111" s="70">
        <f>I115</f>
        <v>2751</v>
      </c>
    </row>
    <row r="112" spans="1:24" ht="15.75">
      <c r="K112" s="11"/>
      <c r="L112" s="11"/>
      <c r="M112" s="11"/>
      <c r="N112" s="30" t="s">
        <v>144</v>
      </c>
      <c r="O112" s="63">
        <f>J122-O110</f>
        <v>163.30959400370921</v>
      </c>
      <c r="P112" s="79"/>
      <c r="Q112" s="68" t="s">
        <v>126</v>
      </c>
      <c r="R112" s="63">
        <f>R108*R110</f>
        <v>11541.882124932979</v>
      </c>
      <c r="S112" s="51"/>
      <c r="T112" s="68" t="s">
        <v>145</v>
      </c>
      <c r="U112" s="70">
        <f>O117</f>
        <v>22979</v>
      </c>
      <c r="V112" s="74"/>
      <c r="W112" s="51"/>
      <c r="X112" s="65"/>
    </row>
    <row r="113" spans="8:24" ht="15.75">
      <c r="H113" s="39" t="s">
        <v>104</v>
      </c>
      <c r="I113" s="63">
        <f>ONSV_AUX_2019!P56</f>
        <v>540497</v>
      </c>
      <c r="J113" s="64">
        <f>I113-(L108*I107)</f>
        <v>540420.73104336543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76.268956634565257</v>
      </c>
      <c r="V113" s="74"/>
      <c r="W113" s="68" t="s">
        <v>147</v>
      </c>
      <c r="X113" s="70">
        <f>I121</f>
        <v>7606</v>
      </c>
    </row>
    <row r="114" spans="8:24" ht="15.75">
      <c r="H114" s="39" t="s">
        <v>105</v>
      </c>
      <c r="I114" s="63">
        <f>ONSV_AUX_2019!P57</f>
        <v>28931</v>
      </c>
      <c r="J114" s="10">
        <f>I114</f>
        <v>28931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51018.919191548412</v>
      </c>
      <c r="S114" s="51"/>
      <c r="T114" s="68" t="s">
        <v>150</v>
      </c>
      <c r="U114" s="75">
        <f>O119</f>
        <v>0</v>
      </c>
      <c r="V114" s="51"/>
      <c r="W114" s="68" t="s">
        <v>151</v>
      </c>
      <c r="X114" s="70">
        <f>I118</f>
        <v>4910</v>
      </c>
    </row>
    <row r="115" spans="8:24" ht="15.75">
      <c r="H115" s="39" t="s">
        <v>106</v>
      </c>
      <c r="I115" s="63">
        <f>ONSV_AUX_2019!P58</f>
        <v>2751</v>
      </c>
      <c r="J115" s="10">
        <f>I115</f>
        <v>2751</v>
      </c>
      <c r="K115" s="11"/>
      <c r="L115" s="11"/>
      <c r="M115" s="11"/>
      <c r="O115" s="76"/>
      <c r="P115" s="79"/>
      <c r="Q115" s="68" t="s">
        <v>135</v>
      </c>
      <c r="R115" s="63">
        <f>J117-R112</f>
        <v>17449.026421464841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ONSV_AUX_2019!P59</f>
        <v>84778</v>
      </c>
      <c r="J116" s="64">
        <f>I116-(L109*I107)</f>
        <v>84766.037066615434</v>
      </c>
      <c r="K116" s="11"/>
      <c r="L116" s="11"/>
      <c r="M116" s="11"/>
      <c r="N116" s="30" t="s">
        <v>142</v>
      </c>
      <c r="O116" s="63">
        <f>I104</f>
        <v>29278</v>
      </c>
      <c r="P116" s="79"/>
      <c r="Q116" s="51"/>
      <c r="R116" s="51"/>
      <c r="S116" s="80"/>
      <c r="T116" s="68" t="s">
        <v>141</v>
      </c>
      <c r="U116" s="71">
        <f>R111</f>
        <v>33747.117875067022</v>
      </c>
      <c r="V116" s="51"/>
      <c r="W116" s="68" t="s">
        <v>152</v>
      </c>
      <c r="X116" s="70">
        <f>I119</f>
        <v>501932</v>
      </c>
    </row>
    <row r="117" spans="8:24" ht="15.75">
      <c r="H117" s="39" t="s">
        <v>108</v>
      </c>
      <c r="I117" s="63">
        <f>ONSV_AUX_2019!P60</f>
        <v>28995</v>
      </c>
      <c r="J117" s="64">
        <f>I117-(L110*I107)</f>
        <v>28990.908546397819</v>
      </c>
      <c r="K117" s="11"/>
      <c r="L117" s="11"/>
      <c r="M117" s="11"/>
      <c r="N117" s="30" t="s">
        <v>145</v>
      </c>
      <c r="O117" s="63">
        <f>I108</f>
        <v>22979</v>
      </c>
      <c r="P117" s="79"/>
      <c r="Q117" s="51"/>
      <c r="R117" s="51"/>
      <c r="S117" s="51"/>
      <c r="T117" s="68" t="s">
        <v>153</v>
      </c>
      <c r="U117" s="71">
        <f>I116-J116</f>
        <v>11.962933384565986</v>
      </c>
      <c r="V117" s="51"/>
      <c r="W117" s="68" t="s">
        <v>154</v>
      </c>
      <c r="X117" s="70">
        <f>I120</f>
        <v>69656</v>
      </c>
    </row>
    <row r="118" spans="8:24" ht="15.75">
      <c r="H118" s="39" t="s">
        <v>109</v>
      </c>
      <c r="I118" s="63">
        <f>ONSV_AUX_2019!P61</f>
        <v>4910</v>
      </c>
      <c r="J118" s="10">
        <f>I118</f>
        <v>4910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488163.73104336543</v>
      </c>
      <c r="P118" s="79"/>
      <c r="Q118" s="51"/>
      <c r="R118" s="81"/>
      <c r="S118" s="51"/>
      <c r="T118" s="68" t="s">
        <v>149</v>
      </c>
      <c r="U118" s="75">
        <f>R114</f>
        <v>51018.919191548412</v>
      </c>
      <c r="V118" s="51"/>
      <c r="W118" s="51"/>
      <c r="X118" s="51"/>
    </row>
    <row r="119" spans="8:24" ht="15.75">
      <c r="H119" s="39" t="s">
        <v>110</v>
      </c>
      <c r="I119" s="63">
        <f>ONSV_AUX_2019!P62</f>
        <v>501932</v>
      </c>
      <c r="J119" s="10">
        <f>I119</f>
        <v>501932</v>
      </c>
      <c r="K119" s="11"/>
      <c r="L119" s="11"/>
      <c r="M119" s="11"/>
      <c r="N119" s="30" t="s">
        <v>150</v>
      </c>
      <c r="O119" s="63">
        <f>IF((J113-O116-O118-O117)&lt;0,0,(J113-O116-O118-O117))</f>
        <v>0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ONSV_AUX_2019!P63</f>
        <v>69656</v>
      </c>
      <c r="J120" s="10">
        <f>I120</f>
        <v>69656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1281938</v>
      </c>
    </row>
    <row r="121" spans="8:24" ht="15.75">
      <c r="H121" s="39" t="s">
        <v>112</v>
      </c>
      <c r="I121" s="63">
        <f>ONSV_AUX_2019!P64</f>
        <v>7606</v>
      </c>
      <c r="J121" s="10">
        <f>I121</f>
        <v>7606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ONSV_AUX_2019!P65</f>
        <v>11882</v>
      </c>
      <c r="J122" s="64">
        <f>I122-(L111*I107)</f>
        <v>11880.323343621276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 tint="0.39997558519241921"/>
  </sheetPr>
  <dimension ref="A1:X122"/>
  <sheetViews>
    <sheetView showGridLines="0" topLeftCell="A88" zoomScale="90" zoomScaleNormal="90" workbookViewId="0">
      <selection activeCell="A76" sqref="A76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3" customFormat="1" ht="15.75">
      <c r="A1" s="100" t="str">
        <f>"PARANÁ/"&amp;ONSV_AUX_2023!$A$1&amp;""</f>
        <v>PARANÁ/2023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ONSV_AUX_2023!Q27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ONSV_AUX_2023!Q28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ONSV_AUX_2023!Q29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ONSV_AUX_2023!Q30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ONSV_AUX_2023!Q31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ONSV_AUX_2023!Q32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ONSV_AUX_2023!Q56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ONSV_AUX_2023!Q57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ONSV_AUX_2023!Q58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ONSV_AUX_2023!Q59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ONSV_AUX_2023!Q60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ONSV_AUX_2023!Q61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ONSV_AUX_2023!Q62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ONSV_AUX_2023!Q63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ONSV_AUX_2023!Q64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ONSV_AUX_2023!Q65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6" customFormat="1" ht="15.75">
      <c r="A25" s="100" t="str">
        <f>"PARANÁ/"&amp;ONSV_AUX_2022!$A$1&amp;""</f>
        <v>PARANÁ/2022</v>
      </c>
      <c r="B25" s="101"/>
      <c r="C25" s="101"/>
      <c r="D25" s="101"/>
      <c r="E25" s="101"/>
      <c r="F25" s="10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5.75">
      <c r="A26" s="3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ONSV_AUX_2022!Q27</f>
        <v>418119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ONSV_AUX_2022!Q28</f>
        <v>3218487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ONSV_AUX_2022!Q29</f>
        <v>816349</v>
      </c>
      <c r="J31" s="9"/>
      <c r="K31" s="2" t="s">
        <v>122</v>
      </c>
      <c r="L31" s="63">
        <f>I38+I41+I42+I47</f>
        <v>6010604</v>
      </c>
      <c r="N31" s="30" t="s">
        <v>123</v>
      </c>
      <c r="O31" s="63">
        <f>J38+J47</f>
        <v>4945713.6463365415</v>
      </c>
      <c r="P31" s="67"/>
      <c r="Q31" s="68" t="s">
        <v>124</v>
      </c>
      <c r="R31" s="63">
        <f>J41+J42</f>
        <v>1056781.353663459</v>
      </c>
      <c r="S31" s="69"/>
      <c r="T31" s="68" t="s">
        <v>125</v>
      </c>
      <c r="U31" s="70">
        <f>O35</f>
        <v>62770.438115093806</v>
      </c>
      <c r="V31" s="51"/>
      <c r="W31" s="68" t="s">
        <v>126</v>
      </c>
      <c r="X31" s="71">
        <f>R37</f>
        <v>94300.419724269945</v>
      </c>
    </row>
    <row r="32" spans="1:24" ht="15.75">
      <c r="H32" s="38" t="s">
        <v>102</v>
      </c>
      <c r="I32" s="63">
        <f>ONSV_AUX_2022!Q30</f>
        <v>8109</v>
      </c>
      <c r="J32" s="9"/>
      <c r="K32" s="29"/>
      <c r="L32" s="65"/>
      <c r="M32" s="22"/>
      <c r="N32" s="30" t="s">
        <v>127</v>
      </c>
      <c r="O32" s="72">
        <f>J38/O31</f>
        <v>0.98049691109049264</v>
      </c>
      <c r="P32" s="67"/>
      <c r="Q32" s="73" t="s">
        <v>128</v>
      </c>
      <c r="R32" s="66">
        <f>J41/R31</f>
        <v>0.7228316901481654</v>
      </c>
      <c r="S32" s="74"/>
      <c r="T32" s="68" t="s">
        <v>129</v>
      </c>
      <c r="U32" s="70">
        <f>I47-J47</f>
        <v>130.30703453430033</v>
      </c>
      <c r="V32" s="51"/>
      <c r="W32" s="68" t="s">
        <v>130</v>
      </c>
      <c r="X32" s="71">
        <f>I42-J42</f>
        <v>395.69832216529176</v>
      </c>
    </row>
    <row r="33" spans="8:24" ht="15.75">
      <c r="H33" s="38" t="s">
        <v>16</v>
      </c>
      <c r="I33" s="63">
        <f>ONSV_AUX_2022!Q31</f>
        <v>43110</v>
      </c>
      <c r="J33" s="9"/>
      <c r="K33" s="2" t="s">
        <v>131</v>
      </c>
      <c r="L33" s="66">
        <f>I38/L31</f>
        <v>0.80787355147669015</v>
      </c>
      <c r="M33" s="22"/>
      <c r="N33" s="30" t="s">
        <v>132</v>
      </c>
      <c r="O33" s="72">
        <f>J47/O31</f>
        <v>1.9503088909507419E-2</v>
      </c>
      <c r="P33" s="67"/>
      <c r="Q33" s="73" t="s">
        <v>133</v>
      </c>
      <c r="R33" s="66">
        <f>J42/R31</f>
        <v>0.27716830985183449</v>
      </c>
      <c r="S33" s="74"/>
      <c r="T33" s="68" t="s">
        <v>134</v>
      </c>
      <c r="U33" s="75">
        <f>O37</f>
        <v>33686.254850371894</v>
      </c>
      <c r="V33" s="76"/>
      <c r="W33" s="68" t="s">
        <v>135</v>
      </c>
      <c r="X33" s="75">
        <f>R40</f>
        <v>198605.88195356476</v>
      </c>
    </row>
    <row r="34" spans="8:24" ht="15.75">
      <c r="H34" s="38" t="s">
        <v>94</v>
      </c>
      <c r="I34" s="63">
        <f>ONSV_AUX_2022!Q32</f>
        <v>3576153</v>
      </c>
      <c r="J34" s="10"/>
      <c r="K34" s="2" t="s">
        <v>2</v>
      </c>
      <c r="L34" s="66">
        <f>I41/L31</f>
        <v>0.12725958988481026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4.8797425350264302E-2</v>
      </c>
      <c r="M35" s="22"/>
      <c r="N35" s="30" t="s">
        <v>136</v>
      </c>
      <c r="O35" s="63">
        <f>IF(O33*I30&gt;J47,J47,O33*I30)</f>
        <v>62770.438115093806</v>
      </c>
      <c r="P35" s="79"/>
      <c r="Q35" s="68" t="s">
        <v>137</v>
      </c>
      <c r="R35" s="63">
        <f>I31-I39-I40-I43-I46</f>
        <v>340228</v>
      </c>
      <c r="S35" s="80"/>
      <c r="T35" s="68" t="s">
        <v>138</v>
      </c>
      <c r="U35" s="70">
        <f>O43</f>
        <v>3155716.5618849066</v>
      </c>
      <c r="V35" s="79"/>
      <c r="W35" s="68" t="s">
        <v>139</v>
      </c>
      <c r="X35" s="70">
        <f>I39</f>
        <v>293769</v>
      </c>
    </row>
    <row r="36" spans="8:24" ht="15.75">
      <c r="H36" s="26" t="s">
        <v>140</v>
      </c>
      <c r="K36" s="2" t="s">
        <v>0</v>
      </c>
      <c r="L36" s="66">
        <f>I47/L31</f>
        <v>1.606943328823526E-2</v>
      </c>
      <c r="O36" s="51"/>
      <c r="P36" s="79"/>
      <c r="Q36" s="68" t="s">
        <v>141</v>
      </c>
      <c r="R36" s="63">
        <f>R32*R35</f>
        <v>245927.58027573003</v>
      </c>
      <c r="S36" s="51"/>
      <c r="T36" s="68" t="s">
        <v>142</v>
      </c>
      <c r="U36" s="70">
        <f>O41</f>
        <v>418119</v>
      </c>
      <c r="V36" s="69"/>
      <c r="W36" s="68" t="s">
        <v>143</v>
      </c>
      <c r="X36" s="70">
        <f>I40</f>
        <v>108544</v>
      </c>
    </row>
    <row r="37" spans="8:24" ht="15.75">
      <c r="K37" s="11"/>
      <c r="L37" s="11"/>
      <c r="M37" s="11"/>
      <c r="N37" s="30" t="s">
        <v>144</v>
      </c>
      <c r="O37" s="63">
        <f>J47-O35</f>
        <v>33686.254850371894</v>
      </c>
      <c r="P37" s="79"/>
      <c r="Q37" s="68" t="s">
        <v>126</v>
      </c>
      <c r="R37" s="63">
        <f>R33*R35</f>
        <v>94300.419724269945</v>
      </c>
      <c r="S37" s="51"/>
      <c r="T37" s="68" t="s">
        <v>145</v>
      </c>
      <c r="U37" s="70">
        <f>O42</f>
        <v>43110</v>
      </c>
      <c r="V37" s="74"/>
      <c r="W37" s="51"/>
      <c r="X37" s="65"/>
    </row>
    <row r="38" spans="8:24" ht="15.75">
      <c r="H38" s="39" t="s">
        <v>104</v>
      </c>
      <c r="I38" s="63">
        <f>ONSV_AUX_2022!Q56</f>
        <v>4855808</v>
      </c>
      <c r="J38" s="64">
        <f>I38-(L33*I32)</f>
        <v>4849256.9533710759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6551.0466289240867</v>
      </c>
      <c r="V38" s="74"/>
      <c r="W38" s="68" t="s">
        <v>147</v>
      </c>
      <c r="X38" s="70">
        <f>I46</f>
        <v>48498</v>
      </c>
    </row>
    <row r="39" spans="8:24" ht="15.75">
      <c r="H39" s="39" t="s">
        <v>105</v>
      </c>
      <c r="I39" s="63">
        <f>ONSV_AUX_2022!Q57</f>
        <v>293769</v>
      </c>
      <c r="J39" s="10">
        <f>I39</f>
        <v>293769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517947.47170989413</v>
      </c>
      <c r="S39" s="51"/>
      <c r="T39" s="68" t="s">
        <v>150</v>
      </c>
      <c r="U39" s="75">
        <f>O44</f>
        <v>1232311.3914861693</v>
      </c>
      <c r="V39" s="51"/>
      <c r="W39" s="68" t="s">
        <v>151</v>
      </c>
      <c r="X39" s="70">
        <f>I43</f>
        <v>25310</v>
      </c>
    </row>
    <row r="40" spans="8:24" ht="15.75">
      <c r="H40" s="39" t="s">
        <v>106</v>
      </c>
      <c r="I40" s="63">
        <f>ONSV_AUX_2022!Q58</f>
        <v>108544</v>
      </c>
      <c r="J40" s="10">
        <f>I40</f>
        <v>108544</v>
      </c>
      <c r="K40" s="11"/>
      <c r="L40" s="11"/>
      <c r="M40" s="11"/>
      <c r="O40" s="76"/>
      <c r="P40" s="79"/>
      <c r="Q40" s="68" t="s">
        <v>135</v>
      </c>
      <c r="R40" s="63">
        <f>J42-R37</f>
        <v>198605.88195356476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ONSV_AUX_2022!Q59</f>
        <v>764907</v>
      </c>
      <c r="J41" s="64">
        <f>I41-(L34*I32)</f>
        <v>763875.05198562413</v>
      </c>
      <c r="K41" s="11"/>
      <c r="L41" s="11"/>
      <c r="M41" s="11"/>
      <c r="N41" s="30" t="s">
        <v>142</v>
      </c>
      <c r="O41" s="63">
        <f>I29</f>
        <v>418119</v>
      </c>
      <c r="P41" s="79"/>
      <c r="Q41" s="51"/>
      <c r="R41" s="51"/>
      <c r="S41" s="80"/>
      <c r="T41" s="68" t="s">
        <v>141</v>
      </c>
      <c r="U41" s="71">
        <f>R36</f>
        <v>245927.58027573003</v>
      </c>
      <c r="V41" s="51"/>
      <c r="W41" s="68" t="s">
        <v>152</v>
      </c>
      <c r="X41" s="70">
        <f>I44</f>
        <v>1298959</v>
      </c>
    </row>
    <row r="42" spans="8:24" ht="15.75">
      <c r="H42" s="39" t="s">
        <v>108</v>
      </c>
      <c r="I42" s="63">
        <f>ONSV_AUX_2022!Q60</f>
        <v>293302</v>
      </c>
      <c r="J42" s="64">
        <f>I42-(L35*I32)</f>
        <v>292906.30167783471</v>
      </c>
      <c r="K42" s="11"/>
      <c r="L42" s="11"/>
      <c r="M42" s="11"/>
      <c r="N42" s="30" t="s">
        <v>145</v>
      </c>
      <c r="O42" s="63">
        <f>I33</f>
        <v>43110</v>
      </c>
      <c r="P42" s="79"/>
      <c r="Q42" s="51"/>
      <c r="R42" s="51"/>
      <c r="S42" s="51"/>
      <c r="T42" s="68" t="s">
        <v>153</v>
      </c>
      <c r="U42" s="71">
        <f>I41-J41</f>
        <v>1031.9480143758701</v>
      </c>
      <c r="V42" s="51"/>
      <c r="W42" s="68" t="s">
        <v>154</v>
      </c>
      <c r="X42" s="70">
        <f>I45</f>
        <v>343515</v>
      </c>
    </row>
    <row r="43" spans="8:24" ht="15.75">
      <c r="H43" s="39" t="s">
        <v>109</v>
      </c>
      <c r="I43" s="63">
        <f>ONSV_AUX_2022!Q61</f>
        <v>25310</v>
      </c>
      <c r="J43" s="10">
        <f>I43</f>
        <v>25310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3155716.5618849066</v>
      </c>
      <c r="P43" s="79"/>
      <c r="Q43" s="51"/>
      <c r="R43" s="81"/>
      <c r="S43" s="51"/>
      <c r="T43" s="68" t="s">
        <v>149</v>
      </c>
      <c r="U43" s="75">
        <f>R39</f>
        <v>517947.47170989413</v>
      </c>
      <c r="V43" s="51"/>
      <c r="W43" s="51"/>
      <c r="X43" s="51"/>
    </row>
    <row r="44" spans="8:24" ht="15.75">
      <c r="H44" s="39" t="s">
        <v>110</v>
      </c>
      <c r="I44" s="63">
        <f>ONSV_AUX_2022!Q62</f>
        <v>1298959</v>
      </c>
      <c r="J44" s="10">
        <f>I44</f>
        <v>1298959</v>
      </c>
      <c r="K44" s="11"/>
      <c r="L44" s="11"/>
      <c r="M44" s="11"/>
      <c r="N44" s="30" t="s">
        <v>150</v>
      </c>
      <c r="O44" s="63">
        <f>IF((J38-O41-O43-O42)&lt;0,0,(J38-O41-O43-O42))</f>
        <v>1232311.3914861693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ONSV_AUX_2022!Q63</f>
        <v>343515</v>
      </c>
      <c r="J45" s="10">
        <f>I45</f>
        <v>343515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8129198.9999999991</v>
      </c>
    </row>
    <row r="46" spans="8:24" ht="15.75">
      <c r="H46" s="39" t="s">
        <v>112</v>
      </c>
      <c r="I46" s="63">
        <f>ONSV_AUX_2022!Q64</f>
        <v>48498</v>
      </c>
      <c r="J46" s="10">
        <f>I46</f>
        <v>48498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ONSV_AUX_2022!Q65</f>
        <v>96587</v>
      </c>
      <c r="J47" s="64">
        <f>I47-(L36*I32)</f>
        <v>96456.6929654657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6" customFormat="1" ht="15.75">
      <c r="A50" s="100" t="str">
        <f>"PARANÁ/"&amp;ONSV_AUX_2021!$A$1&amp;""</f>
        <v>PARANÁ/2021</v>
      </c>
      <c r="B50" s="101"/>
      <c r="C50" s="101"/>
      <c r="D50" s="101"/>
      <c r="E50" s="101"/>
      <c r="F50" s="101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ONSV_AUX_2021!Q27</f>
        <v>418302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ONSV_AUX_2021!Q28</f>
        <v>3063829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ONSV_AUX_2021!Q29</f>
        <v>782717</v>
      </c>
      <c r="J56" s="9"/>
      <c r="K56" s="2" t="s">
        <v>122</v>
      </c>
      <c r="L56" s="63">
        <f>I63+I66+I67+I72</f>
        <v>5858106</v>
      </c>
      <c r="N56" s="30" t="s">
        <v>123</v>
      </c>
      <c r="O56" s="63">
        <f>J63+J72</f>
        <v>4840608.357825038</v>
      </c>
      <c r="P56" s="67"/>
      <c r="Q56" s="68" t="s">
        <v>124</v>
      </c>
      <c r="R56" s="63">
        <f>J66+J67</f>
        <v>1013266.6421749623</v>
      </c>
      <c r="S56" s="69"/>
      <c r="T56" s="68" t="s">
        <v>125</v>
      </c>
      <c r="U56" s="70">
        <f>O60</f>
        <v>53703.106213797502</v>
      </c>
      <c r="V56" s="51"/>
      <c r="W56" s="68" t="s">
        <v>126</v>
      </c>
      <c r="X56" s="71">
        <f>R62</f>
        <v>88017.275606780691</v>
      </c>
    </row>
    <row r="57" spans="1:24" ht="15.75">
      <c r="H57" s="38" t="s">
        <v>102</v>
      </c>
      <c r="I57" s="63">
        <f>ONSV_AUX_2021!Q30</f>
        <v>4231</v>
      </c>
      <c r="J57" s="9"/>
      <c r="K57" s="29"/>
      <c r="L57" s="65"/>
      <c r="M57" s="22"/>
      <c r="N57" s="30" t="s">
        <v>127</v>
      </c>
      <c r="O57" s="72">
        <f>J63/O56</f>
        <v>0.98247189832924819</v>
      </c>
      <c r="P57" s="67"/>
      <c r="Q57" s="73" t="s">
        <v>128</v>
      </c>
      <c r="R57" s="66">
        <f>J66/R56</f>
        <v>0.72579262898681352</v>
      </c>
      <c r="S57" s="74"/>
      <c r="T57" s="68" t="s">
        <v>129</v>
      </c>
      <c r="U57" s="70">
        <f>I72-J72</f>
        <v>61.324555752318702</v>
      </c>
      <c r="V57" s="51"/>
      <c r="W57" s="68" t="s">
        <v>130</v>
      </c>
      <c r="X57" s="71">
        <f>I67-J67</f>
        <v>200.81791384448297</v>
      </c>
    </row>
    <row r="58" spans="1:24" ht="15.75">
      <c r="H58" s="38" t="s">
        <v>16</v>
      </c>
      <c r="I58" s="63">
        <f>ONSV_AUX_2021!Q31</f>
        <v>41460</v>
      </c>
      <c r="J58" s="9"/>
      <c r="K58" s="2" t="s">
        <v>131</v>
      </c>
      <c r="L58" s="66">
        <f>I63/L56</f>
        <v>0.81241257839991288</v>
      </c>
      <c r="M58" s="22"/>
      <c r="N58" s="30" t="s">
        <v>132</v>
      </c>
      <c r="O58" s="72">
        <f>J72/O56</f>
        <v>1.7528101670751698E-2</v>
      </c>
      <c r="P58" s="67"/>
      <c r="Q58" s="73" t="s">
        <v>133</v>
      </c>
      <c r="R58" s="66">
        <f>J67/R56</f>
        <v>0.27420737101318643</v>
      </c>
      <c r="S58" s="74"/>
      <c r="T58" s="68" t="s">
        <v>134</v>
      </c>
      <c r="U58" s="75">
        <f>O62</f>
        <v>31143.569230450179</v>
      </c>
      <c r="V58" s="76"/>
      <c r="W58" s="68" t="s">
        <v>135</v>
      </c>
      <c r="X58" s="75">
        <f>R65</f>
        <v>189827.90647937483</v>
      </c>
    </row>
    <row r="59" spans="1:24" ht="15.75">
      <c r="H59" s="38" t="s">
        <v>94</v>
      </c>
      <c r="I59" s="63">
        <f>ONSV_AUX_2021!Q32</f>
        <v>3544994</v>
      </c>
      <c r="J59" s="10"/>
      <c r="K59" s="2" t="s">
        <v>2</v>
      </c>
      <c r="L59" s="66">
        <f>I66/L56</f>
        <v>0.12562985374453792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4.7463463447059512E-2</v>
      </c>
      <c r="M60" s="22"/>
      <c r="N60" s="30" t="s">
        <v>136</v>
      </c>
      <c r="O60" s="63">
        <f>IF(O58*I55&gt;J72,J72,O58*I55)</f>
        <v>53703.106213797502</v>
      </c>
      <c r="P60" s="79"/>
      <c r="Q60" s="68" t="s">
        <v>137</v>
      </c>
      <c r="R60" s="63">
        <f>I56-I64-I65-I68-I71</f>
        <v>320988</v>
      </c>
      <c r="S60" s="80"/>
      <c r="T60" s="68" t="s">
        <v>138</v>
      </c>
      <c r="U60" s="70">
        <f>O68</f>
        <v>3010125.8937862022</v>
      </c>
      <c r="V60" s="79"/>
      <c r="W60" s="68" t="s">
        <v>139</v>
      </c>
      <c r="X60" s="70">
        <f>I64</f>
        <v>286261</v>
      </c>
    </row>
    <row r="61" spans="1:24" ht="15.75">
      <c r="H61" s="26" t="s">
        <v>140</v>
      </c>
      <c r="K61" s="2" t="s">
        <v>0</v>
      </c>
      <c r="L61" s="66">
        <f>I72/L56</f>
        <v>1.4494104408489706E-2</v>
      </c>
      <c r="O61" s="51"/>
      <c r="P61" s="79"/>
      <c r="Q61" s="68" t="s">
        <v>141</v>
      </c>
      <c r="R61" s="63">
        <f>R57*R60</f>
        <v>232970.72439321931</v>
      </c>
      <c r="S61" s="51"/>
      <c r="T61" s="68" t="s">
        <v>142</v>
      </c>
      <c r="U61" s="70">
        <f>O66</f>
        <v>418302</v>
      </c>
      <c r="V61" s="69"/>
      <c r="W61" s="68" t="s">
        <v>143</v>
      </c>
      <c r="X61" s="70">
        <f>I65</f>
        <v>103176</v>
      </c>
    </row>
    <row r="62" spans="1:24" ht="15.75">
      <c r="K62" s="11"/>
      <c r="L62" s="11"/>
      <c r="M62" s="11"/>
      <c r="N62" s="30" t="s">
        <v>144</v>
      </c>
      <c r="O62" s="63">
        <f>J72-O60</f>
        <v>31143.569230450179</v>
      </c>
      <c r="P62" s="79"/>
      <c r="Q62" s="68" t="s">
        <v>126</v>
      </c>
      <c r="R62" s="63">
        <f>R58*R60</f>
        <v>88017.275606780691</v>
      </c>
      <c r="S62" s="51"/>
      <c r="T62" s="68" t="s">
        <v>145</v>
      </c>
      <c r="U62" s="70">
        <f>O67</f>
        <v>41460</v>
      </c>
      <c r="V62" s="74"/>
      <c r="W62" s="51"/>
      <c r="X62" s="65"/>
    </row>
    <row r="63" spans="1:24" ht="15.75">
      <c r="H63" s="39" t="s">
        <v>104</v>
      </c>
      <c r="I63" s="63">
        <f>ONSV_AUX_2021!Q56</f>
        <v>4759199</v>
      </c>
      <c r="J63" s="64">
        <f>I63-(L58*I57)</f>
        <v>4755761.6823807899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3437.3176192101091</v>
      </c>
      <c r="V63" s="74"/>
      <c r="W63" s="68" t="s">
        <v>147</v>
      </c>
      <c r="X63" s="70">
        <f>I71</f>
        <v>47402</v>
      </c>
    </row>
    <row r="64" spans="1:24" ht="15.75">
      <c r="H64" s="39" t="s">
        <v>105</v>
      </c>
      <c r="I64" s="63">
        <f>ONSV_AUX_2021!Q57</f>
        <v>286261</v>
      </c>
      <c r="J64" s="10">
        <f>I64</f>
        <v>286261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502450.73569558747</v>
      </c>
      <c r="S64" s="51"/>
      <c r="T64" s="68" t="s">
        <v>150</v>
      </c>
      <c r="U64" s="75">
        <f>O69</f>
        <v>1285873.7885945877</v>
      </c>
      <c r="V64" s="51"/>
      <c r="W64" s="68" t="s">
        <v>151</v>
      </c>
      <c r="X64" s="70">
        <f>I68</f>
        <v>24890</v>
      </c>
    </row>
    <row r="65" spans="1:24" ht="15.75">
      <c r="H65" s="39" t="s">
        <v>106</v>
      </c>
      <c r="I65" s="63">
        <f>ONSV_AUX_2021!Q58</f>
        <v>103176</v>
      </c>
      <c r="J65" s="10">
        <f>I65</f>
        <v>103176</v>
      </c>
      <c r="K65" s="11"/>
      <c r="L65" s="11"/>
      <c r="M65" s="11"/>
      <c r="O65" s="76"/>
      <c r="P65" s="79"/>
      <c r="Q65" s="68" t="s">
        <v>135</v>
      </c>
      <c r="R65" s="63">
        <f>J67-R62</f>
        <v>189827.90647937483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ONSV_AUX_2021!Q59</f>
        <v>735953</v>
      </c>
      <c r="J66" s="64">
        <f>I66-(L59*I57)</f>
        <v>735421.46008880681</v>
      </c>
      <c r="K66" s="11"/>
      <c r="L66" s="11"/>
      <c r="M66" s="11"/>
      <c r="N66" s="30" t="s">
        <v>142</v>
      </c>
      <c r="O66" s="63">
        <f>I54</f>
        <v>418302</v>
      </c>
      <c r="P66" s="79"/>
      <c r="Q66" s="51"/>
      <c r="R66" s="51"/>
      <c r="S66" s="80"/>
      <c r="T66" s="68" t="s">
        <v>141</v>
      </c>
      <c r="U66" s="71">
        <f>R61</f>
        <v>232970.72439321931</v>
      </c>
      <c r="V66" s="51"/>
      <c r="W66" s="68" t="s">
        <v>152</v>
      </c>
      <c r="X66" s="70">
        <f>I69</f>
        <v>1256032</v>
      </c>
    </row>
    <row r="67" spans="1:24" ht="15.75">
      <c r="H67" s="39" t="s">
        <v>108</v>
      </c>
      <c r="I67" s="63">
        <f>ONSV_AUX_2021!Q60</f>
        <v>278046</v>
      </c>
      <c r="J67" s="64">
        <f>I67-(L60*I57)</f>
        <v>277845.18208615552</v>
      </c>
      <c r="K67" s="11"/>
      <c r="L67" s="11"/>
      <c r="M67" s="11"/>
      <c r="N67" s="30" t="s">
        <v>145</v>
      </c>
      <c r="O67" s="63">
        <f>I58</f>
        <v>41460</v>
      </c>
      <c r="P67" s="79"/>
      <c r="Q67" s="51"/>
      <c r="R67" s="51"/>
      <c r="S67" s="51"/>
      <c r="T67" s="68" t="s">
        <v>153</v>
      </c>
      <c r="U67" s="71">
        <f>I66-J66</f>
        <v>531.53991119319107</v>
      </c>
      <c r="V67" s="51"/>
      <c r="W67" s="68" t="s">
        <v>154</v>
      </c>
      <c r="X67" s="70">
        <f>I70</f>
        <v>327473</v>
      </c>
    </row>
    <row r="68" spans="1:24" ht="15.75">
      <c r="H68" s="39" t="s">
        <v>109</v>
      </c>
      <c r="I68" s="63">
        <f>ONSV_AUX_2021!Q61</f>
        <v>24890</v>
      </c>
      <c r="J68" s="10">
        <f>I68</f>
        <v>24890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3010125.8937862022</v>
      </c>
      <c r="P68" s="79"/>
      <c r="Q68" s="51"/>
      <c r="R68" s="81"/>
      <c r="S68" s="51"/>
      <c r="T68" s="68" t="s">
        <v>149</v>
      </c>
      <c r="U68" s="75">
        <f>R64</f>
        <v>502450.73569558747</v>
      </c>
      <c r="V68" s="51"/>
      <c r="W68" s="51"/>
      <c r="X68" s="51"/>
    </row>
    <row r="69" spans="1:24" ht="15.75">
      <c r="H69" s="39" t="s">
        <v>110</v>
      </c>
      <c r="I69" s="63">
        <f>ONSV_AUX_2021!Q62</f>
        <v>1256032</v>
      </c>
      <c r="J69" s="10">
        <f>I69</f>
        <v>1256032</v>
      </c>
      <c r="K69" s="11"/>
      <c r="L69" s="11"/>
      <c r="M69" s="11"/>
      <c r="N69" s="30" t="s">
        <v>150</v>
      </c>
      <c r="O69" s="63">
        <f>IF((J63-O66-O68-O67)&lt;0,0,(J63-O66-O68-O67))</f>
        <v>1285873.7885945877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ONSV_AUX_2021!Q63</f>
        <v>327473</v>
      </c>
      <c r="J70" s="10">
        <f>I70</f>
        <v>327473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7903339.9999999991</v>
      </c>
    </row>
    <row r="71" spans="1:24" ht="15.75">
      <c r="H71" s="39" t="s">
        <v>112</v>
      </c>
      <c r="I71" s="63">
        <f>ONSV_AUX_2021!Q64</f>
        <v>47402</v>
      </c>
      <c r="J71" s="10">
        <f>I71</f>
        <v>47402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ONSV_AUX_2021!Q65</f>
        <v>84908</v>
      </c>
      <c r="J72" s="64">
        <f>I72-(L61*I57)</f>
        <v>84846.675444247681</v>
      </c>
      <c r="K72" s="12"/>
      <c r="L72" s="12"/>
      <c r="M72" s="12"/>
      <c r="N72" s="12"/>
      <c r="O72" s="12"/>
      <c r="P72" s="12"/>
      <c r="Q72" s="4"/>
      <c r="R72" s="4"/>
    </row>
    <row r="75" spans="1:24" s="36" customFormat="1" ht="15.75">
      <c r="A75" s="100" t="str">
        <f>"PARANÁ/"&amp;ONSV_AUX_2020!$A$1&amp;""</f>
        <v>PARANÁ/2020</v>
      </c>
      <c r="B75" s="101"/>
      <c r="C75" s="101"/>
      <c r="D75" s="101"/>
      <c r="E75" s="101"/>
      <c r="F75" s="10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ONSV_AUX_2020!Q27</f>
        <v>418498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ONSV_AUX_2020!Q28</f>
        <v>2884328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ONSV_AUX_2020!Q29</f>
        <v>754114</v>
      </c>
      <c r="J81" s="9"/>
      <c r="K81" s="2" t="s">
        <v>122</v>
      </c>
      <c r="L81" s="63">
        <f>I88+I91+I92+I97</f>
        <v>5680855</v>
      </c>
      <c r="N81" s="30" t="s">
        <v>123</v>
      </c>
      <c r="O81" s="63">
        <f>J88+J97</f>
        <v>4706970.5978265591</v>
      </c>
      <c r="P81" s="67"/>
      <c r="Q81" s="68" t="s">
        <v>124</v>
      </c>
      <c r="R81" s="63">
        <f>J91+J92</f>
        <v>971443.40217344044</v>
      </c>
      <c r="S81" s="69"/>
      <c r="T81" s="68" t="s">
        <v>125</v>
      </c>
      <c r="U81" s="70">
        <f>O85</f>
        <v>45598.043580433528</v>
      </c>
      <c r="V81" s="51"/>
      <c r="W81" s="68" t="s">
        <v>126</v>
      </c>
      <c r="X81" s="71">
        <f>R87</f>
        <v>83294.938700081606</v>
      </c>
    </row>
    <row r="82" spans="8:24" ht="15.75">
      <c r="H82" s="38" t="s">
        <v>102</v>
      </c>
      <c r="I82" s="63">
        <f>ONSV_AUX_2020!Q30</f>
        <v>2441</v>
      </c>
      <c r="J82" s="9"/>
      <c r="K82" s="29"/>
      <c r="L82" s="65"/>
      <c r="M82" s="22"/>
      <c r="N82" s="30" t="s">
        <v>127</v>
      </c>
      <c r="O82" s="72">
        <f>J88/O81</f>
        <v>0.98419110323776171</v>
      </c>
      <c r="P82" s="67"/>
      <c r="Q82" s="73" t="s">
        <v>128</v>
      </c>
      <c r="R82" s="66">
        <f>J91/R81</f>
        <v>0.72644441952089855</v>
      </c>
      <c r="S82" s="74"/>
      <c r="T82" s="68" t="s">
        <v>129</v>
      </c>
      <c r="U82" s="70">
        <f>I97-J97</f>
        <v>31.987756068410818</v>
      </c>
      <c r="V82" s="51"/>
      <c r="W82" s="68" t="s">
        <v>130</v>
      </c>
      <c r="X82" s="71">
        <f>I92-J92</f>
        <v>114.23621585132787</v>
      </c>
    </row>
    <row r="83" spans="8:24" ht="15.75">
      <c r="H83" s="38" t="s">
        <v>16</v>
      </c>
      <c r="I83" s="63">
        <f>ONSV_AUX_2020!Q31</f>
        <v>41005</v>
      </c>
      <c r="J83" s="9"/>
      <c r="K83" s="2" t="s">
        <v>131</v>
      </c>
      <c r="L83" s="66">
        <f>I88/L81</f>
        <v>0.81581909765343419</v>
      </c>
      <c r="M83" s="22"/>
      <c r="N83" s="30" t="s">
        <v>132</v>
      </c>
      <c r="O83" s="72">
        <f>J97/O81</f>
        <v>1.580889676223839E-2</v>
      </c>
      <c r="P83" s="67"/>
      <c r="Q83" s="73" t="s">
        <v>133</v>
      </c>
      <c r="R83" s="66">
        <f>J92/R81</f>
        <v>0.27355558047910145</v>
      </c>
      <c r="S83" s="74"/>
      <c r="T83" s="68" t="s">
        <v>134</v>
      </c>
      <c r="U83" s="75">
        <f>O87</f>
        <v>28813.968663498061</v>
      </c>
      <c r="V83" s="76"/>
      <c r="W83" s="68" t="s">
        <v>135</v>
      </c>
      <c r="X83" s="75">
        <f>R90</f>
        <v>182448.82508406707</v>
      </c>
    </row>
    <row r="84" spans="8:24" ht="15.75">
      <c r="H84" s="38" t="s">
        <v>94</v>
      </c>
      <c r="I84" s="63">
        <f>ONSV_AUX_2020!Q32</f>
        <v>3514609</v>
      </c>
      <c r="J84" s="10"/>
      <c r="K84" s="2" t="s">
        <v>2</v>
      </c>
      <c r="L84" s="66">
        <f>I91/L81</f>
        <v>0.1242775955379956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4.679894135653876E-2</v>
      </c>
      <c r="M85" s="22"/>
      <c r="N85" s="30" t="s">
        <v>136</v>
      </c>
      <c r="O85" s="63">
        <f>IF(O83*I80&gt;J97,J97,O83*I80)</f>
        <v>45598.043580433528</v>
      </c>
      <c r="P85" s="79"/>
      <c r="Q85" s="68" t="s">
        <v>137</v>
      </c>
      <c r="R85" s="63">
        <f>I81-I89-I90-I93-I96</f>
        <v>304490</v>
      </c>
      <c r="S85" s="80"/>
      <c r="T85" s="68" t="s">
        <v>138</v>
      </c>
      <c r="U85" s="70">
        <f>O93</f>
        <v>2838729.9564195666</v>
      </c>
      <c r="V85" s="79"/>
      <c r="W85" s="68" t="s">
        <v>139</v>
      </c>
      <c r="X85" s="70">
        <f>I89</f>
        <v>280862</v>
      </c>
    </row>
    <row r="86" spans="8:24" ht="15.75">
      <c r="H86" s="26" t="s">
        <v>140</v>
      </c>
      <c r="K86" s="2" t="s">
        <v>0</v>
      </c>
      <c r="L86" s="66">
        <f>I97/L81</f>
        <v>1.3104365452031428E-2</v>
      </c>
      <c r="O86" s="51"/>
      <c r="P86" s="79"/>
      <c r="Q86" s="68" t="s">
        <v>141</v>
      </c>
      <c r="R86" s="63">
        <f>R82*R85</f>
        <v>221195.06129991839</v>
      </c>
      <c r="S86" s="51"/>
      <c r="T86" s="68" t="s">
        <v>142</v>
      </c>
      <c r="U86" s="70">
        <f>O91</f>
        <v>418498</v>
      </c>
      <c r="V86" s="69"/>
      <c r="W86" s="68" t="s">
        <v>143</v>
      </c>
      <c r="X86" s="70">
        <f>I90</f>
        <v>98026</v>
      </c>
    </row>
    <row r="87" spans="8:24" ht="15.75">
      <c r="K87" s="11"/>
      <c r="L87" s="11"/>
      <c r="M87" s="11"/>
      <c r="N87" s="30" t="s">
        <v>144</v>
      </c>
      <c r="O87" s="63">
        <f>J97-O85</f>
        <v>28813.968663498061</v>
      </c>
      <c r="P87" s="79"/>
      <c r="Q87" s="68" t="s">
        <v>126</v>
      </c>
      <c r="R87" s="63">
        <f>R83*R85</f>
        <v>83294.938700081606</v>
      </c>
      <c r="S87" s="51"/>
      <c r="T87" s="68" t="s">
        <v>145</v>
      </c>
      <c r="U87" s="70">
        <f>O92</f>
        <v>41005</v>
      </c>
      <c r="V87" s="74"/>
      <c r="W87" s="51"/>
      <c r="X87" s="65"/>
    </row>
    <row r="88" spans="8:24" ht="15.75">
      <c r="H88" s="39" t="s">
        <v>104</v>
      </c>
      <c r="I88" s="63">
        <f>ONSV_AUX_2020!Q56</f>
        <v>4634550</v>
      </c>
      <c r="J88" s="64">
        <f>I88-(L83*I82)</f>
        <v>4632558.5855826279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1991.4144173720852</v>
      </c>
      <c r="V88" s="74"/>
      <c r="W88" s="68" t="s">
        <v>147</v>
      </c>
      <c r="X88" s="70">
        <f>I96</f>
        <v>46483</v>
      </c>
    </row>
    <row r="89" spans="8:24" ht="15.75">
      <c r="H89" s="39" t="s">
        <v>105</v>
      </c>
      <c r="I89" s="63">
        <f>ONSV_AUX_2020!Q57</f>
        <v>280862</v>
      </c>
      <c r="J89" s="10">
        <f>I89</f>
        <v>280862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484504.57708937331</v>
      </c>
      <c r="S89" s="51"/>
      <c r="T89" s="68" t="s">
        <v>150</v>
      </c>
      <c r="U89" s="75">
        <f>O94</f>
        <v>1334325.6291630613</v>
      </c>
      <c r="V89" s="51"/>
      <c r="W89" s="68" t="s">
        <v>151</v>
      </c>
      <c r="X89" s="70">
        <f>I93</f>
        <v>24253</v>
      </c>
    </row>
    <row r="90" spans="8:24" ht="15.75">
      <c r="H90" s="39" t="s">
        <v>106</v>
      </c>
      <c r="I90" s="63">
        <f>ONSV_AUX_2020!Q58</f>
        <v>98026</v>
      </c>
      <c r="J90" s="10">
        <f>I90</f>
        <v>98026</v>
      </c>
      <c r="K90" s="11"/>
      <c r="L90" s="11"/>
      <c r="M90" s="11"/>
      <c r="O90" s="76"/>
      <c r="P90" s="79"/>
      <c r="Q90" s="68" t="s">
        <v>135</v>
      </c>
      <c r="R90" s="63">
        <f>J92-R87</f>
        <v>182448.82508406707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ONSV_AUX_2020!Q59</f>
        <v>706003</v>
      </c>
      <c r="J91" s="64">
        <f>I91-(L84*I82)</f>
        <v>705699.63838929171</v>
      </c>
      <c r="K91" s="11"/>
      <c r="L91" s="11"/>
      <c r="M91" s="11"/>
      <c r="N91" s="30" t="s">
        <v>142</v>
      </c>
      <c r="O91" s="63">
        <f>I79</f>
        <v>418498</v>
      </c>
      <c r="P91" s="79"/>
      <c r="Q91" s="51"/>
      <c r="R91" s="51"/>
      <c r="S91" s="80"/>
      <c r="T91" s="68" t="s">
        <v>141</v>
      </c>
      <c r="U91" s="71">
        <f>R86</f>
        <v>221195.06129991839</v>
      </c>
      <c r="V91" s="51"/>
      <c r="W91" s="68" t="s">
        <v>152</v>
      </c>
      <c r="X91" s="70">
        <f>I94</f>
        <v>1217285</v>
      </c>
    </row>
    <row r="92" spans="8:24" ht="15.75">
      <c r="H92" s="39" t="s">
        <v>108</v>
      </c>
      <c r="I92" s="63">
        <f>ONSV_AUX_2020!Q60</f>
        <v>265858</v>
      </c>
      <c r="J92" s="64">
        <f>I92-(L85*I82)</f>
        <v>265743.76378414867</v>
      </c>
      <c r="K92" s="11"/>
      <c r="L92" s="11"/>
      <c r="M92" s="11"/>
      <c r="N92" s="30" t="s">
        <v>145</v>
      </c>
      <c r="O92" s="63">
        <f>I83</f>
        <v>41005</v>
      </c>
      <c r="P92" s="79"/>
      <c r="Q92" s="51"/>
      <c r="R92" s="51"/>
      <c r="S92" s="51"/>
      <c r="T92" s="68" t="s">
        <v>153</v>
      </c>
      <c r="U92" s="71">
        <f>I91-J91</f>
        <v>303.36161070829257</v>
      </c>
      <c r="V92" s="51"/>
      <c r="W92" s="68" t="s">
        <v>154</v>
      </c>
      <c r="X92" s="70">
        <f>I95</f>
        <v>314452</v>
      </c>
    </row>
    <row r="93" spans="8:24" ht="15.75">
      <c r="H93" s="39" t="s">
        <v>109</v>
      </c>
      <c r="I93" s="63">
        <f>ONSV_AUX_2020!Q61</f>
        <v>24253</v>
      </c>
      <c r="J93" s="10">
        <f>I93</f>
        <v>24253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2838729.9564195666</v>
      </c>
      <c r="P93" s="79"/>
      <c r="Q93" s="51"/>
      <c r="R93" s="81"/>
      <c r="S93" s="51"/>
      <c r="T93" s="68" t="s">
        <v>149</v>
      </c>
      <c r="U93" s="75">
        <f>R89</f>
        <v>484504.57708937331</v>
      </c>
      <c r="V93" s="51"/>
      <c r="W93" s="51"/>
      <c r="X93" s="51"/>
    </row>
    <row r="94" spans="8:24" ht="15.75">
      <c r="H94" s="39" t="s">
        <v>110</v>
      </c>
      <c r="I94" s="63">
        <f>ONSV_AUX_2020!Q62</f>
        <v>1217285</v>
      </c>
      <c r="J94" s="10">
        <f>I94</f>
        <v>1217285</v>
      </c>
      <c r="K94" s="11"/>
      <c r="L94" s="11"/>
      <c r="M94" s="11"/>
      <c r="N94" s="30" t="s">
        <v>150</v>
      </c>
      <c r="O94" s="63">
        <f>IF((J88-O91-O93-O92)&lt;0,0,(J88-O91-O93-O92))</f>
        <v>1334325.6291630613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ONSV_AUX_2020!Q63</f>
        <v>314452</v>
      </c>
      <c r="J95" s="10">
        <f>I95</f>
        <v>314452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7662216</v>
      </c>
    </row>
    <row r="96" spans="8:24" ht="15.75">
      <c r="H96" s="39" t="s">
        <v>112</v>
      </c>
      <c r="I96" s="63">
        <f>ONSV_AUX_2020!Q64</f>
        <v>46483</v>
      </c>
      <c r="J96" s="10">
        <f>I96</f>
        <v>46483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ONSV_AUX_2020!Q65</f>
        <v>74444</v>
      </c>
      <c r="J97" s="64">
        <f>I97-(L86*I82)</f>
        <v>74412.012243931589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6" customFormat="1" ht="15.75">
      <c r="A100" s="100" t="str">
        <f>"PARANÁ/"&amp;ONSV_AUX_2019!$A$1&amp;""</f>
        <v>PARANÁ/2019</v>
      </c>
      <c r="B100" s="101"/>
      <c r="C100" s="101"/>
      <c r="D100" s="101"/>
      <c r="E100" s="101"/>
      <c r="F100" s="101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ONSV_AUX_2019!Q27</f>
        <v>418759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ONSV_AUX_2019!Q28</f>
        <v>2705449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ONSV_AUX_2019!Q29</f>
        <v>723583</v>
      </c>
      <c r="J106" s="9"/>
      <c r="K106" s="2" t="s">
        <v>122</v>
      </c>
      <c r="L106" s="63">
        <f>I113+I116+I117+I122</f>
        <v>5496472</v>
      </c>
      <c r="N106" s="30" t="s">
        <v>123</v>
      </c>
      <c r="O106" s="63">
        <f>J113+J122</f>
        <v>4566083.6532694064</v>
      </c>
      <c r="P106" s="67"/>
      <c r="Q106" s="68" t="s">
        <v>124</v>
      </c>
      <c r="R106" s="63">
        <f>J116+J117</f>
        <v>929077.34673059371</v>
      </c>
      <c r="S106" s="69"/>
      <c r="T106" s="68" t="s">
        <v>125</v>
      </c>
      <c r="U106" s="70">
        <f>O110</f>
        <v>39491.424669702683</v>
      </c>
      <c r="V106" s="51"/>
      <c r="W106" s="68" t="s">
        <v>126</v>
      </c>
      <c r="X106" s="71">
        <f>R112</f>
        <v>77780.043568324079</v>
      </c>
    </row>
    <row r="107" spans="1:24" ht="15.75">
      <c r="H107" s="38" t="s">
        <v>102</v>
      </c>
      <c r="I107" s="63">
        <f>ONSV_AUX_2019!Q30</f>
        <v>1311</v>
      </c>
      <c r="J107" s="9"/>
      <c r="K107" s="29"/>
      <c r="L107" s="65"/>
      <c r="M107" s="22"/>
      <c r="N107" s="30" t="s">
        <v>127</v>
      </c>
      <c r="O107" s="72">
        <f>J113/O106</f>
        <v>0.98540300531641778</v>
      </c>
      <c r="P107" s="67"/>
      <c r="Q107" s="73" t="s">
        <v>128</v>
      </c>
      <c r="R107" s="66">
        <f>J116/R106</f>
        <v>0.72831349221294761</v>
      </c>
      <c r="S107" s="74"/>
      <c r="T107" s="68" t="s">
        <v>129</v>
      </c>
      <c r="U107" s="70">
        <f>I122-J122</f>
        <v>15.901188435047516</v>
      </c>
      <c r="V107" s="51"/>
      <c r="W107" s="68" t="s">
        <v>130</v>
      </c>
      <c r="X107" s="71">
        <f>I117-J117</f>
        <v>60.22020270457142</v>
      </c>
    </row>
    <row r="108" spans="1:24" ht="15.75">
      <c r="H108" s="38" t="s">
        <v>16</v>
      </c>
      <c r="I108" s="63">
        <f>ONSV_AUX_2019!Q31</f>
        <v>40590</v>
      </c>
      <c r="J108" s="9"/>
      <c r="K108" s="2" t="s">
        <v>131</v>
      </c>
      <c r="L108" s="66">
        <f>I113/L106</f>
        <v>0.81879904054819164</v>
      </c>
      <c r="M108" s="22"/>
      <c r="N108" s="30" t="s">
        <v>132</v>
      </c>
      <c r="O108" s="72">
        <f>J122/O106</f>
        <v>1.4596994683582165E-2</v>
      </c>
      <c r="P108" s="67"/>
      <c r="Q108" s="73" t="s">
        <v>133</v>
      </c>
      <c r="R108" s="66">
        <f>J117/R106</f>
        <v>0.27168650778705239</v>
      </c>
      <c r="S108" s="74"/>
      <c r="T108" s="68" t="s">
        <v>134</v>
      </c>
      <c r="U108" s="75">
        <f>O112</f>
        <v>27159.67414186227</v>
      </c>
      <c r="V108" s="76"/>
      <c r="W108" s="68" t="s">
        <v>135</v>
      </c>
      <c r="X108" s="75">
        <f>R115</f>
        <v>174637.73622897133</v>
      </c>
    </row>
    <row r="109" spans="1:24" ht="15.75">
      <c r="H109" s="38" t="s">
        <v>94</v>
      </c>
      <c r="I109" s="63">
        <f>ONSV_AUX_2019!Q32</f>
        <v>3485249</v>
      </c>
      <c r="J109" s="10"/>
      <c r="K109" s="2" t="s">
        <v>2</v>
      </c>
      <c r="L109" s="66">
        <f>I116/L106</f>
        <v>0.12313735064965309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4.5934555838727097E-2</v>
      </c>
      <c r="M110" s="22"/>
      <c r="N110" s="30" t="s">
        <v>136</v>
      </c>
      <c r="O110" s="63">
        <f>IF(O108*I105&gt;J122,J122,O108*I105)</f>
        <v>39491.424669702683</v>
      </c>
      <c r="P110" s="79"/>
      <c r="Q110" s="68" t="s">
        <v>137</v>
      </c>
      <c r="R110" s="63">
        <f>I106-I114-I115-I118-I121</f>
        <v>286286</v>
      </c>
      <c r="S110" s="80"/>
      <c r="T110" s="68" t="s">
        <v>138</v>
      </c>
      <c r="U110" s="70">
        <f>O118</f>
        <v>2665957.575330297</v>
      </c>
      <c r="V110" s="79"/>
      <c r="W110" s="68" t="s">
        <v>139</v>
      </c>
      <c r="X110" s="70">
        <f>I114</f>
        <v>275740</v>
      </c>
    </row>
    <row r="111" spans="1:24" ht="15.75">
      <c r="H111" s="26" t="s">
        <v>140</v>
      </c>
      <c r="K111" s="2" t="s">
        <v>0</v>
      </c>
      <c r="L111" s="66">
        <f>I122/L106</f>
        <v>1.2129052963428177E-2</v>
      </c>
      <c r="O111" s="51"/>
      <c r="P111" s="79"/>
      <c r="Q111" s="68" t="s">
        <v>141</v>
      </c>
      <c r="R111" s="63">
        <f>R107*R110</f>
        <v>208505.95643167591</v>
      </c>
      <c r="S111" s="51"/>
      <c r="T111" s="68" t="s">
        <v>142</v>
      </c>
      <c r="U111" s="70">
        <f>O116</f>
        <v>418759</v>
      </c>
      <c r="V111" s="69"/>
      <c r="W111" s="68" t="s">
        <v>143</v>
      </c>
      <c r="X111" s="70">
        <f>I115</f>
        <v>93246</v>
      </c>
    </row>
    <row r="112" spans="1:24" ht="15.75">
      <c r="K112" s="11"/>
      <c r="L112" s="11"/>
      <c r="M112" s="11"/>
      <c r="N112" s="30" t="s">
        <v>144</v>
      </c>
      <c r="O112" s="63">
        <f>J122-O110</f>
        <v>27159.67414186227</v>
      </c>
      <c r="P112" s="79"/>
      <c r="Q112" s="68" t="s">
        <v>126</v>
      </c>
      <c r="R112" s="63">
        <f>R108*R110</f>
        <v>77780.043568324079</v>
      </c>
      <c r="S112" s="51"/>
      <c r="T112" s="68" t="s">
        <v>145</v>
      </c>
      <c r="U112" s="70">
        <f>O117</f>
        <v>40590</v>
      </c>
      <c r="V112" s="74"/>
      <c r="W112" s="51"/>
      <c r="X112" s="65"/>
    </row>
    <row r="113" spans="8:24" ht="15.75">
      <c r="H113" s="39" t="s">
        <v>104</v>
      </c>
      <c r="I113" s="63">
        <f>ONSV_AUX_2019!Q56</f>
        <v>4500506</v>
      </c>
      <c r="J113" s="64">
        <f>I113-(L108*I107)</f>
        <v>4499432.5544578414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1073.445542158559</v>
      </c>
      <c r="V113" s="74"/>
      <c r="W113" s="68" t="s">
        <v>147</v>
      </c>
      <c r="X113" s="70">
        <f>I121</f>
        <v>44949</v>
      </c>
    </row>
    <row r="114" spans="8:24" ht="15.75">
      <c r="H114" s="39" t="s">
        <v>105</v>
      </c>
      <c r="I114" s="63">
        <f>ONSV_AUX_2019!Q57</f>
        <v>275740</v>
      </c>
      <c r="J114" s="10">
        <f>I114</f>
        <v>275740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468153.61050162232</v>
      </c>
      <c r="S114" s="51"/>
      <c r="T114" s="68" t="s">
        <v>150</v>
      </c>
      <c r="U114" s="75">
        <f>O119</f>
        <v>1374125.9791275444</v>
      </c>
      <c r="V114" s="51"/>
      <c r="W114" s="68" t="s">
        <v>151</v>
      </c>
      <c r="X114" s="70">
        <f>I118</f>
        <v>23362</v>
      </c>
    </row>
    <row r="115" spans="8:24" ht="15.75">
      <c r="H115" s="39" t="s">
        <v>106</v>
      </c>
      <c r="I115" s="63">
        <f>ONSV_AUX_2019!Q58</f>
        <v>93246</v>
      </c>
      <c r="J115" s="10">
        <f>I115</f>
        <v>93246</v>
      </c>
      <c r="K115" s="11"/>
      <c r="L115" s="11"/>
      <c r="M115" s="11"/>
      <c r="O115" s="76"/>
      <c r="P115" s="79"/>
      <c r="Q115" s="68" t="s">
        <v>135</v>
      </c>
      <c r="R115" s="63">
        <f>J117-R112</f>
        <v>174637.73622897133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ONSV_AUX_2019!Q59</f>
        <v>676821</v>
      </c>
      <c r="J116" s="64">
        <f>I116-(L109*I107)</f>
        <v>676659.56693329825</v>
      </c>
      <c r="K116" s="11"/>
      <c r="L116" s="11"/>
      <c r="M116" s="11"/>
      <c r="N116" s="30" t="s">
        <v>142</v>
      </c>
      <c r="O116" s="63">
        <f>I104</f>
        <v>418759</v>
      </c>
      <c r="P116" s="79"/>
      <c r="Q116" s="51"/>
      <c r="R116" s="51"/>
      <c r="S116" s="80"/>
      <c r="T116" s="68" t="s">
        <v>141</v>
      </c>
      <c r="U116" s="71">
        <f>R111</f>
        <v>208505.95643167591</v>
      </c>
      <c r="V116" s="51"/>
      <c r="W116" s="68" t="s">
        <v>152</v>
      </c>
      <c r="X116" s="70">
        <f>I119</f>
        <v>1184057</v>
      </c>
    </row>
    <row r="117" spans="8:24" ht="15.75">
      <c r="H117" s="39" t="s">
        <v>108</v>
      </c>
      <c r="I117" s="63">
        <f>ONSV_AUX_2019!Q60</f>
        <v>252478</v>
      </c>
      <c r="J117" s="64">
        <f>I117-(L110*I107)</f>
        <v>252417.77979729543</v>
      </c>
      <c r="K117" s="11"/>
      <c r="L117" s="11"/>
      <c r="M117" s="11"/>
      <c r="N117" s="30" t="s">
        <v>145</v>
      </c>
      <c r="O117" s="63">
        <f>I108</f>
        <v>40590</v>
      </c>
      <c r="P117" s="79"/>
      <c r="Q117" s="51"/>
      <c r="R117" s="51"/>
      <c r="S117" s="51"/>
      <c r="T117" s="68" t="s">
        <v>153</v>
      </c>
      <c r="U117" s="71">
        <f>I116-J116</f>
        <v>161.43306670174934</v>
      </c>
      <c r="V117" s="51"/>
      <c r="W117" s="68" t="s">
        <v>154</v>
      </c>
      <c r="X117" s="70">
        <f>I120</f>
        <v>303911</v>
      </c>
    </row>
    <row r="118" spans="8:24" ht="15.75">
      <c r="H118" s="39" t="s">
        <v>109</v>
      </c>
      <c r="I118" s="63">
        <f>ONSV_AUX_2019!Q61</f>
        <v>23362</v>
      </c>
      <c r="J118" s="10">
        <f>I118</f>
        <v>23362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2665957.575330297</v>
      </c>
      <c r="P118" s="79"/>
      <c r="Q118" s="51"/>
      <c r="R118" s="81"/>
      <c r="S118" s="51"/>
      <c r="T118" s="68" t="s">
        <v>149</v>
      </c>
      <c r="U118" s="75">
        <f>R114</f>
        <v>468153.61050162232</v>
      </c>
      <c r="V118" s="51"/>
      <c r="W118" s="51"/>
      <c r="X118" s="51"/>
    </row>
    <row r="119" spans="8:24" ht="15.75">
      <c r="H119" s="39" t="s">
        <v>110</v>
      </c>
      <c r="I119" s="63">
        <f>ONSV_AUX_2019!Q62</f>
        <v>1184057</v>
      </c>
      <c r="J119" s="10">
        <f>I119</f>
        <v>1184057</v>
      </c>
      <c r="K119" s="11"/>
      <c r="L119" s="11"/>
      <c r="M119" s="11"/>
      <c r="N119" s="30" t="s">
        <v>150</v>
      </c>
      <c r="O119" s="63">
        <f>IF((J113-O116-O118-O117)&lt;0,0,(J113-O116-O118-O117))</f>
        <v>1374125.9791275444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ONSV_AUX_2019!Q63</f>
        <v>303911</v>
      </c>
      <c r="J120" s="10">
        <f>I120</f>
        <v>303911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7421737.0000000009</v>
      </c>
    </row>
    <row r="121" spans="8:24" ht="15.75">
      <c r="H121" s="39" t="s">
        <v>112</v>
      </c>
      <c r="I121" s="63">
        <f>ONSV_AUX_2019!Q64</f>
        <v>44949</v>
      </c>
      <c r="J121" s="10">
        <f>I121</f>
        <v>44949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ONSV_AUX_2019!Q65</f>
        <v>66667</v>
      </c>
      <c r="J122" s="64">
        <f>I122-(L111*I107)</f>
        <v>66651.098811564952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X122"/>
  <sheetViews>
    <sheetView showGridLines="0" topLeftCell="A91" zoomScale="90" zoomScaleNormal="90" workbookViewId="0">
      <selection activeCell="M78" sqref="M78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3" customFormat="1" ht="15.75">
      <c r="A1" s="100" t="str">
        <f>"PERNAMBUCO/"&amp;ONSV_AUX_2023!$A$1&amp;""</f>
        <v>PERNAMBUCO/2023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ONSV_AUX_2023!R27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ONSV_AUX_2023!R28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ONSV_AUX_2023!R29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ONSV_AUX_2023!R30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ONSV_AUX_2023!R31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ONSV_AUX_2023!R32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ONSV_AUX_2023!R56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ONSV_AUX_2023!R57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ONSV_AUX_2023!R58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ONSV_AUX_2023!R59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ONSV_AUX_2023!R60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ONSV_AUX_2023!R61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ONSV_AUX_2023!R62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ONSV_AUX_2023!R63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ONSV_AUX_2023!R64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ONSV_AUX_2023!R65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6" customFormat="1" ht="15.75">
      <c r="A25" s="100" t="str">
        <f>"PERNAMBUCO/"&amp;ONSV_AUX_2022!$A$1&amp;""</f>
        <v>PERNAMBUCO/2022</v>
      </c>
      <c r="B25" s="101"/>
      <c r="C25" s="101"/>
      <c r="D25" s="101"/>
      <c r="E25" s="101"/>
      <c r="F25" s="10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5.75">
      <c r="A26" s="3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ONSV_AUX_2022!R27</f>
        <v>94047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ONSV_AUX_2022!R28</f>
        <v>1471536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ONSV_AUX_2022!R29</f>
        <v>255698</v>
      </c>
      <c r="J31" s="9"/>
      <c r="K31" s="2" t="s">
        <v>122</v>
      </c>
      <c r="L31" s="63">
        <f>I38+I41+I42+I47</f>
        <v>1795004</v>
      </c>
      <c r="N31" s="30" t="s">
        <v>123</v>
      </c>
      <c r="O31" s="63">
        <f>J38+J47</f>
        <v>1477963.3558432183</v>
      </c>
      <c r="P31" s="67"/>
      <c r="Q31" s="68" t="s">
        <v>124</v>
      </c>
      <c r="R31" s="63">
        <f>J41+J42</f>
        <v>313495.64415678184</v>
      </c>
      <c r="S31" s="69"/>
      <c r="T31" s="68" t="s">
        <v>125</v>
      </c>
      <c r="U31" s="70">
        <f>O35</f>
        <v>32203.339272112407</v>
      </c>
      <c r="V31" s="51"/>
      <c r="W31" s="68" t="s">
        <v>126</v>
      </c>
      <c r="X31" s="71">
        <f>R37</f>
        <v>33284.523758738804</v>
      </c>
    </row>
    <row r="32" spans="1:24" ht="15.75">
      <c r="H32" s="38" t="s">
        <v>102</v>
      </c>
      <c r="I32" s="63">
        <f>ONSV_AUX_2022!R30</f>
        <v>3545</v>
      </c>
      <c r="J32" s="9"/>
      <c r="K32" s="29"/>
      <c r="L32" s="65"/>
      <c r="M32" s="22"/>
      <c r="N32" s="30" t="s">
        <v>127</v>
      </c>
      <c r="O32" s="72">
        <f>J38/O31</f>
        <v>0.97811583320278106</v>
      </c>
      <c r="P32" s="67"/>
      <c r="Q32" s="73" t="s">
        <v>128</v>
      </c>
      <c r="R32" s="66">
        <f>J41/R31</f>
        <v>0.67366514281348289</v>
      </c>
      <c r="S32" s="74"/>
      <c r="T32" s="68" t="s">
        <v>129</v>
      </c>
      <c r="U32" s="70">
        <f>I47-J47</f>
        <v>64.003400549525395</v>
      </c>
      <c r="V32" s="51"/>
      <c r="W32" s="68" t="s">
        <v>130</v>
      </c>
      <c r="X32" s="71">
        <f>I42-J42</f>
        <v>202.44373550142336</v>
      </c>
    </row>
    <row r="33" spans="8:24" ht="15.75">
      <c r="H33" s="38" t="s">
        <v>16</v>
      </c>
      <c r="I33" s="63">
        <f>ONSV_AUX_2022!R31</f>
        <v>93377</v>
      </c>
      <c r="J33" s="9"/>
      <c r="K33" s="2" t="s">
        <v>131</v>
      </c>
      <c r="L33" s="66">
        <f>I38/L31</f>
        <v>0.80695084802039441</v>
      </c>
      <c r="M33" s="22"/>
      <c r="N33" s="30" t="s">
        <v>132</v>
      </c>
      <c r="O33" s="72">
        <f>J47/O31</f>
        <v>2.1884166797218964E-2</v>
      </c>
      <c r="P33" s="67"/>
      <c r="Q33" s="73" t="s">
        <v>133</v>
      </c>
      <c r="R33" s="66">
        <f>J42/R31</f>
        <v>0.32633485718651706</v>
      </c>
      <c r="S33" s="74"/>
      <c r="T33" s="68" t="s">
        <v>134</v>
      </c>
      <c r="U33" s="75">
        <f>O37</f>
        <v>140.65732733806726</v>
      </c>
      <c r="V33" s="76"/>
      <c r="W33" s="68" t="s">
        <v>135</v>
      </c>
      <c r="X33" s="75">
        <f>R40</f>
        <v>69020.032505759766</v>
      </c>
    </row>
    <row r="34" spans="8:24" ht="15.75">
      <c r="H34" s="38" t="s">
        <v>94</v>
      </c>
      <c r="I34" s="63">
        <f>ONSV_AUX_2022!R32</f>
        <v>1387869</v>
      </c>
      <c r="J34" s="10"/>
      <c r="K34" s="2" t="s">
        <v>2</v>
      </c>
      <c r="L34" s="66">
        <f>I41/L31</f>
        <v>0.11788775958159425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5.7106836530726394E-2</v>
      </c>
      <c r="M35" s="22"/>
      <c r="N35" s="30" t="s">
        <v>136</v>
      </c>
      <c r="O35" s="63">
        <f>IF(O33*I30&gt;J47,J47,O33*I30)</f>
        <v>32203.339272112407</v>
      </c>
      <c r="P35" s="79"/>
      <c r="Q35" s="68" t="s">
        <v>137</v>
      </c>
      <c r="R35" s="63">
        <f>I31-I39-I40-I43-I46</f>
        <v>101995</v>
      </c>
      <c r="S35" s="80"/>
      <c r="T35" s="68" t="s">
        <v>138</v>
      </c>
      <c r="U35" s="70">
        <f>O43</f>
        <v>1258195.3592437678</v>
      </c>
      <c r="V35" s="79"/>
      <c r="W35" s="68" t="s">
        <v>139</v>
      </c>
      <c r="X35" s="70">
        <f>I39</f>
        <v>97008</v>
      </c>
    </row>
    <row r="36" spans="8:24" ht="15.75">
      <c r="H36" s="26" t="s">
        <v>140</v>
      </c>
      <c r="K36" s="2" t="s">
        <v>0</v>
      </c>
      <c r="L36" s="66">
        <f>I47/L31</f>
        <v>1.8054555867284976E-2</v>
      </c>
      <c r="O36" s="51"/>
      <c r="P36" s="79"/>
      <c r="Q36" s="68" t="s">
        <v>141</v>
      </c>
      <c r="R36" s="63">
        <f>R32*R35</f>
        <v>68710.476241261189</v>
      </c>
      <c r="S36" s="51"/>
      <c r="T36" s="68" t="s">
        <v>142</v>
      </c>
      <c r="U36" s="70">
        <f>O41</f>
        <v>94047</v>
      </c>
      <c r="V36" s="69"/>
      <c r="W36" s="68" t="s">
        <v>143</v>
      </c>
      <c r="X36" s="70">
        <f>I40</f>
        <v>14313</v>
      </c>
    </row>
    <row r="37" spans="8:24" ht="15.75">
      <c r="K37" s="11"/>
      <c r="L37" s="11"/>
      <c r="M37" s="11"/>
      <c r="N37" s="30" t="s">
        <v>144</v>
      </c>
      <c r="O37" s="63">
        <f>J47-O35</f>
        <v>140.65732733806726</v>
      </c>
      <c r="P37" s="79"/>
      <c r="Q37" s="68" t="s">
        <v>126</v>
      </c>
      <c r="R37" s="63">
        <f>R33*R35</f>
        <v>33284.523758738804</v>
      </c>
      <c r="S37" s="51"/>
      <c r="T37" s="68" t="s">
        <v>145</v>
      </c>
      <c r="U37" s="70">
        <f>O42</f>
        <v>93377</v>
      </c>
      <c r="V37" s="74"/>
      <c r="W37" s="51"/>
      <c r="X37" s="65"/>
    </row>
    <row r="38" spans="8:24" ht="15.75">
      <c r="H38" s="39" t="s">
        <v>104</v>
      </c>
      <c r="I38" s="63">
        <f>ONSV_AUX_2022!R56</f>
        <v>1448480</v>
      </c>
      <c r="J38" s="64">
        <f>I38-(L33*I32)</f>
        <v>1445619.3592437678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2860.6407562321983</v>
      </c>
      <c r="V38" s="74"/>
      <c r="W38" s="68" t="s">
        <v>147</v>
      </c>
      <c r="X38" s="70">
        <f>I46</f>
        <v>21813</v>
      </c>
    </row>
    <row r="39" spans="8:24" ht="15.75">
      <c r="H39" s="39" t="s">
        <v>105</v>
      </c>
      <c r="I39" s="63">
        <f>ONSV_AUX_2022!R57</f>
        <v>97008</v>
      </c>
      <c r="J39" s="10">
        <f>I39</f>
        <v>97008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142480.61165102205</v>
      </c>
      <c r="S39" s="51"/>
      <c r="T39" s="68" t="s">
        <v>150</v>
      </c>
      <c r="U39" s="75">
        <f>O44</f>
        <v>0</v>
      </c>
      <c r="V39" s="51"/>
      <c r="W39" s="68" t="s">
        <v>151</v>
      </c>
      <c r="X39" s="70">
        <f>I43</f>
        <v>20569</v>
      </c>
    </row>
    <row r="40" spans="8:24" ht="15.75">
      <c r="H40" s="39" t="s">
        <v>106</v>
      </c>
      <c r="I40" s="63">
        <f>ONSV_AUX_2022!R58</f>
        <v>14313</v>
      </c>
      <c r="J40" s="10">
        <f>I40</f>
        <v>14313</v>
      </c>
      <c r="K40" s="11"/>
      <c r="L40" s="11"/>
      <c r="M40" s="11"/>
      <c r="O40" s="76"/>
      <c r="P40" s="79"/>
      <c r="Q40" s="68" t="s">
        <v>135</v>
      </c>
      <c r="R40" s="63">
        <f>J42-R37</f>
        <v>69020.032505759766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ONSV_AUX_2022!R59</f>
        <v>211609</v>
      </c>
      <c r="J41" s="64">
        <f>I41-(L34*I32)</f>
        <v>211191.08789228325</v>
      </c>
      <c r="K41" s="11"/>
      <c r="L41" s="11"/>
      <c r="M41" s="11"/>
      <c r="N41" s="30" t="s">
        <v>142</v>
      </c>
      <c r="O41" s="63">
        <f>I29</f>
        <v>94047</v>
      </c>
      <c r="P41" s="79"/>
      <c r="Q41" s="51"/>
      <c r="R41" s="51"/>
      <c r="S41" s="80"/>
      <c r="T41" s="68" t="s">
        <v>141</v>
      </c>
      <c r="U41" s="71">
        <f>R36</f>
        <v>68710.476241261189</v>
      </c>
      <c r="V41" s="51"/>
      <c r="W41" s="68" t="s">
        <v>152</v>
      </c>
      <c r="X41" s="70">
        <f>I44</f>
        <v>1185018</v>
      </c>
    </row>
    <row r="42" spans="8:24" ht="15.75">
      <c r="H42" s="39" t="s">
        <v>108</v>
      </c>
      <c r="I42" s="63">
        <f>ONSV_AUX_2022!R60</f>
        <v>102507</v>
      </c>
      <c r="J42" s="64">
        <f>I42-(L35*I32)</f>
        <v>102304.55626449858</v>
      </c>
      <c r="K42" s="11"/>
      <c r="L42" s="11"/>
      <c r="M42" s="11"/>
      <c r="N42" s="30" t="s">
        <v>145</v>
      </c>
      <c r="O42" s="63">
        <f>I33</f>
        <v>93377</v>
      </c>
      <c r="P42" s="79"/>
      <c r="Q42" s="51"/>
      <c r="R42" s="51"/>
      <c r="S42" s="51"/>
      <c r="T42" s="68" t="s">
        <v>153</v>
      </c>
      <c r="U42" s="71">
        <f>I41-J41</f>
        <v>417.91210771675105</v>
      </c>
      <c r="V42" s="51"/>
      <c r="W42" s="68" t="s">
        <v>154</v>
      </c>
      <c r="X42" s="70">
        <f>I45</f>
        <v>137519</v>
      </c>
    </row>
    <row r="43" spans="8:24" ht="15.75">
      <c r="H43" s="39" t="s">
        <v>109</v>
      </c>
      <c r="I43" s="63">
        <f>ONSV_AUX_2022!R61</f>
        <v>20569</v>
      </c>
      <c r="J43" s="10">
        <f>I43</f>
        <v>20569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1258195.3592437678</v>
      </c>
      <c r="P43" s="79"/>
      <c r="Q43" s="51"/>
      <c r="R43" s="81"/>
      <c r="S43" s="51"/>
      <c r="T43" s="68" t="s">
        <v>149</v>
      </c>
      <c r="U43" s="75">
        <f>R39</f>
        <v>142480.61165102205</v>
      </c>
      <c r="V43" s="51"/>
      <c r="W43" s="51"/>
      <c r="X43" s="51"/>
    </row>
    <row r="44" spans="8:24" ht="15.75">
      <c r="H44" s="39" t="s">
        <v>110</v>
      </c>
      <c r="I44" s="63">
        <f>ONSV_AUX_2022!R62</f>
        <v>1185018</v>
      </c>
      <c r="J44" s="10">
        <f>I44</f>
        <v>1185018</v>
      </c>
      <c r="K44" s="11"/>
      <c r="L44" s="11"/>
      <c r="M44" s="11"/>
      <c r="N44" s="30" t="s">
        <v>150</v>
      </c>
      <c r="O44" s="63">
        <f>IF((J38-O41-O43-O42)&lt;0,0,(J38-O41-O43-O42))</f>
        <v>0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ONSV_AUX_2022!R63</f>
        <v>137519</v>
      </c>
      <c r="J45" s="10">
        <f>I45</f>
        <v>137519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3271244</v>
      </c>
    </row>
    <row r="46" spans="8:24" ht="15.75">
      <c r="H46" s="39" t="s">
        <v>112</v>
      </c>
      <c r="I46" s="63">
        <f>ONSV_AUX_2022!R64</f>
        <v>21813</v>
      </c>
      <c r="J46" s="10">
        <f>I46</f>
        <v>21813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ONSV_AUX_2022!R65</f>
        <v>32408</v>
      </c>
      <c r="J47" s="64">
        <f>I47-(L36*I32)</f>
        <v>32343.996599450475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6" customFormat="1" ht="15.75">
      <c r="A50" s="100" t="str">
        <f>"PERNAMBUCO/"&amp;ONSV_AUX_2021!$A$1&amp;""</f>
        <v>PERNAMBUCO/2021</v>
      </c>
      <c r="B50" s="101"/>
      <c r="C50" s="101"/>
      <c r="D50" s="101"/>
      <c r="E50" s="101"/>
      <c r="F50" s="101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ONSV_AUX_2021!R27</f>
        <v>94008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ONSV_AUX_2021!R28</f>
        <v>1417097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ONSV_AUX_2021!R29</f>
        <v>248890</v>
      </c>
      <c r="J56" s="9"/>
      <c r="K56" s="2" t="s">
        <v>122</v>
      </c>
      <c r="L56" s="63">
        <f>I63+I66+I67+I72</f>
        <v>1760822</v>
      </c>
      <c r="N56" s="30" t="s">
        <v>123</v>
      </c>
      <c r="O56" s="63">
        <f>J63+J72</f>
        <v>1455140.4288042744</v>
      </c>
      <c r="P56" s="67"/>
      <c r="Q56" s="68" t="s">
        <v>124</v>
      </c>
      <c r="R56" s="63">
        <f>J66+J67</f>
        <v>303791.57119572564</v>
      </c>
      <c r="S56" s="69"/>
      <c r="T56" s="68" t="s">
        <v>125</v>
      </c>
      <c r="U56" s="70">
        <f>O60</f>
        <v>27456.604586793197</v>
      </c>
      <c r="V56" s="51"/>
      <c r="W56" s="68" t="s">
        <v>126</v>
      </c>
      <c r="X56" s="71">
        <f>R62</f>
        <v>31958.786129068318</v>
      </c>
    </row>
    <row r="57" spans="1:24" ht="15.75">
      <c r="H57" s="38" t="s">
        <v>102</v>
      </c>
      <c r="I57" s="63">
        <f>ONSV_AUX_2021!R30</f>
        <v>1890</v>
      </c>
      <c r="J57" s="9"/>
      <c r="K57" s="29"/>
      <c r="L57" s="65"/>
      <c r="M57" s="22"/>
      <c r="N57" s="30" t="s">
        <v>127</v>
      </c>
      <c r="O57" s="72">
        <f>J63/O56</f>
        <v>0.98062475286674566</v>
      </c>
      <c r="P57" s="67"/>
      <c r="Q57" s="73" t="s">
        <v>128</v>
      </c>
      <c r="R57" s="66">
        <f>J66/R56</f>
        <v>0.67453422684615838</v>
      </c>
      <c r="S57" s="74"/>
      <c r="T57" s="68" t="s">
        <v>129</v>
      </c>
      <c r="U57" s="70">
        <f>I72-J72</f>
        <v>30.29457832762273</v>
      </c>
      <c r="V57" s="51"/>
      <c r="W57" s="68" t="s">
        <v>130</v>
      </c>
      <c r="X57" s="71">
        <f>I67-J67</f>
        <v>106.2414031628432</v>
      </c>
    </row>
    <row r="58" spans="1:24" ht="15.75">
      <c r="H58" s="38" t="s">
        <v>16</v>
      </c>
      <c r="I58" s="63">
        <f>ONSV_AUX_2021!R31</f>
        <v>77955</v>
      </c>
      <c r="J58" s="9"/>
      <c r="K58" s="2" t="s">
        <v>131</v>
      </c>
      <c r="L58" s="66">
        <f>I63/L56</f>
        <v>0.81125746952275701</v>
      </c>
      <c r="M58" s="22"/>
      <c r="N58" s="30" t="s">
        <v>132</v>
      </c>
      <c r="O58" s="72">
        <f>J72/O56</f>
        <v>1.937524713325425E-2</v>
      </c>
      <c r="P58" s="67"/>
      <c r="Q58" s="73" t="s">
        <v>133</v>
      </c>
      <c r="R58" s="66">
        <f>J67/R56</f>
        <v>0.32546577315384156</v>
      </c>
      <c r="S58" s="74"/>
      <c r="T58" s="68" t="s">
        <v>134</v>
      </c>
      <c r="U58" s="75">
        <f>O62</f>
        <v>737.10083487918018</v>
      </c>
      <c r="V58" s="76"/>
      <c r="W58" s="68" t="s">
        <v>135</v>
      </c>
      <c r="X58" s="75">
        <f>R65</f>
        <v>66914.972467768835</v>
      </c>
    </row>
    <row r="59" spans="1:24" ht="15.75">
      <c r="H59" s="38" t="s">
        <v>94</v>
      </c>
      <c r="I59" s="63">
        <f>ONSV_AUX_2021!R32</f>
        <v>1366976</v>
      </c>
      <c r="J59" s="10"/>
      <c r="K59" s="2" t="s">
        <v>2</v>
      </c>
      <c r="L59" s="66">
        <f>I66/L56</f>
        <v>0.11650127042937901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5.6212382625841793E-2</v>
      </c>
      <c r="M60" s="22"/>
      <c r="N60" s="30" t="s">
        <v>136</v>
      </c>
      <c r="O60" s="63">
        <f>IF(O58*I55&gt;J72,J72,O58*I55)</f>
        <v>27456.604586793197</v>
      </c>
      <c r="P60" s="79"/>
      <c r="Q60" s="68" t="s">
        <v>137</v>
      </c>
      <c r="R60" s="63">
        <f>I56-I64-I65-I68-I71</f>
        <v>98194</v>
      </c>
      <c r="S60" s="80"/>
      <c r="T60" s="68" t="s">
        <v>138</v>
      </c>
      <c r="U60" s="70">
        <f>O68</f>
        <v>1254983.723382602</v>
      </c>
      <c r="V60" s="79"/>
      <c r="W60" s="68" t="s">
        <v>139</v>
      </c>
      <c r="X60" s="70">
        <f>I64</f>
        <v>95596</v>
      </c>
    </row>
    <row r="61" spans="1:24" ht="15.75">
      <c r="H61" s="26" t="s">
        <v>140</v>
      </c>
      <c r="K61" s="2" t="s">
        <v>0</v>
      </c>
      <c r="L61" s="66">
        <f>I72/L56</f>
        <v>1.6028877422022216E-2</v>
      </c>
      <c r="O61" s="51"/>
      <c r="P61" s="79"/>
      <c r="Q61" s="68" t="s">
        <v>141</v>
      </c>
      <c r="R61" s="63">
        <f>R57*R60</f>
        <v>66235.213870931679</v>
      </c>
      <c r="S61" s="51"/>
      <c r="T61" s="68" t="s">
        <v>142</v>
      </c>
      <c r="U61" s="70">
        <f>O66</f>
        <v>94008</v>
      </c>
      <c r="V61" s="69"/>
      <c r="W61" s="68" t="s">
        <v>143</v>
      </c>
      <c r="X61" s="70">
        <f>I65</f>
        <v>13728</v>
      </c>
    </row>
    <row r="62" spans="1:24" ht="15.75">
      <c r="K62" s="11"/>
      <c r="L62" s="11"/>
      <c r="M62" s="11"/>
      <c r="N62" s="30" t="s">
        <v>144</v>
      </c>
      <c r="O62" s="63">
        <f>J72-O60</f>
        <v>737.10083487918018</v>
      </c>
      <c r="P62" s="79"/>
      <c r="Q62" s="68" t="s">
        <v>126</v>
      </c>
      <c r="R62" s="63">
        <f>R58*R60</f>
        <v>31958.786129068318</v>
      </c>
      <c r="S62" s="51"/>
      <c r="T62" s="68" t="s">
        <v>145</v>
      </c>
      <c r="U62" s="70">
        <f>O67</f>
        <v>77955</v>
      </c>
      <c r="V62" s="74"/>
      <c r="W62" s="51"/>
      <c r="X62" s="65"/>
    </row>
    <row r="63" spans="1:24" ht="15.75">
      <c r="H63" s="39" t="s">
        <v>104</v>
      </c>
      <c r="I63" s="63">
        <f>ONSV_AUX_2021!R56</f>
        <v>1428480</v>
      </c>
      <c r="J63" s="64">
        <f>I63-(L58*I57)</f>
        <v>1426946.723382602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1533.2766173980199</v>
      </c>
      <c r="V63" s="74"/>
      <c r="W63" s="68" t="s">
        <v>147</v>
      </c>
      <c r="X63" s="70">
        <f>I71</f>
        <v>21239</v>
      </c>
    </row>
    <row r="64" spans="1:24" ht="15.75">
      <c r="H64" s="39" t="s">
        <v>105</v>
      </c>
      <c r="I64" s="63">
        <f>ONSV_AUX_2021!R57</f>
        <v>95596</v>
      </c>
      <c r="J64" s="10">
        <f>I64</f>
        <v>95596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138682.59872795679</v>
      </c>
      <c r="S64" s="51"/>
      <c r="T64" s="68" t="s">
        <v>150</v>
      </c>
      <c r="U64" s="75">
        <f>O69</f>
        <v>0</v>
      </c>
      <c r="V64" s="51"/>
      <c r="W64" s="68" t="s">
        <v>151</v>
      </c>
      <c r="X64" s="70">
        <f>I68</f>
        <v>20133</v>
      </c>
    </row>
    <row r="65" spans="1:24" ht="15.75">
      <c r="H65" s="39" t="s">
        <v>106</v>
      </c>
      <c r="I65" s="63">
        <f>ONSV_AUX_2021!R58</f>
        <v>13728</v>
      </c>
      <c r="J65" s="10">
        <f>I65</f>
        <v>13728</v>
      </c>
      <c r="K65" s="11"/>
      <c r="L65" s="11"/>
      <c r="M65" s="11"/>
      <c r="O65" s="76"/>
      <c r="P65" s="79"/>
      <c r="Q65" s="68" t="s">
        <v>135</v>
      </c>
      <c r="R65" s="63">
        <f>J67-R62</f>
        <v>66914.972467768835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ONSV_AUX_2021!R59</f>
        <v>205138</v>
      </c>
      <c r="J66" s="64">
        <f>I66-(L59*I57)</f>
        <v>204917.81259888847</v>
      </c>
      <c r="K66" s="11"/>
      <c r="L66" s="11"/>
      <c r="M66" s="11"/>
      <c r="N66" s="30" t="s">
        <v>142</v>
      </c>
      <c r="O66" s="63">
        <f>I54</f>
        <v>94008</v>
      </c>
      <c r="P66" s="79"/>
      <c r="Q66" s="51"/>
      <c r="R66" s="51"/>
      <c r="S66" s="80"/>
      <c r="T66" s="68" t="s">
        <v>141</v>
      </c>
      <c r="U66" s="71">
        <f>R61</f>
        <v>66235.213870931679</v>
      </c>
      <c r="V66" s="51"/>
      <c r="W66" s="68" t="s">
        <v>152</v>
      </c>
      <c r="X66" s="70">
        <f>I69</f>
        <v>1134870</v>
      </c>
    </row>
    <row r="67" spans="1:24" ht="15.75">
      <c r="H67" s="39" t="s">
        <v>108</v>
      </c>
      <c r="I67" s="63">
        <f>ONSV_AUX_2021!R60</f>
        <v>98980</v>
      </c>
      <c r="J67" s="64">
        <f>I67-(L60*I57)</f>
        <v>98873.758596837157</v>
      </c>
      <c r="K67" s="11"/>
      <c r="L67" s="11"/>
      <c r="M67" s="11"/>
      <c r="N67" s="30" t="s">
        <v>145</v>
      </c>
      <c r="O67" s="63">
        <f>I58</f>
        <v>77955</v>
      </c>
      <c r="P67" s="79"/>
      <c r="Q67" s="51"/>
      <c r="R67" s="51"/>
      <c r="S67" s="51"/>
      <c r="T67" s="68" t="s">
        <v>153</v>
      </c>
      <c r="U67" s="71">
        <f>I66-J66</f>
        <v>220.18740111152874</v>
      </c>
      <c r="V67" s="51"/>
      <c r="W67" s="68" t="s">
        <v>154</v>
      </c>
      <c r="X67" s="70">
        <f>I70</f>
        <v>127267</v>
      </c>
    </row>
    <row r="68" spans="1:24" ht="15.75">
      <c r="H68" s="39" t="s">
        <v>109</v>
      </c>
      <c r="I68" s="63">
        <f>ONSV_AUX_2021!R61</f>
        <v>20133</v>
      </c>
      <c r="J68" s="10">
        <f>I68</f>
        <v>20133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1254983.723382602</v>
      </c>
      <c r="P68" s="79"/>
      <c r="Q68" s="51"/>
      <c r="R68" s="81"/>
      <c r="S68" s="51"/>
      <c r="T68" s="68" t="s">
        <v>149</v>
      </c>
      <c r="U68" s="75">
        <f>R64</f>
        <v>138682.59872795679</v>
      </c>
      <c r="V68" s="51"/>
      <c r="W68" s="51"/>
      <c r="X68" s="51"/>
    </row>
    <row r="69" spans="1:24" ht="15.75">
      <c r="H69" s="39" t="s">
        <v>110</v>
      </c>
      <c r="I69" s="63">
        <f>ONSV_AUX_2021!R62</f>
        <v>1134870</v>
      </c>
      <c r="J69" s="10">
        <f>I69</f>
        <v>1134870</v>
      </c>
      <c r="K69" s="11"/>
      <c r="L69" s="11"/>
      <c r="M69" s="11"/>
      <c r="N69" s="30" t="s">
        <v>150</v>
      </c>
      <c r="O69" s="63">
        <f>IF((J63-O66-O68-O67)&lt;0,0,(J63-O66-O68-O67))</f>
        <v>0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ONSV_AUX_2021!R63</f>
        <v>127267</v>
      </c>
      <c r="J70" s="10">
        <f>I70</f>
        <v>127267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3173655</v>
      </c>
    </row>
    <row r="71" spans="1:24" ht="15.75">
      <c r="H71" s="39" t="s">
        <v>112</v>
      </c>
      <c r="I71" s="63">
        <f>ONSV_AUX_2021!R64</f>
        <v>21239</v>
      </c>
      <c r="J71" s="10">
        <f>I71</f>
        <v>21239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ONSV_AUX_2021!R65</f>
        <v>28224</v>
      </c>
      <c r="J72" s="64">
        <f>I72-(L61*I57)</f>
        <v>28193.705421672377</v>
      </c>
      <c r="K72" s="12"/>
      <c r="L72" s="12"/>
      <c r="M72" s="12"/>
      <c r="N72" s="12"/>
      <c r="O72" s="12"/>
      <c r="P72" s="12"/>
      <c r="Q72" s="4"/>
      <c r="R72" s="4"/>
    </row>
    <row r="75" spans="1:24" s="36" customFormat="1" ht="15.75">
      <c r="A75" s="100" t="str">
        <f>"PERNAMBUCO/"&amp;ONSV_AUX_2020!$A$1&amp;""</f>
        <v>PERNAMBUCO/2020</v>
      </c>
      <c r="B75" s="101"/>
      <c r="C75" s="101"/>
      <c r="D75" s="101"/>
      <c r="E75" s="101"/>
      <c r="F75" s="10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ONSV_AUX_2020!R27</f>
        <v>93983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ONSV_AUX_2020!R28</f>
        <v>1334797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ONSV_AUX_2020!R29</f>
        <v>242019</v>
      </c>
      <c r="J81" s="9"/>
      <c r="K81" s="2" t="s">
        <v>122</v>
      </c>
      <c r="L81" s="63">
        <f>I88+I91+I92+I97</f>
        <v>1648932</v>
      </c>
      <c r="N81" s="30" t="s">
        <v>123</v>
      </c>
      <c r="O81" s="63">
        <f>J88+J97</f>
        <v>1366123.5876737186</v>
      </c>
      <c r="P81" s="67"/>
      <c r="Q81" s="68" t="s">
        <v>124</v>
      </c>
      <c r="R81" s="63">
        <f>J91+J92</f>
        <v>281787.41232628154</v>
      </c>
      <c r="S81" s="69"/>
      <c r="T81" s="68" t="s">
        <v>125</v>
      </c>
      <c r="U81" s="70">
        <f>O85</f>
        <v>21690.19492819886</v>
      </c>
      <c r="V81" s="51"/>
      <c r="W81" s="68" t="s">
        <v>126</v>
      </c>
      <c r="X81" s="71">
        <f>R87</f>
        <v>32157.010210595749</v>
      </c>
    </row>
    <row r="82" spans="8:24" ht="15.75">
      <c r="H82" s="38" t="s">
        <v>102</v>
      </c>
      <c r="I82" s="63">
        <f>ONSV_AUX_2020!R30</f>
        <v>1021</v>
      </c>
      <c r="J82" s="9"/>
      <c r="K82" s="29"/>
      <c r="L82" s="65"/>
      <c r="M82" s="22"/>
      <c r="N82" s="30" t="s">
        <v>127</v>
      </c>
      <c r="O82" s="72">
        <f>J88/O81</f>
        <v>0.98375019203054936</v>
      </c>
      <c r="P82" s="67"/>
      <c r="Q82" s="73" t="s">
        <v>128</v>
      </c>
      <c r="R82" s="66">
        <f>J91/R81</f>
        <v>0.66442641206971143</v>
      </c>
      <c r="S82" s="74"/>
      <c r="T82" s="68" t="s">
        <v>129</v>
      </c>
      <c r="U82" s="70">
        <f>I97-J97</f>
        <v>13.75403776505118</v>
      </c>
      <c r="V82" s="51"/>
      <c r="W82" s="68" t="s">
        <v>130</v>
      </c>
      <c r="X82" s="71">
        <f>I92-J92</f>
        <v>58.587012078118278</v>
      </c>
    </row>
    <row r="83" spans="8:24" ht="15.75">
      <c r="H83" s="38" t="s">
        <v>16</v>
      </c>
      <c r="I83" s="63">
        <f>ONSV_AUX_2020!R31</f>
        <v>69508</v>
      </c>
      <c r="J83" s="9"/>
      <c r="K83" s="2" t="s">
        <v>131</v>
      </c>
      <c r="L83" s="66">
        <f>I88/L81</f>
        <v>0.81553211411992732</v>
      </c>
      <c r="M83" s="22"/>
      <c r="N83" s="30" t="s">
        <v>132</v>
      </c>
      <c r="O83" s="72">
        <f>J97/O81</f>
        <v>1.6249807969450681E-2</v>
      </c>
      <c r="P83" s="67"/>
      <c r="Q83" s="73" t="s">
        <v>133</v>
      </c>
      <c r="R83" s="66">
        <f>J92/R81</f>
        <v>0.33557358793028841</v>
      </c>
      <c r="S83" s="74"/>
      <c r="T83" s="68" t="s">
        <v>134</v>
      </c>
      <c r="U83" s="75">
        <f>O87</f>
        <v>509.05103403608882</v>
      </c>
      <c r="V83" s="76"/>
      <c r="W83" s="68" t="s">
        <v>135</v>
      </c>
      <c r="X83" s="75">
        <f>R90</f>
        <v>62403.402777326133</v>
      </c>
    </row>
    <row r="84" spans="8:24" ht="15.75">
      <c r="H84" s="38" t="s">
        <v>94</v>
      </c>
      <c r="I84" s="63">
        <f>ONSV_AUX_2020!R32</f>
        <v>1348632</v>
      </c>
      <c r="J84" s="10"/>
      <c r="K84" s="2" t="s">
        <v>2</v>
      </c>
      <c r="L84" s="66">
        <f>I91/L81</f>
        <v>0.11361475185150145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5.7381990282194775E-2</v>
      </c>
      <c r="M85" s="22"/>
      <c r="N85" s="30" t="s">
        <v>136</v>
      </c>
      <c r="O85" s="63">
        <f>IF(O83*I80&gt;J97,J97,O83*I80)</f>
        <v>21690.19492819886</v>
      </c>
      <c r="P85" s="79"/>
      <c r="Q85" s="68" t="s">
        <v>137</v>
      </c>
      <c r="R85" s="63">
        <f>I81-I89-I90-I93-I96</f>
        <v>95827</v>
      </c>
      <c r="S85" s="80"/>
      <c r="T85" s="68" t="s">
        <v>138</v>
      </c>
      <c r="U85" s="70">
        <f>O93</f>
        <v>1180433.3417114837</v>
      </c>
      <c r="V85" s="79"/>
      <c r="W85" s="68" t="s">
        <v>139</v>
      </c>
      <c r="X85" s="70">
        <f>I89</f>
        <v>94124</v>
      </c>
    </row>
    <row r="86" spans="8:24" ht="15.75">
      <c r="H86" s="26" t="s">
        <v>140</v>
      </c>
      <c r="K86" s="2" t="s">
        <v>0</v>
      </c>
      <c r="L86" s="66">
        <f>I97/L81</f>
        <v>1.3471143746376443E-2</v>
      </c>
      <c r="O86" s="51"/>
      <c r="P86" s="79"/>
      <c r="Q86" s="68" t="s">
        <v>141</v>
      </c>
      <c r="R86" s="63">
        <f>R82*R85</f>
        <v>63669.989789404237</v>
      </c>
      <c r="S86" s="51"/>
      <c r="T86" s="68" t="s">
        <v>142</v>
      </c>
      <c r="U86" s="70">
        <f>O91</f>
        <v>93983</v>
      </c>
      <c r="V86" s="69"/>
      <c r="W86" s="68" t="s">
        <v>143</v>
      </c>
      <c r="X86" s="70">
        <f>I90</f>
        <v>12409</v>
      </c>
    </row>
    <row r="87" spans="8:24" ht="15.75">
      <c r="K87" s="11"/>
      <c r="L87" s="11"/>
      <c r="M87" s="11"/>
      <c r="N87" s="30" t="s">
        <v>144</v>
      </c>
      <c r="O87" s="63">
        <f>J97-O85</f>
        <v>509.05103403608882</v>
      </c>
      <c r="P87" s="79"/>
      <c r="Q87" s="68" t="s">
        <v>126</v>
      </c>
      <c r="R87" s="63">
        <f>R83*R85</f>
        <v>32157.010210595749</v>
      </c>
      <c r="S87" s="51"/>
      <c r="T87" s="68" t="s">
        <v>145</v>
      </c>
      <c r="U87" s="70">
        <f>O92</f>
        <v>69508</v>
      </c>
      <c r="V87" s="74"/>
      <c r="W87" s="51"/>
      <c r="X87" s="65"/>
    </row>
    <row r="88" spans="8:24" ht="15.75">
      <c r="H88" s="39" t="s">
        <v>104</v>
      </c>
      <c r="I88" s="63">
        <f>ONSV_AUX_2019!R56</f>
        <v>1344757</v>
      </c>
      <c r="J88" s="64">
        <f>I88-(L83*I82)</f>
        <v>1343924.3417114837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832.65828851633705</v>
      </c>
      <c r="V88" s="74"/>
      <c r="W88" s="68" t="s">
        <v>147</v>
      </c>
      <c r="X88" s="70">
        <f>I96</f>
        <v>20503</v>
      </c>
    </row>
    <row r="89" spans="8:24" ht="15.75">
      <c r="H89" s="39" t="s">
        <v>105</v>
      </c>
      <c r="I89" s="63">
        <f>ONSV_AUX_2019!R57</f>
        <v>94124</v>
      </c>
      <c r="J89" s="10">
        <f>I89</f>
        <v>94124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123557.00954895539</v>
      </c>
      <c r="S89" s="51"/>
      <c r="T89" s="68" t="s">
        <v>150</v>
      </c>
      <c r="U89" s="75">
        <f>O94</f>
        <v>0</v>
      </c>
      <c r="V89" s="51"/>
      <c r="W89" s="68" t="s">
        <v>151</v>
      </c>
      <c r="X89" s="70">
        <f>I93</f>
        <v>19156</v>
      </c>
    </row>
    <row r="90" spans="8:24" ht="15.75">
      <c r="H90" s="39" t="s">
        <v>106</v>
      </c>
      <c r="I90" s="63">
        <f>ONSV_AUX_2019!R58</f>
        <v>12409</v>
      </c>
      <c r="J90" s="10">
        <f>I90</f>
        <v>12409</v>
      </c>
      <c r="K90" s="11"/>
      <c r="L90" s="11"/>
      <c r="M90" s="11"/>
      <c r="O90" s="76"/>
      <c r="P90" s="79"/>
      <c r="Q90" s="68" t="s">
        <v>135</v>
      </c>
      <c r="R90" s="63">
        <f>J92-R87</f>
        <v>62403.402777326133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ONSV_AUX_2019!R59</f>
        <v>187343</v>
      </c>
      <c r="J91" s="64">
        <f>I91-(L84*I82)</f>
        <v>187226.99933835963</v>
      </c>
      <c r="K91" s="11"/>
      <c r="L91" s="11"/>
      <c r="M91" s="11"/>
      <c r="N91" s="30" t="s">
        <v>142</v>
      </c>
      <c r="O91" s="63">
        <f>I79</f>
        <v>93983</v>
      </c>
      <c r="P91" s="79"/>
      <c r="Q91" s="51"/>
      <c r="R91" s="51"/>
      <c r="S91" s="80"/>
      <c r="T91" s="68" t="s">
        <v>141</v>
      </c>
      <c r="U91" s="71">
        <f>R86</f>
        <v>63669.989789404237</v>
      </c>
      <c r="V91" s="51"/>
      <c r="W91" s="68" t="s">
        <v>152</v>
      </c>
      <c r="X91" s="70">
        <f>I94</f>
        <v>1062212</v>
      </c>
    </row>
    <row r="92" spans="8:24" ht="15.75">
      <c r="H92" s="39" t="s">
        <v>108</v>
      </c>
      <c r="I92" s="63">
        <f>ONSV_AUX_2019!R60</f>
        <v>94619</v>
      </c>
      <c r="J92" s="64">
        <f>I92-(L85*I82)</f>
        <v>94560.412987921882</v>
      </c>
      <c r="K92" s="11"/>
      <c r="L92" s="11"/>
      <c r="M92" s="11"/>
      <c r="N92" s="30" t="s">
        <v>145</v>
      </c>
      <c r="O92" s="63">
        <f>I83</f>
        <v>69508</v>
      </c>
      <c r="P92" s="79"/>
      <c r="Q92" s="51"/>
      <c r="R92" s="51"/>
      <c r="S92" s="51"/>
      <c r="T92" s="68" t="s">
        <v>153</v>
      </c>
      <c r="U92" s="71">
        <f>I91-J91</f>
        <v>116.0006616403698</v>
      </c>
      <c r="V92" s="51"/>
      <c r="W92" s="68" t="s">
        <v>154</v>
      </c>
      <c r="X92" s="70">
        <f>I95</f>
        <v>112799</v>
      </c>
    </row>
    <row r="93" spans="8:24" ht="15.75">
      <c r="H93" s="39" t="s">
        <v>109</v>
      </c>
      <c r="I93" s="63">
        <f>ONSV_AUX_2019!R61</f>
        <v>19156</v>
      </c>
      <c r="J93" s="10">
        <f>I93</f>
        <v>19156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1180433.3417114837</v>
      </c>
      <c r="P93" s="79"/>
      <c r="Q93" s="51"/>
      <c r="R93" s="81"/>
      <c r="S93" s="51"/>
      <c r="T93" s="68" t="s">
        <v>149</v>
      </c>
      <c r="U93" s="75">
        <f>R89</f>
        <v>123557.00954895539</v>
      </c>
      <c r="V93" s="51"/>
      <c r="W93" s="51"/>
      <c r="X93" s="51"/>
    </row>
    <row r="94" spans="8:24" ht="15.75">
      <c r="H94" s="39" t="s">
        <v>110</v>
      </c>
      <c r="I94" s="63">
        <f>ONSV_AUX_2019!R62</f>
        <v>1062212</v>
      </c>
      <c r="J94" s="10">
        <f>I94</f>
        <v>1062212</v>
      </c>
      <c r="K94" s="11"/>
      <c r="L94" s="11"/>
      <c r="M94" s="11"/>
      <c r="N94" s="30" t="s">
        <v>150</v>
      </c>
      <c r="O94" s="63">
        <f>IF((J88-O91-O93-O92)&lt;0,0,(J88-O91-O93-O92))</f>
        <v>0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ONSV_AUX_2019!R63</f>
        <v>112799</v>
      </c>
      <c r="J95" s="10">
        <f>I95</f>
        <v>112799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2970135</v>
      </c>
    </row>
    <row r="96" spans="8:24" ht="15.75">
      <c r="H96" s="39" t="s">
        <v>112</v>
      </c>
      <c r="I96" s="63">
        <f>ONSV_AUX_2019!R64</f>
        <v>20503</v>
      </c>
      <c r="J96" s="10">
        <f>I96</f>
        <v>20503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ONSV_AUX_2019!R65</f>
        <v>22213</v>
      </c>
      <c r="J97" s="64">
        <f>I97-(L86*I82)</f>
        <v>22199.245962234949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6" customFormat="1" ht="15.75">
      <c r="A100" s="100" t="str">
        <f>"PERNAMBUCO/"&amp;ONSV_AUX_2019!$A$1&amp;""</f>
        <v>PERNAMBUCO/2019</v>
      </c>
      <c r="B100" s="101"/>
      <c r="C100" s="101"/>
      <c r="D100" s="101"/>
      <c r="E100" s="101"/>
      <c r="F100" s="101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ONSV_AUX_2020!R27</f>
        <v>93983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ONSV_AUX_2020!R28</f>
        <v>1334797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ONSV_AUX_2020!R29</f>
        <v>242019</v>
      </c>
      <c r="J106" s="9"/>
      <c r="K106" s="2" t="s">
        <v>122</v>
      </c>
      <c r="L106" s="63">
        <f>I113+I116+I117+I122</f>
        <v>1648932</v>
      </c>
      <c r="N106" s="30" t="s">
        <v>123</v>
      </c>
      <c r="O106" s="63">
        <f>J113+J122</f>
        <v>1366123.5876737186</v>
      </c>
      <c r="P106" s="67"/>
      <c r="Q106" s="68" t="s">
        <v>124</v>
      </c>
      <c r="R106" s="63">
        <f>J116+J117</f>
        <v>281787.41232628154</v>
      </c>
      <c r="S106" s="69"/>
      <c r="T106" s="68" t="s">
        <v>125</v>
      </c>
      <c r="U106" s="70">
        <f>O110</f>
        <v>21690.19492819886</v>
      </c>
      <c r="V106" s="51"/>
      <c r="W106" s="68" t="s">
        <v>126</v>
      </c>
      <c r="X106" s="71">
        <f>R112</f>
        <v>32157.010210595749</v>
      </c>
    </row>
    <row r="107" spans="1:24" ht="15.75">
      <c r="H107" s="38" t="s">
        <v>102</v>
      </c>
      <c r="I107" s="63">
        <f>ONSV_AUX_2020!R30</f>
        <v>1021</v>
      </c>
      <c r="J107" s="9"/>
      <c r="K107" s="29"/>
      <c r="L107" s="65"/>
      <c r="M107" s="22"/>
      <c r="N107" s="30" t="s">
        <v>127</v>
      </c>
      <c r="O107" s="72">
        <f>J113/O106</f>
        <v>0.98375019203054936</v>
      </c>
      <c r="P107" s="67"/>
      <c r="Q107" s="73" t="s">
        <v>128</v>
      </c>
      <c r="R107" s="66">
        <f>J116/R106</f>
        <v>0.66442641206971143</v>
      </c>
      <c r="S107" s="74"/>
      <c r="T107" s="68" t="s">
        <v>129</v>
      </c>
      <c r="U107" s="70">
        <f>I122-J122</f>
        <v>13.75403776505118</v>
      </c>
      <c r="V107" s="51"/>
      <c r="W107" s="68" t="s">
        <v>130</v>
      </c>
      <c r="X107" s="71">
        <f>I117-J117</f>
        <v>58.587012078118278</v>
      </c>
    </row>
    <row r="108" spans="1:24" ht="15.75">
      <c r="H108" s="38" t="s">
        <v>16</v>
      </c>
      <c r="I108" s="63">
        <f>ONSV_AUX_2020!R31</f>
        <v>69508</v>
      </c>
      <c r="J108" s="9"/>
      <c r="K108" s="2" t="s">
        <v>131</v>
      </c>
      <c r="L108" s="66">
        <f>I113/L106</f>
        <v>0.81553211411992732</v>
      </c>
      <c r="M108" s="22"/>
      <c r="N108" s="30" t="s">
        <v>132</v>
      </c>
      <c r="O108" s="72">
        <f>J122/O106</f>
        <v>1.6249807969450681E-2</v>
      </c>
      <c r="P108" s="67"/>
      <c r="Q108" s="73" t="s">
        <v>133</v>
      </c>
      <c r="R108" s="66">
        <f>J117/R106</f>
        <v>0.33557358793028841</v>
      </c>
      <c r="S108" s="74"/>
      <c r="T108" s="68" t="s">
        <v>134</v>
      </c>
      <c r="U108" s="75">
        <f>O112</f>
        <v>509.05103403608882</v>
      </c>
      <c r="V108" s="76"/>
      <c r="W108" s="68" t="s">
        <v>135</v>
      </c>
      <c r="X108" s="75">
        <f>R115</f>
        <v>62403.402777326133</v>
      </c>
    </row>
    <row r="109" spans="1:24" ht="15.75">
      <c r="H109" s="38" t="s">
        <v>94</v>
      </c>
      <c r="I109" s="63">
        <f>ONSV_AUX_2020!R32</f>
        <v>1348632</v>
      </c>
      <c r="J109" s="10"/>
      <c r="K109" s="2" t="s">
        <v>2</v>
      </c>
      <c r="L109" s="66">
        <f>I116/L106</f>
        <v>0.11361475185150145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5.7381990282194775E-2</v>
      </c>
      <c r="M110" s="22"/>
      <c r="N110" s="30" t="s">
        <v>136</v>
      </c>
      <c r="O110" s="63">
        <f>IF(O108*I105&gt;J122,J122,O108*I105)</f>
        <v>21690.19492819886</v>
      </c>
      <c r="P110" s="79"/>
      <c r="Q110" s="68" t="s">
        <v>137</v>
      </c>
      <c r="R110" s="63">
        <f>I106-I114-I115-I118-I121</f>
        <v>95827</v>
      </c>
      <c r="S110" s="80"/>
      <c r="T110" s="68" t="s">
        <v>138</v>
      </c>
      <c r="U110" s="70">
        <f>O118</f>
        <v>1180433.3417114837</v>
      </c>
      <c r="V110" s="79"/>
      <c r="W110" s="68" t="s">
        <v>139</v>
      </c>
      <c r="X110" s="70">
        <f>I114</f>
        <v>94124</v>
      </c>
    </row>
    <row r="111" spans="1:24" ht="15.75">
      <c r="H111" s="26" t="s">
        <v>140</v>
      </c>
      <c r="K111" s="2" t="s">
        <v>0</v>
      </c>
      <c r="L111" s="66">
        <f>I122/L106</f>
        <v>1.3471143746376443E-2</v>
      </c>
      <c r="O111" s="51"/>
      <c r="P111" s="79"/>
      <c r="Q111" s="68" t="s">
        <v>141</v>
      </c>
      <c r="R111" s="63">
        <f>R107*R110</f>
        <v>63669.989789404237</v>
      </c>
      <c r="S111" s="51"/>
      <c r="T111" s="68" t="s">
        <v>142</v>
      </c>
      <c r="U111" s="70">
        <f>O116</f>
        <v>93983</v>
      </c>
      <c r="V111" s="69"/>
      <c r="W111" s="68" t="s">
        <v>143</v>
      </c>
      <c r="X111" s="70">
        <f>I115</f>
        <v>12409</v>
      </c>
    </row>
    <row r="112" spans="1:24" ht="15.75">
      <c r="K112" s="11"/>
      <c r="L112" s="11"/>
      <c r="M112" s="11"/>
      <c r="N112" s="30" t="s">
        <v>144</v>
      </c>
      <c r="O112" s="63">
        <f>J122-O110</f>
        <v>509.05103403608882</v>
      </c>
      <c r="P112" s="79"/>
      <c r="Q112" s="68" t="s">
        <v>126</v>
      </c>
      <c r="R112" s="63">
        <f>R108*R110</f>
        <v>32157.010210595749</v>
      </c>
      <c r="S112" s="51"/>
      <c r="T112" s="68" t="s">
        <v>145</v>
      </c>
      <c r="U112" s="70">
        <f>O117</f>
        <v>69508</v>
      </c>
      <c r="V112" s="74"/>
      <c r="W112" s="51"/>
      <c r="X112" s="65"/>
    </row>
    <row r="113" spans="8:24" ht="15.75">
      <c r="H113" s="39" t="s">
        <v>104</v>
      </c>
      <c r="I113" s="63">
        <f>ONSV_AUX_2019!R56</f>
        <v>1344757</v>
      </c>
      <c r="J113" s="64">
        <f>I113-(L108*I107)</f>
        <v>1343924.3417114837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832.65828851633705</v>
      </c>
      <c r="V113" s="74"/>
      <c r="W113" s="68" t="s">
        <v>147</v>
      </c>
      <c r="X113" s="70">
        <f>I121</f>
        <v>20503</v>
      </c>
    </row>
    <row r="114" spans="8:24" ht="15.75">
      <c r="H114" s="39" t="s">
        <v>105</v>
      </c>
      <c r="I114" s="63">
        <f>ONSV_AUX_2019!R57</f>
        <v>94124</v>
      </c>
      <c r="J114" s="10">
        <f>I114</f>
        <v>94124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123557.00954895539</v>
      </c>
      <c r="S114" s="51"/>
      <c r="T114" s="68" t="s">
        <v>150</v>
      </c>
      <c r="U114" s="75">
        <f>O119</f>
        <v>0</v>
      </c>
      <c r="V114" s="51"/>
      <c r="W114" s="68" t="s">
        <v>151</v>
      </c>
      <c r="X114" s="70">
        <f>I118</f>
        <v>19156</v>
      </c>
    </row>
    <row r="115" spans="8:24" ht="15.75">
      <c r="H115" s="39" t="s">
        <v>106</v>
      </c>
      <c r="I115" s="63">
        <f>ONSV_AUX_2019!R58</f>
        <v>12409</v>
      </c>
      <c r="J115" s="10">
        <f>I115</f>
        <v>12409</v>
      </c>
      <c r="K115" s="11"/>
      <c r="L115" s="11"/>
      <c r="M115" s="11"/>
      <c r="O115" s="76"/>
      <c r="P115" s="79"/>
      <c r="Q115" s="68" t="s">
        <v>135</v>
      </c>
      <c r="R115" s="63">
        <f>J117-R112</f>
        <v>62403.402777326133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ONSV_AUX_2019!R59</f>
        <v>187343</v>
      </c>
      <c r="J116" s="64">
        <f>I116-(L109*I107)</f>
        <v>187226.99933835963</v>
      </c>
      <c r="K116" s="11"/>
      <c r="L116" s="11"/>
      <c r="M116" s="11"/>
      <c r="N116" s="30" t="s">
        <v>142</v>
      </c>
      <c r="O116" s="63">
        <f>I104</f>
        <v>93983</v>
      </c>
      <c r="P116" s="79"/>
      <c r="Q116" s="51"/>
      <c r="R116" s="51"/>
      <c r="S116" s="80"/>
      <c r="T116" s="68" t="s">
        <v>141</v>
      </c>
      <c r="U116" s="71">
        <f>R111</f>
        <v>63669.989789404237</v>
      </c>
      <c r="V116" s="51"/>
      <c r="W116" s="68" t="s">
        <v>152</v>
      </c>
      <c r="X116" s="70">
        <f>I119</f>
        <v>1062212</v>
      </c>
    </row>
    <row r="117" spans="8:24" ht="15.75">
      <c r="H117" s="39" t="s">
        <v>108</v>
      </c>
      <c r="I117" s="63">
        <f>ONSV_AUX_2019!R60</f>
        <v>94619</v>
      </c>
      <c r="J117" s="64">
        <f>I117-(L110*I107)</f>
        <v>94560.412987921882</v>
      </c>
      <c r="K117" s="11"/>
      <c r="L117" s="11"/>
      <c r="M117" s="11"/>
      <c r="N117" s="30" t="s">
        <v>145</v>
      </c>
      <c r="O117" s="63">
        <f>I108</f>
        <v>69508</v>
      </c>
      <c r="P117" s="79"/>
      <c r="Q117" s="51"/>
      <c r="R117" s="51"/>
      <c r="S117" s="51"/>
      <c r="T117" s="68" t="s">
        <v>153</v>
      </c>
      <c r="U117" s="71">
        <f>I116-J116</f>
        <v>116.0006616403698</v>
      </c>
      <c r="V117" s="51"/>
      <c r="W117" s="68" t="s">
        <v>154</v>
      </c>
      <c r="X117" s="70">
        <f>I120</f>
        <v>112799</v>
      </c>
    </row>
    <row r="118" spans="8:24" ht="15.75">
      <c r="H118" s="39" t="s">
        <v>109</v>
      </c>
      <c r="I118" s="63">
        <f>ONSV_AUX_2019!R61</f>
        <v>19156</v>
      </c>
      <c r="J118" s="10">
        <f>I118</f>
        <v>19156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1180433.3417114837</v>
      </c>
      <c r="P118" s="79"/>
      <c r="Q118" s="51"/>
      <c r="R118" s="81"/>
      <c r="S118" s="51"/>
      <c r="T118" s="68" t="s">
        <v>149</v>
      </c>
      <c r="U118" s="75">
        <f>R114</f>
        <v>123557.00954895539</v>
      </c>
      <c r="V118" s="51"/>
      <c r="W118" s="51"/>
      <c r="X118" s="51"/>
    </row>
    <row r="119" spans="8:24" ht="15.75">
      <c r="H119" s="39" t="s">
        <v>110</v>
      </c>
      <c r="I119" s="63">
        <f>ONSV_AUX_2019!R62</f>
        <v>1062212</v>
      </c>
      <c r="J119" s="10">
        <f>I119</f>
        <v>1062212</v>
      </c>
      <c r="K119" s="11"/>
      <c r="L119" s="11"/>
      <c r="M119" s="11"/>
      <c r="N119" s="30" t="s">
        <v>150</v>
      </c>
      <c r="O119" s="63">
        <f>IF((J113-O116-O118-O117)&lt;0,0,(J113-O116-O118-O117))</f>
        <v>0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ONSV_AUX_2019!R63</f>
        <v>112799</v>
      </c>
      <c r="J120" s="10">
        <f>I120</f>
        <v>112799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2970135</v>
      </c>
    </row>
    <row r="121" spans="8:24" ht="15.75">
      <c r="H121" s="39" t="s">
        <v>112</v>
      </c>
      <c r="I121" s="63">
        <f>ONSV_AUX_2019!R64</f>
        <v>20503</v>
      </c>
      <c r="J121" s="10">
        <f>I121</f>
        <v>20503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ONSV_AUX_2019!R65</f>
        <v>22213</v>
      </c>
      <c r="J122" s="64">
        <f>I122-(L111*I107)</f>
        <v>22199.245962234949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Q4:R4"/>
    <mergeCell ref="T4:X4"/>
    <mergeCell ref="K5:L5"/>
    <mergeCell ref="A100:F100"/>
    <mergeCell ref="A25:F25"/>
    <mergeCell ref="A50:F50"/>
    <mergeCell ref="A75:F75"/>
    <mergeCell ref="T27:X27"/>
    <mergeCell ref="T52:X52"/>
    <mergeCell ref="K104:L104"/>
    <mergeCell ref="K79:L79"/>
    <mergeCell ref="K29:L29"/>
    <mergeCell ref="K54:L54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X122"/>
  <sheetViews>
    <sheetView showGridLines="0" topLeftCell="A88" zoomScale="90" zoomScaleNormal="90" workbookViewId="0">
      <selection activeCell="G103" sqref="G103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3" customFormat="1" ht="15.75">
      <c r="A1" s="100" t="str">
        <f>"PIAUÍ/"&amp;ONSV_AUX_2023!$A$1&amp;""</f>
        <v>PIAUÍ/2023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ONSV_AUX_2023!S27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ONSV_AUX_2023!S28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ONSV_AUX_2023!S29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ONSV_AUX_2023!S30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ONSV_AUX_2023!S31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ONSV_AUX_2023!S32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ONSV_AUX_2023!S56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ONSV_AUX_2023!S57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ONSV_AUX_2023!S58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ONSV_AUX_2023!S59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ONSV_AUX_2023!S60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ONSV_AUX_2023!S61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ONSV_AUX_2023!S62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ONSV_AUX_2023!S63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ONSV_AUX_2023!S64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ONSV_AUX_2023!S65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6" customFormat="1" ht="15.75">
      <c r="A25" s="100" t="str">
        <f>"PIAUÍ/"&amp;ONSV_AUX_2022!$A$1&amp;""</f>
        <v>PIAUÍ/2022</v>
      </c>
      <c r="B25" s="101"/>
      <c r="C25" s="101"/>
      <c r="D25" s="101"/>
      <c r="E25" s="101"/>
      <c r="F25" s="10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5.75">
      <c r="A26" s="1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ONSV_AUX_2022!S27</f>
        <v>18666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ONSV_AUX_2022!S28</f>
        <v>533125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ONSV_AUX_2022!S29</f>
        <v>113923</v>
      </c>
      <c r="J31" s="9"/>
      <c r="K31" s="2" t="s">
        <v>122</v>
      </c>
      <c r="L31" s="63">
        <f>I38+I41+I42+I47</f>
        <v>550657</v>
      </c>
      <c r="N31" s="30" t="s">
        <v>123</v>
      </c>
      <c r="O31" s="63">
        <f>J38+J47</f>
        <v>423074.67935575137</v>
      </c>
      <c r="P31" s="67"/>
      <c r="Q31" s="68" t="s">
        <v>124</v>
      </c>
      <c r="R31" s="63">
        <f>J41+J42</f>
        <v>126720.3206442486</v>
      </c>
      <c r="S31" s="69"/>
      <c r="T31" s="68" t="s">
        <v>125</v>
      </c>
      <c r="U31" s="70">
        <f>O35</f>
        <v>11236.382957085809</v>
      </c>
      <c r="V31" s="51"/>
      <c r="W31" s="68" t="s">
        <v>126</v>
      </c>
      <c r="X31" s="71">
        <f>R37</f>
        <v>9917.3248292217886</v>
      </c>
    </row>
    <row r="32" spans="1:24" ht="15.75">
      <c r="H32" s="38" t="s">
        <v>102</v>
      </c>
      <c r="I32" s="63">
        <f>ONSV_AUX_2022!S30</f>
        <v>862</v>
      </c>
      <c r="J32" s="9"/>
      <c r="K32" s="29"/>
      <c r="L32" s="65"/>
      <c r="M32" s="22"/>
      <c r="N32" s="30" t="s">
        <v>127</v>
      </c>
      <c r="O32" s="72">
        <f>J38/O31</f>
        <v>0.97344113579617597</v>
      </c>
      <c r="P32" s="67"/>
      <c r="Q32" s="73" t="s">
        <v>128</v>
      </c>
      <c r="R32" s="66">
        <f>J41/R31</f>
        <v>0.84220644663131594</v>
      </c>
      <c r="S32" s="74"/>
      <c r="T32" s="68" t="s">
        <v>129</v>
      </c>
      <c r="U32" s="70">
        <f>I47-J47</f>
        <v>17.617042914191188</v>
      </c>
      <c r="V32" s="51"/>
      <c r="W32" s="68" t="s">
        <v>130</v>
      </c>
      <c r="X32" s="71">
        <f>I42-J42</f>
        <v>31.350321525012987</v>
      </c>
    </row>
    <row r="33" spans="8:24" ht="15.75">
      <c r="H33" s="38" t="s">
        <v>16</v>
      </c>
      <c r="I33" s="63">
        <f>ONSV_AUX_2022!S31</f>
        <v>871</v>
      </c>
      <c r="J33" s="9"/>
      <c r="K33" s="2" t="s">
        <v>131</v>
      </c>
      <c r="L33" s="66">
        <f>I38/L31</f>
        <v>0.74907610363620181</v>
      </c>
      <c r="M33" s="22"/>
      <c r="N33" s="30" t="s">
        <v>132</v>
      </c>
      <c r="O33" s="72">
        <f>J47/O31</f>
        <v>2.6558864203824063E-2</v>
      </c>
      <c r="P33" s="67"/>
      <c r="Q33" s="73" t="s">
        <v>133</v>
      </c>
      <c r="R33" s="66">
        <f>J42/R31</f>
        <v>0.15779355336868398</v>
      </c>
      <c r="S33" s="74"/>
      <c r="T33" s="68" t="s">
        <v>134</v>
      </c>
      <c r="U33" s="75">
        <f>O37</f>
        <v>0</v>
      </c>
      <c r="V33" s="76"/>
      <c r="W33" s="68" t="s">
        <v>135</v>
      </c>
      <c r="X33" s="75">
        <f>R40</f>
        <v>10078.324849253198</v>
      </c>
    </row>
    <row r="34" spans="8:24" ht="15.75">
      <c r="H34" s="38" t="s">
        <v>94</v>
      </c>
      <c r="I34" s="63">
        <f>ONSV_AUX_2022!S32</f>
        <v>677067</v>
      </c>
      <c r="J34" s="10"/>
      <c r="K34" s="2" t="s">
        <v>2</v>
      </c>
      <c r="L34" s="66">
        <f>I41/L31</f>
        <v>0.19411720907933613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3.6369282511617938E-2</v>
      </c>
      <c r="M35" s="22"/>
      <c r="N35" s="30" t="s">
        <v>136</v>
      </c>
      <c r="O35" s="63">
        <f>IF(O33*I30&gt;J47,J47,O33*I30)</f>
        <v>11236.382957085809</v>
      </c>
      <c r="P35" s="79"/>
      <c r="Q35" s="68" t="s">
        <v>137</v>
      </c>
      <c r="R35" s="63">
        <f>I31-I39-I40-I43-I46</f>
        <v>62850</v>
      </c>
      <c r="S35" s="80"/>
      <c r="T35" s="68" t="s">
        <v>138</v>
      </c>
      <c r="U35" s="70">
        <f>O43</f>
        <v>392301.29639866558</v>
      </c>
      <c r="V35" s="79"/>
      <c r="W35" s="68" t="s">
        <v>139</v>
      </c>
      <c r="X35" s="70">
        <f>I39</f>
        <v>33465</v>
      </c>
    </row>
    <row r="36" spans="8:24" ht="15.75">
      <c r="H36" s="26" t="s">
        <v>140</v>
      </c>
      <c r="K36" s="2" t="s">
        <v>0</v>
      </c>
      <c r="L36" s="66">
        <f>I47/L31</f>
        <v>2.0437404772844076E-2</v>
      </c>
      <c r="O36" s="51"/>
      <c r="P36" s="79"/>
      <c r="Q36" s="68" t="s">
        <v>141</v>
      </c>
      <c r="R36" s="63">
        <f>R32*R35</f>
        <v>52932.67517077821</v>
      </c>
      <c r="S36" s="51"/>
      <c r="T36" s="68" t="s">
        <v>142</v>
      </c>
      <c r="U36" s="70">
        <f>O41</f>
        <v>18666</v>
      </c>
      <c r="V36" s="69"/>
      <c r="W36" s="68" t="s">
        <v>143</v>
      </c>
      <c r="X36" s="70">
        <f>I40</f>
        <v>3909</v>
      </c>
    </row>
    <row r="37" spans="8:24" ht="15.75">
      <c r="K37" s="11"/>
      <c r="L37" s="11"/>
      <c r="M37" s="11"/>
      <c r="N37" s="30" t="s">
        <v>144</v>
      </c>
      <c r="O37" s="63">
        <f>J47-O35</f>
        <v>0</v>
      </c>
      <c r="P37" s="79"/>
      <c r="Q37" s="68" t="s">
        <v>126</v>
      </c>
      <c r="R37" s="63">
        <f>R33*R35</f>
        <v>9917.3248292217886</v>
      </c>
      <c r="S37" s="51"/>
      <c r="T37" s="68" t="s">
        <v>145</v>
      </c>
      <c r="U37" s="70">
        <f>O42</f>
        <v>871</v>
      </c>
      <c r="V37" s="74"/>
      <c r="W37" s="51"/>
      <c r="X37" s="65"/>
    </row>
    <row r="38" spans="8:24" ht="15.75">
      <c r="H38" s="39" t="s">
        <v>104</v>
      </c>
      <c r="I38" s="63">
        <f>ONSV_AUX_2022!S56</f>
        <v>412484</v>
      </c>
      <c r="J38" s="64">
        <f>I38-(L33*I32)</f>
        <v>411838.29639866558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645.70360133441864</v>
      </c>
      <c r="V38" s="74"/>
      <c r="W38" s="68" t="s">
        <v>147</v>
      </c>
      <c r="X38" s="70">
        <f>I46</f>
        <v>8973</v>
      </c>
    </row>
    <row r="39" spans="8:24" ht="15.75">
      <c r="H39" s="39" t="s">
        <v>105</v>
      </c>
      <c r="I39" s="63">
        <f>ONSV_AUX_2022!S57</f>
        <v>33465</v>
      </c>
      <c r="J39" s="10">
        <f>I39</f>
        <v>33465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53791.995794995397</v>
      </c>
      <c r="S39" s="51"/>
      <c r="T39" s="68" t="s">
        <v>150</v>
      </c>
      <c r="U39" s="75">
        <f>O44</f>
        <v>0</v>
      </c>
      <c r="V39" s="51"/>
      <c r="W39" s="68" t="s">
        <v>151</v>
      </c>
      <c r="X39" s="70">
        <f>I43</f>
        <v>4726</v>
      </c>
    </row>
    <row r="40" spans="8:24" ht="15.75">
      <c r="H40" s="39" t="s">
        <v>106</v>
      </c>
      <c r="I40" s="63">
        <f>ONSV_AUX_2022!S58</f>
        <v>3909</v>
      </c>
      <c r="J40" s="10">
        <f>I40</f>
        <v>3909</v>
      </c>
      <c r="K40" s="11"/>
      <c r="L40" s="11"/>
      <c r="M40" s="11"/>
      <c r="O40" s="76"/>
      <c r="P40" s="79"/>
      <c r="Q40" s="68" t="s">
        <v>135</v>
      </c>
      <c r="R40" s="63">
        <f>J42-R37</f>
        <v>10078.324849253198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ONSV_AUX_2022!S59</f>
        <v>106892</v>
      </c>
      <c r="J41" s="64">
        <f>I41-(L34*I32)</f>
        <v>106724.67096577361</v>
      </c>
      <c r="K41" s="11"/>
      <c r="L41" s="11"/>
      <c r="M41" s="11"/>
      <c r="N41" s="30" t="s">
        <v>142</v>
      </c>
      <c r="O41" s="63">
        <f>I29</f>
        <v>18666</v>
      </c>
      <c r="P41" s="79"/>
      <c r="Q41" s="51"/>
      <c r="R41" s="51"/>
      <c r="S41" s="80"/>
      <c r="T41" s="68" t="s">
        <v>141</v>
      </c>
      <c r="U41" s="71">
        <f>R36</f>
        <v>52932.67517077821</v>
      </c>
      <c r="V41" s="51"/>
      <c r="W41" s="68" t="s">
        <v>152</v>
      </c>
      <c r="X41" s="70">
        <f>I44</f>
        <v>624538</v>
      </c>
    </row>
    <row r="42" spans="8:24" ht="15.75">
      <c r="H42" s="39" t="s">
        <v>108</v>
      </c>
      <c r="I42" s="63">
        <f>ONSV_AUX_2022!S60</f>
        <v>20027</v>
      </c>
      <c r="J42" s="64">
        <f>I42-(L35*I32)</f>
        <v>19995.649678474987</v>
      </c>
      <c r="K42" s="11"/>
      <c r="L42" s="11"/>
      <c r="M42" s="11"/>
      <c r="N42" s="30" t="s">
        <v>145</v>
      </c>
      <c r="O42" s="63">
        <f>I33</f>
        <v>871</v>
      </c>
      <c r="P42" s="79"/>
      <c r="Q42" s="51"/>
      <c r="R42" s="51"/>
      <c r="S42" s="51"/>
      <c r="T42" s="68" t="s">
        <v>153</v>
      </c>
      <c r="U42" s="71">
        <f>I41-J41</f>
        <v>167.32903422639356</v>
      </c>
      <c r="V42" s="51"/>
      <c r="W42" s="68" t="s">
        <v>154</v>
      </c>
      <c r="X42" s="70">
        <f>I45</f>
        <v>113797</v>
      </c>
    </row>
    <row r="43" spans="8:24" ht="15.75">
      <c r="H43" s="39" t="s">
        <v>109</v>
      </c>
      <c r="I43" s="63">
        <f>ONSV_AUX_2022!S61</f>
        <v>4726</v>
      </c>
      <c r="J43" s="10">
        <f>I43</f>
        <v>4726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392301.29639866558</v>
      </c>
      <c r="P43" s="79"/>
      <c r="Q43" s="51"/>
      <c r="R43" s="81"/>
      <c r="S43" s="51"/>
      <c r="T43" s="68" t="s">
        <v>149</v>
      </c>
      <c r="U43" s="75">
        <f>R39</f>
        <v>53791.995794995397</v>
      </c>
      <c r="V43" s="51"/>
      <c r="W43" s="51"/>
      <c r="X43" s="51"/>
    </row>
    <row r="44" spans="8:24" ht="15.75">
      <c r="H44" s="39" t="s">
        <v>110</v>
      </c>
      <c r="I44" s="63">
        <f>ONSV_AUX_2022!S62</f>
        <v>624538</v>
      </c>
      <c r="J44" s="10">
        <f>I44</f>
        <v>624538</v>
      </c>
      <c r="K44" s="11"/>
      <c r="L44" s="11"/>
      <c r="M44" s="11"/>
      <c r="N44" s="30" t="s">
        <v>150</v>
      </c>
      <c r="O44" s="63">
        <f>IF((J38-O41-O43-O42)&lt;0,0,(J38-O41-O43-O42))</f>
        <v>0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ONSV_AUX_2022!S63</f>
        <v>113797</v>
      </c>
      <c r="J45" s="10">
        <f>I45</f>
        <v>113797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1340065</v>
      </c>
    </row>
    <row r="46" spans="8:24" ht="15.75">
      <c r="H46" s="39" t="s">
        <v>112</v>
      </c>
      <c r="I46" s="63">
        <f>ONSV_AUX_2022!S64</f>
        <v>8973</v>
      </c>
      <c r="J46" s="10">
        <f>I46</f>
        <v>8973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ONSV_AUX_2022!S65</f>
        <v>11254</v>
      </c>
      <c r="J47" s="64">
        <f>I47-(L36*I32)</f>
        <v>11236.382957085809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6" customFormat="1" ht="15.75">
      <c r="A50" s="100" t="str">
        <f>"PIAUÍ/"&amp;ONSV_AUX_2021!$A$1&amp;""</f>
        <v>PIAUÍ/2021</v>
      </c>
      <c r="B50" s="101"/>
      <c r="C50" s="101"/>
      <c r="D50" s="101"/>
      <c r="E50" s="101"/>
      <c r="F50" s="101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ONSV_AUX_2021!S27</f>
        <v>18650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ONSV_AUX_2021!S28</f>
        <v>509807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ONSV_AUX_2021!S29</f>
        <v>110665</v>
      </c>
      <c r="J56" s="9"/>
      <c r="K56" s="2" t="s">
        <v>122</v>
      </c>
      <c r="L56" s="63">
        <f>I63+I66+I67+I72</f>
        <v>535802</v>
      </c>
      <c r="N56" s="30" t="s">
        <v>123</v>
      </c>
      <c r="O56" s="63">
        <f>J63+J72</f>
        <v>413101.10009481112</v>
      </c>
      <c r="P56" s="67"/>
      <c r="Q56" s="68" t="s">
        <v>124</v>
      </c>
      <c r="R56" s="63">
        <f>J66+J67</f>
        <v>122187.89990518887</v>
      </c>
      <c r="S56" s="69"/>
      <c r="T56" s="68" t="s">
        <v>125</v>
      </c>
      <c r="U56" s="70">
        <f>O60</f>
        <v>10066.352801967891</v>
      </c>
      <c r="V56" s="51"/>
      <c r="W56" s="68" t="s">
        <v>126</v>
      </c>
      <c r="X56" s="71">
        <f>R62</f>
        <v>9499.9982829810706</v>
      </c>
    </row>
    <row r="57" spans="1:24" ht="15.75">
      <c r="H57" s="38" t="s">
        <v>102</v>
      </c>
      <c r="I57" s="63">
        <f>ONSV_AUX_2021!S30</f>
        <v>513</v>
      </c>
      <c r="J57" s="9"/>
      <c r="K57" s="29"/>
      <c r="L57" s="65"/>
      <c r="M57" s="22"/>
      <c r="N57" s="30" t="s">
        <v>127</v>
      </c>
      <c r="O57" s="72">
        <f>J63/O56</f>
        <v>0.97563222949622375</v>
      </c>
      <c r="P57" s="67"/>
      <c r="Q57" s="73" t="s">
        <v>128</v>
      </c>
      <c r="R57" s="66">
        <f>J66/R56</f>
        <v>0.84330158211029804</v>
      </c>
      <c r="S57" s="74"/>
      <c r="T57" s="68" t="s">
        <v>129</v>
      </c>
      <c r="U57" s="70">
        <f>I72-J72</f>
        <v>9.6471980321093724</v>
      </c>
      <c r="V57" s="51"/>
      <c r="W57" s="68" t="s">
        <v>130</v>
      </c>
      <c r="X57" s="71">
        <f>I67-J67</f>
        <v>18.349399591639667</v>
      </c>
    </row>
    <row r="58" spans="1:24" ht="15.75">
      <c r="H58" s="38" t="s">
        <v>16</v>
      </c>
      <c r="I58" s="63">
        <f>ONSV_AUX_2021!S31</f>
        <v>835</v>
      </c>
      <c r="J58" s="9"/>
      <c r="K58" s="2" t="s">
        <v>131</v>
      </c>
      <c r="L58" s="66">
        <f>I63/L56</f>
        <v>0.75292925371685804</v>
      </c>
      <c r="M58" s="22"/>
      <c r="N58" s="30" t="s">
        <v>132</v>
      </c>
      <c r="O58" s="72">
        <f>J72/O56</f>
        <v>2.4367770503776327E-2</v>
      </c>
      <c r="P58" s="67"/>
      <c r="Q58" s="73" t="s">
        <v>133</v>
      </c>
      <c r="R58" s="66">
        <f>J67/R56</f>
        <v>0.15669841788970196</v>
      </c>
      <c r="S58" s="74"/>
      <c r="T58" s="68" t="s">
        <v>134</v>
      </c>
      <c r="U58" s="75">
        <f>O62</f>
        <v>0</v>
      </c>
      <c r="V58" s="76"/>
      <c r="W58" s="68" t="s">
        <v>135</v>
      </c>
      <c r="X58" s="75">
        <f>R65</f>
        <v>9646.6523174272897</v>
      </c>
    </row>
    <row r="59" spans="1:24" ht="15.75">
      <c r="H59" s="38" t="s">
        <v>94</v>
      </c>
      <c r="I59" s="63">
        <f>ONSV_AUX_2021!S32</f>
        <v>663686</v>
      </c>
      <c r="J59" s="10"/>
      <c r="K59" s="2" t="s">
        <v>2</v>
      </c>
      <c r="L59" s="66">
        <f>I66/L56</f>
        <v>0.19249648190936203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3.5768810120156327E-2</v>
      </c>
      <c r="M60" s="22"/>
      <c r="N60" s="30" t="s">
        <v>136</v>
      </c>
      <c r="O60" s="63">
        <f>IF(O58*I55&gt;J72,J72,O58*I55)</f>
        <v>10066.352801967891</v>
      </c>
      <c r="P60" s="79"/>
      <c r="Q60" s="68" t="s">
        <v>137</v>
      </c>
      <c r="R60" s="63">
        <f>I56-I64-I65-I68-I71</f>
        <v>60626</v>
      </c>
      <c r="S60" s="80"/>
      <c r="T60" s="68" t="s">
        <v>138</v>
      </c>
      <c r="U60" s="70">
        <f>O68</f>
        <v>383549.74729284324</v>
      </c>
      <c r="V60" s="79"/>
      <c r="W60" s="68" t="s">
        <v>139</v>
      </c>
      <c r="X60" s="70">
        <f>I64</f>
        <v>33050</v>
      </c>
    </row>
    <row r="61" spans="1:24" ht="15.75">
      <c r="H61" s="26" t="s">
        <v>140</v>
      </c>
      <c r="K61" s="2" t="s">
        <v>0</v>
      </c>
      <c r="L61" s="66">
        <f>I72/L56</f>
        <v>1.8805454253623542E-2</v>
      </c>
      <c r="O61" s="51"/>
      <c r="P61" s="79"/>
      <c r="Q61" s="68" t="s">
        <v>141</v>
      </c>
      <c r="R61" s="63">
        <f>R57*R60</f>
        <v>51126.001717018931</v>
      </c>
      <c r="S61" s="51"/>
      <c r="T61" s="68" t="s">
        <v>142</v>
      </c>
      <c r="U61" s="70">
        <f>O66</f>
        <v>18650</v>
      </c>
      <c r="V61" s="69"/>
      <c r="W61" s="68" t="s">
        <v>143</v>
      </c>
      <c r="X61" s="70">
        <f>I65</f>
        <v>3582</v>
      </c>
    </row>
    <row r="62" spans="1:24" ht="15.75">
      <c r="K62" s="11"/>
      <c r="L62" s="11"/>
      <c r="M62" s="11"/>
      <c r="N62" s="30" t="s">
        <v>144</v>
      </c>
      <c r="O62" s="63">
        <f>J72-O60</f>
        <v>0</v>
      </c>
      <c r="P62" s="79"/>
      <c r="Q62" s="68" t="s">
        <v>126</v>
      </c>
      <c r="R62" s="63">
        <f>R58*R60</f>
        <v>9499.9982829810706</v>
      </c>
      <c r="S62" s="51"/>
      <c r="T62" s="68" t="s">
        <v>145</v>
      </c>
      <c r="U62" s="70">
        <f>O67</f>
        <v>835</v>
      </c>
      <c r="V62" s="74"/>
      <c r="W62" s="51"/>
      <c r="X62" s="65"/>
    </row>
    <row r="63" spans="1:24" ht="15.75">
      <c r="H63" s="39" t="s">
        <v>104</v>
      </c>
      <c r="I63" s="63">
        <f>ONSV_AUX_2021!S56</f>
        <v>403421</v>
      </c>
      <c r="J63" s="64">
        <f>I63-(L58*I57)</f>
        <v>403034.74729284324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386.25270715676015</v>
      </c>
      <c r="V63" s="74"/>
      <c r="W63" s="68" t="s">
        <v>147</v>
      </c>
      <c r="X63" s="70">
        <f>I71</f>
        <v>8821</v>
      </c>
    </row>
    <row r="64" spans="1:24" ht="15.75">
      <c r="H64" s="39" t="s">
        <v>105</v>
      </c>
      <c r="I64" s="63">
        <f>ONSV_AUX_2021!S57</f>
        <v>33050</v>
      </c>
      <c r="J64" s="10">
        <f>I64</f>
        <v>33050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51915.247587761573</v>
      </c>
      <c r="S64" s="51"/>
      <c r="T64" s="68" t="s">
        <v>150</v>
      </c>
      <c r="U64" s="75">
        <f>O69</f>
        <v>0</v>
      </c>
      <c r="V64" s="51"/>
      <c r="W64" s="68" t="s">
        <v>151</v>
      </c>
      <c r="X64" s="70">
        <f>I68</f>
        <v>4586</v>
      </c>
    </row>
    <row r="65" spans="1:24" ht="15.75">
      <c r="H65" s="39" t="s">
        <v>106</v>
      </c>
      <c r="I65" s="63">
        <f>ONSV_AUX_2021!S58</f>
        <v>3582</v>
      </c>
      <c r="J65" s="10">
        <f>I65</f>
        <v>3582</v>
      </c>
      <c r="K65" s="11"/>
      <c r="L65" s="11"/>
      <c r="M65" s="11"/>
      <c r="O65" s="76"/>
      <c r="P65" s="79"/>
      <c r="Q65" s="68" t="s">
        <v>135</v>
      </c>
      <c r="R65" s="63">
        <f>J67-R62</f>
        <v>9646.6523174272897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ONSV_AUX_2021!S59</f>
        <v>103140</v>
      </c>
      <c r="J66" s="64">
        <f>I66-(L59*I57)</f>
        <v>103041.2493047805</v>
      </c>
      <c r="K66" s="11"/>
      <c r="L66" s="11"/>
      <c r="M66" s="11"/>
      <c r="N66" s="30" t="s">
        <v>142</v>
      </c>
      <c r="O66" s="63">
        <f>I54</f>
        <v>18650</v>
      </c>
      <c r="P66" s="79"/>
      <c r="Q66" s="51"/>
      <c r="R66" s="51"/>
      <c r="S66" s="80"/>
      <c r="T66" s="68" t="s">
        <v>141</v>
      </c>
      <c r="U66" s="71">
        <f>R61</f>
        <v>51126.001717018931</v>
      </c>
      <c r="V66" s="51"/>
      <c r="W66" s="68" t="s">
        <v>152</v>
      </c>
      <c r="X66" s="70">
        <f>I69</f>
        <v>604430</v>
      </c>
    </row>
    <row r="67" spans="1:24" ht="15.75">
      <c r="H67" s="39" t="s">
        <v>108</v>
      </c>
      <c r="I67" s="63">
        <f>ONSV_AUX_2021!S60</f>
        <v>19165</v>
      </c>
      <c r="J67" s="64">
        <f>I67-(L60*I57)</f>
        <v>19146.65060040836</v>
      </c>
      <c r="K67" s="11"/>
      <c r="L67" s="11"/>
      <c r="M67" s="11"/>
      <c r="N67" s="30" t="s">
        <v>145</v>
      </c>
      <c r="O67" s="63">
        <f>I58</f>
        <v>835</v>
      </c>
      <c r="P67" s="79"/>
      <c r="Q67" s="51"/>
      <c r="R67" s="51"/>
      <c r="S67" s="51"/>
      <c r="T67" s="68" t="s">
        <v>153</v>
      </c>
      <c r="U67" s="71">
        <f>I66-J66</f>
        <v>98.750695219496265</v>
      </c>
      <c r="V67" s="51"/>
      <c r="W67" s="68" t="s">
        <v>154</v>
      </c>
      <c r="X67" s="70">
        <f>I70</f>
        <v>109192</v>
      </c>
    </row>
    <row r="68" spans="1:24" ht="15.75">
      <c r="H68" s="39" t="s">
        <v>109</v>
      </c>
      <c r="I68" s="63">
        <f>ONSV_AUX_2021!S61</f>
        <v>4586</v>
      </c>
      <c r="J68" s="10">
        <f>I68</f>
        <v>4586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383549.74729284324</v>
      </c>
      <c r="P68" s="79"/>
      <c r="Q68" s="51"/>
      <c r="R68" s="81"/>
      <c r="S68" s="51"/>
      <c r="T68" s="68" t="s">
        <v>149</v>
      </c>
      <c r="U68" s="75">
        <f>R64</f>
        <v>51915.247587761573</v>
      </c>
      <c r="V68" s="51"/>
      <c r="W68" s="51"/>
      <c r="X68" s="51"/>
    </row>
    <row r="69" spans="1:24" ht="15.75">
      <c r="H69" s="39" t="s">
        <v>110</v>
      </c>
      <c r="I69" s="63">
        <f>ONSV_AUX_2021!S62</f>
        <v>604430</v>
      </c>
      <c r="J69" s="10">
        <f>I69</f>
        <v>604430</v>
      </c>
      <c r="K69" s="11"/>
      <c r="L69" s="11"/>
      <c r="M69" s="11"/>
      <c r="N69" s="30" t="s">
        <v>150</v>
      </c>
      <c r="O69" s="63">
        <f>IF((J63-O66-O68-O67)&lt;0,0,(J63-O66-O68-O67))</f>
        <v>0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ONSV_AUX_2021!S63</f>
        <v>109192</v>
      </c>
      <c r="J70" s="10">
        <f>I70</f>
        <v>109192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1299463</v>
      </c>
    </row>
    <row r="71" spans="1:24" ht="15.75">
      <c r="H71" s="39" t="s">
        <v>112</v>
      </c>
      <c r="I71" s="63">
        <f>ONSV_AUX_2021!S64</f>
        <v>8821</v>
      </c>
      <c r="J71" s="10">
        <f>I71</f>
        <v>8821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ONSV_AUX_2021!S65</f>
        <v>10076</v>
      </c>
      <c r="J72" s="64">
        <f>I72-(L61*I57)</f>
        <v>10066.352801967891</v>
      </c>
      <c r="K72" s="12"/>
      <c r="L72" s="12"/>
      <c r="M72" s="12"/>
      <c r="N72" s="12"/>
      <c r="O72" s="12"/>
      <c r="P72" s="12"/>
      <c r="Q72" s="4"/>
      <c r="R72" s="4"/>
    </row>
    <row r="75" spans="1:24" s="36" customFormat="1" ht="15.75">
      <c r="A75" s="100" t="str">
        <f>"PIAUÍ/"&amp;ONSV_AUX_2020!$A$1&amp;""</f>
        <v>PIAUÍ/2020</v>
      </c>
      <c r="B75" s="101"/>
      <c r="C75" s="101"/>
      <c r="D75" s="101"/>
      <c r="E75" s="101"/>
      <c r="F75" s="10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ONSV_AUX_2020!S27</f>
        <v>18589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ONSV_AUX_2020!S28</f>
        <v>476193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ONSV_AUX_2020!S29</f>
        <v>103607</v>
      </c>
      <c r="J81" s="9"/>
      <c r="K81" s="2" t="s">
        <v>122</v>
      </c>
      <c r="L81" s="63">
        <f>I88+I91+I92+I97</f>
        <v>507395</v>
      </c>
      <c r="N81" s="30" t="s">
        <v>123</v>
      </c>
      <c r="O81" s="63">
        <f>J88+J97</f>
        <v>392280.68331773073</v>
      </c>
      <c r="P81" s="67"/>
      <c r="Q81" s="68" t="s">
        <v>124</v>
      </c>
      <c r="R81" s="63">
        <f>J91+J92</f>
        <v>114877.31668226924</v>
      </c>
      <c r="S81" s="69"/>
      <c r="T81" s="68" t="s">
        <v>125</v>
      </c>
      <c r="U81" s="70">
        <f>O85</f>
        <v>8504.0259837010617</v>
      </c>
      <c r="V81" s="51"/>
      <c r="W81" s="68" t="s">
        <v>126</v>
      </c>
      <c r="X81" s="71">
        <f>R87</f>
        <v>8962.2310603753558</v>
      </c>
    </row>
    <row r="82" spans="8:24" ht="15.75">
      <c r="H82" s="38" t="s">
        <v>102</v>
      </c>
      <c r="I82" s="63">
        <f>ONSV_AUX_2020!S30</f>
        <v>237</v>
      </c>
      <c r="J82" s="9"/>
      <c r="K82" s="29"/>
      <c r="L82" s="65"/>
      <c r="M82" s="22"/>
      <c r="N82" s="30" t="s">
        <v>127</v>
      </c>
      <c r="O82" s="72">
        <f>J88/O81</f>
        <v>0.97832157853968771</v>
      </c>
      <c r="P82" s="67"/>
      <c r="Q82" s="73" t="s">
        <v>128</v>
      </c>
      <c r="R82" s="66">
        <f>J91/R81</f>
        <v>0.84062611479931437</v>
      </c>
      <c r="S82" s="74"/>
      <c r="T82" s="68" t="s">
        <v>129</v>
      </c>
      <c r="U82" s="70">
        <f>I97-J97</f>
        <v>3.9740162989382952</v>
      </c>
      <c r="V82" s="51"/>
      <c r="W82" s="68" t="s">
        <v>130</v>
      </c>
      <c r="X82" s="71">
        <f>I92-J92</f>
        <v>8.5557189172141079</v>
      </c>
    </row>
    <row r="83" spans="8:24" ht="15.75">
      <c r="H83" s="38" t="s">
        <v>16</v>
      </c>
      <c r="I83" s="63">
        <f>ONSV_AUX_2020!S31</f>
        <v>760</v>
      </c>
      <c r="J83" s="9"/>
      <c r="K83" s="2" t="s">
        <v>131</v>
      </c>
      <c r="L83" s="66">
        <f>I88/L81</f>
        <v>0.75672010957932179</v>
      </c>
      <c r="M83" s="22"/>
      <c r="N83" s="30" t="s">
        <v>132</v>
      </c>
      <c r="O83" s="72">
        <f>J97/O81</f>
        <v>2.1678421460312288E-2</v>
      </c>
      <c r="P83" s="67"/>
      <c r="Q83" s="73" t="s">
        <v>133</v>
      </c>
      <c r="R83" s="66">
        <f>J92/R81</f>
        <v>0.15937388520068563</v>
      </c>
      <c r="S83" s="74"/>
      <c r="T83" s="68" t="s">
        <v>134</v>
      </c>
      <c r="U83" s="75">
        <f>O87</f>
        <v>0</v>
      </c>
      <c r="V83" s="76"/>
      <c r="W83" s="68" t="s">
        <v>135</v>
      </c>
      <c r="X83" s="75">
        <f>R90</f>
        <v>9346.2132207074301</v>
      </c>
    </row>
    <row r="84" spans="8:24" ht="15.75">
      <c r="H84" s="38" t="s">
        <v>94</v>
      </c>
      <c r="I84" s="63">
        <f>ONSV_AUX_2020!S32</f>
        <v>648869</v>
      </c>
      <c r="J84" s="10"/>
      <c r="K84" s="2" t="s">
        <v>2</v>
      </c>
      <c r="L84" s="66">
        <f>I91/L81</f>
        <v>0.19041180933986343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3.6100079819470041E-2</v>
      </c>
      <c r="M85" s="22"/>
      <c r="N85" s="30" t="s">
        <v>136</v>
      </c>
      <c r="O85" s="63">
        <f>IF(O83*I80&gt;J97,J97,O83*I80)</f>
        <v>8504.0259837010617</v>
      </c>
      <c r="P85" s="79"/>
      <c r="Q85" s="68" t="s">
        <v>137</v>
      </c>
      <c r="R85" s="63">
        <f>I81-I89-I90-I93-I96</f>
        <v>56234</v>
      </c>
      <c r="S85" s="80"/>
      <c r="T85" s="68" t="s">
        <v>138</v>
      </c>
      <c r="U85" s="70">
        <f>O93</f>
        <v>364427.65733402967</v>
      </c>
      <c r="V85" s="79"/>
      <c r="W85" s="68" t="s">
        <v>139</v>
      </c>
      <c r="X85" s="70">
        <f>I89</f>
        <v>31554</v>
      </c>
    </row>
    <row r="86" spans="8:24" ht="15.75">
      <c r="H86" s="26" t="s">
        <v>140</v>
      </c>
      <c r="K86" s="2" t="s">
        <v>0</v>
      </c>
      <c r="L86" s="66">
        <f>I97/L81</f>
        <v>1.6768001261344711E-2</v>
      </c>
      <c r="O86" s="51"/>
      <c r="P86" s="79"/>
      <c r="Q86" s="68" t="s">
        <v>141</v>
      </c>
      <c r="R86" s="63">
        <f>R82*R85</f>
        <v>47271.768939624642</v>
      </c>
      <c r="S86" s="51"/>
      <c r="T86" s="68" t="s">
        <v>142</v>
      </c>
      <c r="U86" s="70">
        <f>O91</f>
        <v>18589</v>
      </c>
      <c r="V86" s="69"/>
      <c r="W86" s="68" t="s">
        <v>143</v>
      </c>
      <c r="X86" s="70">
        <f>I90</f>
        <v>3013</v>
      </c>
    </row>
    <row r="87" spans="8:24" ht="15.75">
      <c r="K87" s="11"/>
      <c r="L87" s="11"/>
      <c r="M87" s="11"/>
      <c r="N87" s="30" t="s">
        <v>144</v>
      </c>
      <c r="O87" s="63">
        <f>J97-O85</f>
        <v>0</v>
      </c>
      <c r="P87" s="79"/>
      <c r="Q87" s="68" t="s">
        <v>126</v>
      </c>
      <c r="R87" s="63">
        <f>R83*R85</f>
        <v>8962.2310603753558</v>
      </c>
      <c r="S87" s="51"/>
      <c r="T87" s="68" t="s">
        <v>145</v>
      </c>
      <c r="U87" s="70">
        <f>O92</f>
        <v>760</v>
      </c>
      <c r="V87" s="74"/>
      <c r="W87" s="51"/>
      <c r="X87" s="65"/>
    </row>
    <row r="88" spans="8:24" ht="15.75">
      <c r="H88" s="39" t="s">
        <v>104</v>
      </c>
      <c r="I88" s="63">
        <f>ONSV_AUX_2020!S56</f>
        <v>383956</v>
      </c>
      <c r="J88" s="64">
        <f>I88-(L83*I82)</f>
        <v>383776.65733402967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179.34266597032547</v>
      </c>
      <c r="V88" s="74"/>
      <c r="W88" s="68" t="s">
        <v>147</v>
      </c>
      <c r="X88" s="70">
        <f>I96</f>
        <v>8404</v>
      </c>
    </row>
    <row r="89" spans="8:24" ht="15.75">
      <c r="H89" s="39" t="s">
        <v>105</v>
      </c>
      <c r="I89" s="63">
        <f>ONSV_AUX_2020!S57</f>
        <v>31554</v>
      </c>
      <c r="J89" s="10">
        <f>I89</f>
        <v>31554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49297.103461561812</v>
      </c>
      <c r="S89" s="51"/>
      <c r="T89" s="68" t="s">
        <v>150</v>
      </c>
      <c r="U89" s="75">
        <f>O94</f>
        <v>0</v>
      </c>
      <c r="V89" s="51"/>
      <c r="W89" s="68" t="s">
        <v>151</v>
      </c>
      <c r="X89" s="70">
        <f>I93</f>
        <v>4402</v>
      </c>
    </row>
    <row r="90" spans="8:24" ht="15.75">
      <c r="H90" s="39" t="s">
        <v>106</v>
      </c>
      <c r="I90" s="63">
        <f>ONSV_AUX_2020!S58</f>
        <v>3013</v>
      </c>
      <c r="J90" s="10">
        <f>I90</f>
        <v>3013</v>
      </c>
      <c r="K90" s="11"/>
      <c r="L90" s="11"/>
      <c r="M90" s="11"/>
      <c r="O90" s="76"/>
      <c r="P90" s="79"/>
      <c r="Q90" s="68" t="s">
        <v>135</v>
      </c>
      <c r="R90" s="63">
        <f>J92-R87</f>
        <v>9346.2132207074301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ONSV_AUX_2020!S59</f>
        <v>96614</v>
      </c>
      <c r="J91" s="64">
        <f>I91-(L84*I82)</f>
        <v>96568.872401186454</v>
      </c>
      <c r="K91" s="11"/>
      <c r="L91" s="11"/>
      <c r="M91" s="11"/>
      <c r="N91" s="30" t="s">
        <v>142</v>
      </c>
      <c r="O91" s="63">
        <f>I79</f>
        <v>18589</v>
      </c>
      <c r="P91" s="79"/>
      <c r="Q91" s="51"/>
      <c r="R91" s="51"/>
      <c r="S91" s="80"/>
      <c r="T91" s="68" t="s">
        <v>141</v>
      </c>
      <c r="U91" s="71">
        <f>R86</f>
        <v>47271.768939624642</v>
      </c>
      <c r="V91" s="51"/>
      <c r="W91" s="68" t="s">
        <v>152</v>
      </c>
      <c r="X91" s="70">
        <f>I94</f>
        <v>583868</v>
      </c>
    </row>
    <row r="92" spans="8:24" ht="15.75">
      <c r="H92" s="39" t="s">
        <v>108</v>
      </c>
      <c r="I92" s="63">
        <f>ONSV_AUX_2020!S60</f>
        <v>18317</v>
      </c>
      <c r="J92" s="64">
        <f>I92-(L85*I82)</f>
        <v>18308.444281082786</v>
      </c>
      <c r="K92" s="11"/>
      <c r="L92" s="11"/>
      <c r="M92" s="11"/>
      <c r="N92" s="30" t="s">
        <v>145</v>
      </c>
      <c r="O92" s="63">
        <f>I83</f>
        <v>760</v>
      </c>
      <c r="P92" s="79"/>
      <c r="Q92" s="51"/>
      <c r="R92" s="51"/>
      <c r="S92" s="51"/>
      <c r="T92" s="68" t="s">
        <v>153</v>
      </c>
      <c r="U92" s="71">
        <f>I91-J91</f>
        <v>45.127598813545774</v>
      </c>
      <c r="V92" s="51"/>
      <c r="W92" s="68" t="s">
        <v>154</v>
      </c>
      <c r="X92" s="70">
        <f>I95</f>
        <v>104683</v>
      </c>
    </row>
    <row r="93" spans="8:24" ht="15.75">
      <c r="H93" s="39" t="s">
        <v>109</v>
      </c>
      <c r="I93" s="63">
        <f>ONSV_AUX_2020!S61</f>
        <v>4402</v>
      </c>
      <c r="J93" s="10">
        <f>I93</f>
        <v>4402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364427.65733402967</v>
      </c>
      <c r="P93" s="79"/>
      <c r="Q93" s="51"/>
      <c r="R93" s="81"/>
      <c r="S93" s="51"/>
      <c r="T93" s="68" t="s">
        <v>149</v>
      </c>
      <c r="U93" s="75">
        <f>R89</f>
        <v>49297.103461561812</v>
      </c>
      <c r="V93" s="51"/>
      <c r="W93" s="51"/>
      <c r="X93" s="51"/>
    </row>
    <row r="94" spans="8:24" ht="15.75">
      <c r="H94" s="39" t="s">
        <v>110</v>
      </c>
      <c r="I94" s="63">
        <f>ONSV_AUX_2020!S62</f>
        <v>583868</v>
      </c>
      <c r="J94" s="10">
        <f>I94</f>
        <v>583868</v>
      </c>
      <c r="K94" s="11"/>
      <c r="L94" s="11"/>
      <c r="M94" s="11"/>
      <c r="N94" s="30" t="s">
        <v>150</v>
      </c>
      <c r="O94" s="63">
        <f>IF((J88-O91-O93-O92)&lt;0,0,(J88-O91-O93-O92))</f>
        <v>0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ONSV_AUX_2020!S63</f>
        <v>104683</v>
      </c>
      <c r="J95" s="10">
        <f>I95</f>
        <v>104683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1243319</v>
      </c>
    </row>
    <row r="96" spans="8:24" ht="15.75">
      <c r="H96" s="39" t="s">
        <v>112</v>
      </c>
      <c r="I96" s="63">
        <f>ONSV_AUX_2020!S64</f>
        <v>8404</v>
      </c>
      <c r="J96" s="10">
        <f>I96</f>
        <v>8404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ONSV_AUX_2020!S65</f>
        <v>8508</v>
      </c>
      <c r="J97" s="64">
        <f>I97-(L86*I82)</f>
        <v>8504.0259837010617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6" customFormat="1" ht="15.75">
      <c r="A100" s="100" t="str">
        <f>"PIAUÍ/"&amp;ONSV_AUX_2019!$A$1&amp;""</f>
        <v>PIAUÍ/2019</v>
      </c>
      <c r="B100" s="101"/>
      <c r="C100" s="101"/>
      <c r="D100" s="101"/>
      <c r="E100" s="101"/>
      <c r="F100" s="101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ONSV_AUX_2019!S27</f>
        <v>18546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ONSV_AUX_2019!S28</f>
        <v>454555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ONSV_AUX_2019!S29</f>
        <v>99615</v>
      </c>
      <c r="J106" s="9"/>
      <c r="K106" s="2" t="s">
        <v>122</v>
      </c>
      <c r="L106" s="63">
        <f>I113+I116+I117+I122</f>
        <v>490050</v>
      </c>
      <c r="N106" s="30" t="s">
        <v>123</v>
      </c>
      <c r="O106" s="63">
        <f>J113+J122</f>
        <v>379101.56329558208</v>
      </c>
      <c r="P106" s="67"/>
      <c r="Q106" s="68" t="s">
        <v>124</v>
      </c>
      <c r="R106" s="63">
        <f>J116+J117</f>
        <v>110835.43670441791</v>
      </c>
      <c r="S106" s="69"/>
      <c r="T106" s="68" t="s">
        <v>125</v>
      </c>
      <c r="U106" s="70">
        <f>O110</f>
        <v>8010.1525232119175</v>
      </c>
      <c r="V106" s="51"/>
      <c r="W106" s="68" t="s">
        <v>126</v>
      </c>
      <c r="X106" s="71">
        <f>R112</f>
        <v>8775.7060463102443</v>
      </c>
    </row>
    <row r="107" spans="1:24" ht="15.75">
      <c r="H107" s="38" t="s">
        <v>102</v>
      </c>
      <c r="I107" s="63">
        <f>ONSV_AUX_2019!S30</f>
        <v>113</v>
      </c>
      <c r="J107" s="9"/>
      <c r="K107" s="29"/>
      <c r="L107" s="65"/>
      <c r="M107" s="22"/>
      <c r="N107" s="30" t="s">
        <v>127</v>
      </c>
      <c r="O107" s="72">
        <f>J113/O106</f>
        <v>0.97887069508872893</v>
      </c>
      <c r="P107" s="67"/>
      <c r="Q107" s="73" t="s">
        <v>128</v>
      </c>
      <c r="R107" s="66">
        <f>J116/R106</f>
        <v>0.83658815994804303</v>
      </c>
      <c r="S107" s="74"/>
      <c r="T107" s="68" t="s">
        <v>129</v>
      </c>
      <c r="U107" s="70">
        <f>I122-J122</f>
        <v>1.8474767880825311</v>
      </c>
      <c r="V107" s="51"/>
      <c r="W107" s="68" t="s">
        <v>130</v>
      </c>
      <c r="X107" s="71">
        <f>I117-J117</f>
        <v>4.1773451688604837</v>
      </c>
    </row>
    <row r="108" spans="1:24" ht="15.75">
      <c r="H108" s="38" t="s">
        <v>16</v>
      </c>
      <c r="I108" s="63">
        <f>ONSV_AUX_2019!S31</f>
        <v>739</v>
      </c>
      <c r="J108" s="9"/>
      <c r="K108" s="2" t="s">
        <v>131</v>
      </c>
      <c r="L108" s="66">
        <f>I113/L106</f>
        <v>0.7574267931843689</v>
      </c>
      <c r="M108" s="22"/>
      <c r="N108" s="30" t="s">
        <v>132</v>
      </c>
      <c r="O108" s="72">
        <f>J122/O106</f>
        <v>2.1129304911271161E-2</v>
      </c>
      <c r="P108" s="67"/>
      <c r="Q108" s="73" t="s">
        <v>133</v>
      </c>
      <c r="R108" s="66">
        <f>J117/R106</f>
        <v>0.16341184005195697</v>
      </c>
      <c r="S108" s="74"/>
      <c r="T108" s="68" t="s">
        <v>134</v>
      </c>
      <c r="U108" s="75">
        <f>O112</f>
        <v>0</v>
      </c>
      <c r="V108" s="76"/>
      <c r="W108" s="68" t="s">
        <v>135</v>
      </c>
      <c r="X108" s="75">
        <f>R115</f>
        <v>9336.1166085208952</v>
      </c>
    </row>
    <row r="109" spans="1:24" ht="15.75">
      <c r="H109" s="38" t="s">
        <v>94</v>
      </c>
      <c r="I109" s="63">
        <f>ONSV_AUX_2019!S32</f>
        <v>637773</v>
      </c>
      <c r="J109" s="10"/>
      <c r="K109" s="2" t="s">
        <v>2</v>
      </c>
      <c r="L109" s="66">
        <f>I116/L106</f>
        <v>0.18925619834710744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3.6967656361595755E-2</v>
      </c>
      <c r="M110" s="22"/>
      <c r="N110" s="30" t="s">
        <v>136</v>
      </c>
      <c r="O110" s="63">
        <f>IF(O108*I105&gt;J122,J122,O108*I105)</f>
        <v>8010.1525232119175</v>
      </c>
      <c r="P110" s="79"/>
      <c r="Q110" s="68" t="s">
        <v>137</v>
      </c>
      <c r="R110" s="63">
        <f>I106-I114-I115-I118-I121</f>
        <v>53703</v>
      </c>
      <c r="S110" s="80"/>
      <c r="T110" s="68" t="s">
        <v>138</v>
      </c>
      <c r="U110" s="70">
        <f>O118</f>
        <v>351806.41077237017</v>
      </c>
      <c r="V110" s="79"/>
      <c r="W110" s="68" t="s">
        <v>139</v>
      </c>
      <c r="X110" s="70">
        <f>I114</f>
        <v>30810</v>
      </c>
    </row>
    <row r="111" spans="1:24" ht="15.75">
      <c r="H111" s="26" t="s">
        <v>140</v>
      </c>
      <c r="K111" s="2" t="s">
        <v>0</v>
      </c>
      <c r="L111" s="66">
        <f>I122/L106</f>
        <v>1.6349352106927863E-2</v>
      </c>
      <c r="O111" s="51"/>
      <c r="P111" s="79"/>
      <c r="Q111" s="68" t="s">
        <v>141</v>
      </c>
      <c r="R111" s="63">
        <f>R107*R110</f>
        <v>44927.293953689754</v>
      </c>
      <c r="S111" s="51"/>
      <c r="T111" s="68" t="s">
        <v>142</v>
      </c>
      <c r="U111" s="70">
        <f>O116</f>
        <v>18546</v>
      </c>
      <c r="V111" s="69"/>
      <c r="W111" s="68" t="s">
        <v>143</v>
      </c>
      <c r="X111" s="70">
        <f>I115</f>
        <v>2795</v>
      </c>
    </row>
    <row r="112" spans="1:24" ht="15.75">
      <c r="K112" s="11"/>
      <c r="L112" s="11"/>
      <c r="M112" s="11"/>
      <c r="N112" s="30" t="s">
        <v>144</v>
      </c>
      <c r="O112" s="63">
        <f>J122-O110</f>
        <v>0</v>
      </c>
      <c r="P112" s="79"/>
      <c r="Q112" s="68" t="s">
        <v>126</v>
      </c>
      <c r="R112" s="63">
        <f>R108*R110</f>
        <v>8775.7060463102443</v>
      </c>
      <c r="S112" s="51"/>
      <c r="T112" s="68" t="s">
        <v>145</v>
      </c>
      <c r="U112" s="70">
        <f>O117</f>
        <v>739</v>
      </c>
      <c r="V112" s="74"/>
      <c r="W112" s="51"/>
      <c r="X112" s="65"/>
    </row>
    <row r="113" spans="8:24" ht="15.75">
      <c r="H113" s="39" t="s">
        <v>104</v>
      </c>
      <c r="I113" s="63">
        <f>ONSV_AUX_2019!S56</f>
        <v>371177</v>
      </c>
      <c r="J113" s="64">
        <f>I113-(L108*I107)</f>
        <v>371091.41077237017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85.589227629825473</v>
      </c>
      <c r="V113" s="74"/>
      <c r="W113" s="68" t="s">
        <v>147</v>
      </c>
      <c r="X113" s="70">
        <f>I121</f>
        <v>8082</v>
      </c>
    </row>
    <row r="114" spans="8:24" ht="15.75">
      <c r="H114" s="39" t="s">
        <v>105</v>
      </c>
      <c r="I114" s="63">
        <f>ONSV_AUX_2019!S57</f>
        <v>30810</v>
      </c>
      <c r="J114" s="10">
        <f>I114</f>
        <v>30810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47796.320095897019</v>
      </c>
      <c r="S114" s="51"/>
      <c r="T114" s="68" t="s">
        <v>150</v>
      </c>
      <c r="U114" s="75">
        <f>O119</f>
        <v>0</v>
      </c>
      <c r="V114" s="51"/>
      <c r="W114" s="68" t="s">
        <v>151</v>
      </c>
      <c r="X114" s="70">
        <f>I118</f>
        <v>4225</v>
      </c>
    </row>
    <row r="115" spans="8:24" ht="15.75">
      <c r="H115" s="39" t="s">
        <v>106</v>
      </c>
      <c r="I115" s="63">
        <f>ONSV_AUX_2019!S58</f>
        <v>2795</v>
      </c>
      <c r="J115" s="10">
        <f>I115</f>
        <v>2795</v>
      </c>
      <c r="K115" s="11"/>
      <c r="L115" s="11"/>
      <c r="M115" s="11"/>
      <c r="O115" s="76"/>
      <c r="P115" s="79"/>
      <c r="Q115" s="68" t="s">
        <v>135</v>
      </c>
      <c r="R115" s="63">
        <f>J117-R112</f>
        <v>9336.1166085208952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ONSV_AUX_2019!S59</f>
        <v>92745</v>
      </c>
      <c r="J116" s="64">
        <f>I116-(L109*I107)</f>
        <v>92723.614049586773</v>
      </c>
      <c r="K116" s="11"/>
      <c r="L116" s="11"/>
      <c r="M116" s="11"/>
      <c r="N116" s="30" t="s">
        <v>142</v>
      </c>
      <c r="O116" s="63">
        <f>I104</f>
        <v>18546</v>
      </c>
      <c r="P116" s="79"/>
      <c r="Q116" s="51"/>
      <c r="R116" s="51"/>
      <c r="S116" s="80"/>
      <c r="T116" s="68" t="s">
        <v>141</v>
      </c>
      <c r="U116" s="71">
        <f>R111</f>
        <v>44927.293953689754</v>
      </c>
      <c r="V116" s="51"/>
      <c r="W116" s="68" t="s">
        <v>152</v>
      </c>
      <c r="X116" s="70">
        <f>I119</f>
        <v>568928</v>
      </c>
    </row>
    <row r="117" spans="8:24" ht="15.75">
      <c r="H117" s="39" t="s">
        <v>108</v>
      </c>
      <c r="I117" s="63">
        <f>ONSV_AUX_2019!S60</f>
        <v>18116</v>
      </c>
      <c r="J117" s="64">
        <f>I117-(L110*I107)</f>
        <v>18111.82265483114</v>
      </c>
      <c r="K117" s="11"/>
      <c r="L117" s="11"/>
      <c r="M117" s="11"/>
      <c r="N117" s="30" t="s">
        <v>145</v>
      </c>
      <c r="O117" s="63">
        <f>I108</f>
        <v>739</v>
      </c>
      <c r="P117" s="79"/>
      <c r="Q117" s="51"/>
      <c r="R117" s="51"/>
      <c r="S117" s="51"/>
      <c r="T117" s="68" t="s">
        <v>153</v>
      </c>
      <c r="U117" s="71">
        <f>I116-J116</f>
        <v>21.385950413226965</v>
      </c>
      <c r="V117" s="51"/>
      <c r="W117" s="68" t="s">
        <v>154</v>
      </c>
      <c r="X117" s="70">
        <f>I120</f>
        <v>101401</v>
      </c>
    </row>
    <row r="118" spans="8:24" ht="15.75">
      <c r="H118" s="39" t="s">
        <v>109</v>
      </c>
      <c r="I118" s="63">
        <f>ONSV_AUX_2019!S61</f>
        <v>4225</v>
      </c>
      <c r="J118" s="10">
        <f>I118</f>
        <v>4225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351806.41077237017</v>
      </c>
      <c r="P118" s="79"/>
      <c r="Q118" s="51"/>
      <c r="R118" s="81"/>
      <c r="S118" s="51"/>
      <c r="T118" s="68" t="s">
        <v>149</v>
      </c>
      <c r="U118" s="75">
        <f>R114</f>
        <v>47796.320095897019</v>
      </c>
      <c r="V118" s="51"/>
      <c r="W118" s="51"/>
      <c r="X118" s="51"/>
    </row>
    <row r="119" spans="8:24" ht="15.75">
      <c r="H119" s="39" t="s">
        <v>110</v>
      </c>
      <c r="I119" s="63">
        <f>ONSV_AUX_2019!S62</f>
        <v>568928</v>
      </c>
      <c r="J119" s="10">
        <f>I119</f>
        <v>568928</v>
      </c>
      <c r="K119" s="11"/>
      <c r="L119" s="11"/>
      <c r="M119" s="11"/>
      <c r="N119" s="30" t="s">
        <v>150</v>
      </c>
      <c r="O119" s="63">
        <f>IF((J113-O116-O118-O117)&lt;0,0,(J113-O116-O118-O117))</f>
        <v>0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ONSV_AUX_2019!S63</f>
        <v>101401</v>
      </c>
      <c r="J120" s="10">
        <f>I120</f>
        <v>101401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1206291</v>
      </c>
    </row>
    <row r="121" spans="8:24" ht="15.75">
      <c r="H121" s="39" t="s">
        <v>112</v>
      </c>
      <c r="I121" s="63">
        <f>ONSV_AUX_2019!S64</f>
        <v>8082</v>
      </c>
      <c r="J121" s="10">
        <f>I121</f>
        <v>8082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ONSV_AUX_2019!S65</f>
        <v>8012</v>
      </c>
      <c r="J122" s="64">
        <f>I122-(L111*I107)</f>
        <v>8010.1525232119175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X122"/>
  <sheetViews>
    <sheetView showGridLines="0" topLeftCell="A19" zoomScale="90" zoomScaleNormal="90" workbookViewId="0">
      <selection activeCell="F3" sqref="F3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3" customFormat="1" ht="15.75">
      <c r="A1" s="100" t="str">
        <f>"RIO DE JANEIRO/"&amp;ONSV_AUX_2023!$A$1&amp;""</f>
        <v>RIO DE JANEIRO/2023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ONSV_AUX_2023!T27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ONSV_AUX_2023!T28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ONSV_AUX_2023!T29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ONSV_AUX_2023!T30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ONSV_AUX_2023!T31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ONSV_AUX_2023!T32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ONSV_AUX_2023!T56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ONSV_AUX_2023!T57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ONSV_AUX_2023!T58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ONSV_AUX_2023!T59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ONSV_AUX_2023!T60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ONSV_AUX_2023!T61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ONSV_AUX_2023!T62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ONSV_AUX_2023!T63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ONSV_AUX_2023!T64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ONSV_AUX_2023!T65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6" customFormat="1" ht="15.75">
      <c r="A25" s="100" t="str">
        <f>"RIO DE JANEIRO/"&amp;ONSV_AUX_2022!$A$1&amp;""</f>
        <v>RIO DE JANEIRO/2022</v>
      </c>
      <c r="B25" s="101"/>
      <c r="C25" s="101"/>
      <c r="D25" s="101"/>
      <c r="E25" s="101"/>
      <c r="F25" s="10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5.75">
      <c r="A26" s="3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ONSV_AUX_2022!T27</f>
        <v>308129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ONSV_AUX_2022!T28</f>
        <v>2287627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ONSV_AUX_2022!T29</f>
        <v>386413</v>
      </c>
      <c r="J31" s="9"/>
      <c r="K31" s="2" t="s">
        <v>122</v>
      </c>
      <c r="L31" s="63">
        <f>I38+I41+I42+I47</f>
        <v>5663521</v>
      </c>
      <c r="N31" s="30" t="s">
        <v>123</v>
      </c>
      <c r="O31" s="63">
        <f>J38+J47</f>
        <v>4924517.4430748997</v>
      </c>
      <c r="P31" s="67"/>
      <c r="Q31" s="68" t="s">
        <v>124</v>
      </c>
      <c r="R31" s="63">
        <f>J41+J42</f>
        <v>731359.55692510016</v>
      </c>
      <c r="S31" s="69"/>
      <c r="T31" s="68" t="s">
        <v>125</v>
      </c>
      <c r="U31" s="70">
        <f>O35</f>
        <v>42474.329178676147</v>
      </c>
      <c r="V31" s="51"/>
      <c r="W31" s="68" t="s">
        <v>126</v>
      </c>
      <c r="X31" s="71">
        <f>R37</f>
        <v>62373.393272050991</v>
      </c>
    </row>
    <row r="32" spans="1:24" ht="15.75">
      <c r="H32" s="38" t="s">
        <v>102</v>
      </c>
      <c r="I32" s="63">
        <f>ONSV_AUX_2022!T30</f>
        <v>7644</v>
      </c>
      <c r="J32" s="9"/>
      <c r="K32" s="29"/>
      <c r="L32" s="65"/>
      <c r="M32" s="22"/>
      <c r="N32" s="30" t="s">
        <v>127</v>
      </c>
      <c r="O32" s="72">
        <f>J38/O31</f>
        <v>0.9814330180668982</v>
      </c>
      <c r="P32" s="67"/>
      <c r="Q32" s="73" t="s">
        <v>128</v>
      </c>
      <c r="R32" s="66">
        <f>J41/R31</f>
        <v>0.53395653432521151</v>
      </c>
      <c r="S32" s="74"/>
      <c r="T32" s="68" t="s">
        <v>129</v>
      </c>
      <c r="U32" s="70">
        <f>I47-J47</f>
        <v>123.57360518306086</v>
      </c>
      <c r="V32" s="51"/>
      <c r="W32" s="68" t="s">
        <v>130</v>
      </c>
      <c r="X32" s="71">
        <f>I42-J42</f>
        <v>460.65743624855531</v>
      </c>
    </row>
    <row r="33" spans="8:24" ht="15.75">
      <c r="H33" s="38" t="s">
        <v>16</v>
      </c>
      <c r="I33" s="63">
        <f>ONSV_AUX_2022!T31</f>
        <v>1635830</v>
      </c>
      <c r="J33" s="9"/>
      <c r="K33" s="2" t="s">
        <v>131</v>
      </c>
      <c r="L33" s="66">
        <f>I38/L31</f>
        <v>0.8545242438405366</v>
      </c>
      <c r="M33" s="22"/>
      <c r="N33" s="30" t="s">
        <v>132</v>
      </c>
      <c r="O33" s="72">
        <f>J47/O31</f>
        <v>1.8566981933101922E-2</v>
      </c>
      <c r="P33" s="67"/>
      <c r="Q33" s="73" t="s">
        <v>133</v>
      </c>
      <c r="R33" s="66">
        <f>J42/R31</f>
        <v>0.46604346567478849</v>
      </c>
      <c r="S33" s="74"/>
      <c r="T33" s="68" t="s">
        <v>134</v>
      </c>
      <c r="U33" s="75">
        <f>O37</f>
        <v>48959.097216140792</v>
      </c>
      <c r="V33" s="76"/>
      <c r="W33" s="68" t="s">
        <v>135</v>
      </c>
      <c r="X33" s="75">
        <f>R40</f>
        <v>278471.94929170044</v>
      </c>
    </row>
    <row r="34" spans="8:24" ht="15.75">
      <c r="H34" s="38" t="s">
        <v>94</v>
      </c>
      <c r="I34" s="63">
        <f>ONSV_AUX_2022!T32</f>
        <v>2631281</v>
      </c>
      <c r="J34" s="10"/>
      <c r="K34" s="2" t="s">
        <v>2</v>
      </c>
      <c r="L34" s="66">
        <f>I41/L31</f>
        <v>6.9045740273585995E-2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6.0263924156015315E-2</v>
      </c>
      <c r="M35" s="22"/>
      <c r="N35" s="30" t="s">
        <v>136</v>
      </c>
      <c r="O35" s="63">
        <f>IF(O33*I30&gt;J47,J47,O33*I30)</f>
        <v>42474.329178676147</v>
      </c>
      <c r="P35" s="79"/>
      <c r="Q35" s="68" t="s">
        <v>137</v>
      </c>
      <c r="R35" s="63">
        <f>I31-I39-I40-I43-I46</f>
        <v>133836</v>
      </c>
      <c r="S35" s="80"/>
      <c r="T35" s="68" t="s">
        <v>138</v>
      </c>
      <c r="U35" s="70">
        <f>O43</f>
        <v>2245152.670821324</v>
      </c>
      <c r="V35" s="79"/>
      <c r="W35" s="68" t="s">
        <v>139</v>
      </c>
      <c r="X35" s="70">
        <f>I39</f>
        <v>148913</v>
      </c>
    </row>
    <row r="36" spans="8:24" ht="15.75">
      <c r="H36" s="26" t="s">
        <v>140</v>
      </c>
      <c r="K36" s="2" t="s">
        <v>0</v>
      </c>
      <c r="L36" s="66">
        <f>I47/L31</f>
        <v>1.6166091729862043E-2</v>
      </c>
      <c r="O36" s="51"/>
      <c r="P36" s="79"/>
      <c r="Q36" s="68" t="s">
        <v>141</v>
      </c>
      <c r="R36" s="63">
        <f>R32*R35</f>
        <v>71462.606727949009</v>
      </c>
      <c r="S36" s="51"/>
      <c r="T36" s="68" t="s">
        <v>142</v>
      </c>
      <c r="U36" s="70">
        <f>O41</f>
        <v>308129</v>
      </c>
      <c r="V36" s="69"/>
      <c r="W36" s="68" t="s">
        <v>143</v>
      </c>
      <c r="X36" s="70">
        <f>I40</f>
        <v>20401</v>
      </c>
    </row>
    <row r="37" spans="8:24" ht="15.75">
      <c r="K37" s="11"/>
      <c r="L37" s="11"/>
      <c r="M37" s="11"/>
      <c r="N37" s="30" t="s">
        <v>144</v>
      </c>
      <c r="O37" s="63">
        <f>J47-O35</f>
        <v>48959.097216140792</v>
      </c>
      <c r="P37" s="79"/>
      <c r="Q37" s="68" t="s">
        <v>126</v>
      </c>
      <c r="R37" s="63">
        <f>R33*R35</f>
        <v>62373.393272050991</v>
      </c>
      <c r="S37" s="51"/>
      <c r="T37" s="68" t="s">
        <v>145</v>
      </c>
      <c r="U37" s="70">
        <f>O42</f>
        <v>1635830</v>
      </c>
      <c r="V37" s="74"/>
      <c r="W37" s="51"/>
      <c r="X37" s="65"/>
    </row>
    <row r="38" spans="8:24" ht="15.75">
      <c r="H38" s="39" t="s">
        <v>104</v>
      </c>
      <c r="I38" s="63">
        <f>ONSV_AUX_2022!T56</f>
        <v>4839616</v>
      </c>
      <c r="J38" s="64">
        <f>I38-(L33*I32)</f>
        <v>4833084.0166800832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6531.9833199167624</v>
      </c>
      <c r="V38" s="74"/>
      <c r="W38" s="68" t="s">
        <v>147</v>
      </c>
      <c r="X38" s="70">
        <f>I46</f>
        <v>42463</v>
      </c>
    </row>
    <row r="39" spans="8:24" ht="15.75">
      <c r="H39" s="39" t="s">
        <v>105</v>
      </c>
      <c r="I39" s="63">
        <f>ONSV_AUX_2022!T57</f>
        <v>148913</v>
      </c>
      <c r="J39" s="10">
        <f>I39</f>
        <v>148913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319051.60763339972</v>
      </c>
      <c r="S39" s="51"/>
      <c r="T39" s="68" t="s">
        <v>150</v>
      </c>
      <c r="U39" s="75">
        <f>O44</f>
        <v>643972.34585875925</v>
      </c>
      <c r="V39" s="51"/>
      <c r="W39" s="68" t="s">
        <v>151</v>
      </c>
      <c r="X39" s="70">
        <f>I43</f>
        <v>40800</v>
      </c>
    </row>
    <row r="40" spans="8:24" ht="15.75">
      <c r="H40" s="39" t="s">
        <v>106</v>
      </c>
      <c r="I40" s="63">
        <f>ONSV_AUX_2022!T58</f>
        <v>20401</v>
      </c>
      <c r="J40" s="10">
        <f>I40</f>
        <v>20401</v>
      </c>
      <c r="K40" s="11"/>
      <c r="L40" s="11"/>
      <c r="M40" s="11"/>
      <c r="O40" s="76"/>
      <c r="P40" s="79"/>
      <c r="Q40" s="68" t="s">
        <v>135</v>
      </c>
      <c r="R40" s="63">
        <f>J42-R37</f>
        <v>278471.94929170044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ONSV_AUX_2022!T59</f>
        <v>391042</v>
      </c>
      <c r="J41" s="64">
        <f>I41-(L34*I32)</f>
        <v>390514.21436134871</v>
      </c>
      <c r="K41" s="11"/>
      <c r="L41" s="11"/>
      <c r="M41" s="11"/>
      <c r="N41" s="30" t="s">
        <v>142</v>
      </c>
      <c r="O41" s="63">
        <f>I29</f>
        <v>308129</v>
      </c>
      <c r="P41" s="79"/>
      <c r="Q41" s="51"/>
      <c r="R41" s="51"/>
      <c r="S41" s="80"/>
      <c r="T41" s="68" t="s">
        <v>141</v>
      </c>
      <c r="U41" s="71">
        <f>R36</f>
        <v>71462.606727949009</v>
      </c>
      <c r="V41" s="51"/>
      <c r="W41" s="68" t="s">
        <v>152</v>
      </c>
      <c r="X41" s="70">
        <f>I44</f>
        <v>1104308</v>
      </c>
    </row>
    <row r="42" spans="8:24" ht="15.75">
      <c r="H42" s="39" t="s">
        <v>108</v>
      </c>
      <c r="I42" s="63">
        <f>ONSV_AUX_2022!T60</f>
        <v>341306</v>
      </c>
      <c r="J42" s="64">
        <f>I42-(L35*I32)</f>
        <v>340845.34256375144</v>
      </c>
      <c r="K42" s="11"/>
      <c r="L42" s="11"/>
      <c r="M42" s="11"/>
      <c r="N42" s="30" t="s">
        <v>145</v>
      </c>
      <c r="O42" s="63">
        <f>I33</f>
        <v>1635830</v>
      </c>
      <c r="P42" s="79"/>
      <c r="Q42" s="51"/>
      <c r="R42" s="51"/>
      <c r="S42" s="51"/>
      <c r="T42" s="68" t="s">
        <v>153</v>
      </c>
      <c r="U42" s="71">
        <f>I41-J41</f>
        <v>527.78563865128672</v>
      </c>
      <c r="V42" s="51"/>
      <c r="W42" s="68" t="s">
        <v>154</v>
      </c>
      <c r="X42" s="70">
        <f>I45</f>
        <v>212678</v>
      </c>
    </row>
    <row r="43" spans="8:24" ht="15.75">
      <c r="H43" s="39" t="s">
        <v>109</v>
      </c>
      <c r="I43" s="63">
        <f>ONSV_AUX_2022!T61</f>
        <v>40800</v>
      </c>
      <c r="J43" s="10">
        <f>I43</f>
        <v>40800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2245152.670821324</v>
      </c>
      <c r="P43" s="79"/>
      <c r="Q43" s="51"/>
      <c r="R43" s="81"/>
      <c r="S43" s="51"/>
      <c r="T43" s="68" t="s">
        <v>149</v>
      </c>
      <c r="U43" s="75">
        <f>R39</f>
        <v>319051.60763339972</v>
      </c>
      <c r="V43" s="51"/>
      <c r="W43" s="51"/>
      <c r="X43" s="51"/>
    </row>
    <row r="44" spans="8:24" ht="15.75">
      <c r="H44" s="39" t="s">
        <v>110</v>
      </c>
      <c r="I44" s="63">
        <f>ONSV_AUX_2022!T62</f>
        <v>1104308</v>
      </c>
      <c r="J44" s="10">
        <f>I44</f>
        <v>1104308</v>
      </c>
      <c r="K44" s="11"/>
      <c r="L44" s="11"/>
      <c r="M44" s="11"/>
      <c r="N44" s="30" t="s">
        <v>150</v>
      </c>
      <c r="O44" s="63">
        <f>IF((J38-O41-O43-O42)&lt;0,0,(J38-O41-O43-O42))</f>
        <v>643972.34585875925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ONSV_AUX_2022!T63</f>
        <v>212678</v>
      </c>
      <c r="J45" s="10">
        <f>I45</f>
        <v>212678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7233084</v>
      </c>
    </row>
    <row r="46" spans="8:24" ht="15.75">
      <c r="H46" s="39" t="s">
        <v>112</v>
      </c>
      <c r="I46" s="63">
        <f>ONSV_AUX_2022!T64</f>
        <v>42463</v>
      </c>
      <c r="J46" s="10">
        <f>I46</f>
        <v>42463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ONSV_AUX_2022!T65</f>
        <v>91557</v>
      </c>
      <c r="J47" s="64">
        <f>I47-(L36*I32)</f>
        <v>91433.426394816939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6" customFormat="1" ht="15.75">
      <c r="A50" s="100" t="str">
        <f>"RIO DE JANEIRO/"&amp;ONSV_AUX_2021!$A$1&amp;""</f>
        <v>RIO DE JANEIRO/2021</v>
      </c>
      <c r="B50" s="101"/>
      <c r="C50" s="101"/>
      <c r="D50" s="101"/>
      <c r="E50" s="101"/>
      <c r="F50" s="101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ONSV_AUX_2021!T27</f>
        <v>308120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ONSV_AUX_2021!T28</f>
        <v>2241331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ONSV_AUX_2021!T29</f>
        <v>376537</v>
      </c>
      <c r="J56" s="9"/>
      <c r="K56" s="2" t="s">
        <v>122</v>
      </c>
      <c r="L56" s="63">
        <f>I63+I66+I67+I72</f>
        <v>5572352</v>
      </c>
      <c r="N56" s="30" t="s">
        <v>123</v>
      </c>
      <c r="O56" s="63">
        <f>J63+J72</f>
        <v>4859037.4905662816</v>
      </c>
      <c r="P56" s="67"/>
      <c r="Q56" s="68" t="s">
        <v>124</v>
      </c>
      <c r="R56" s="63">
        <f>J66+J67</f>
        <v>709338.50943371851</v>
      </c>
      <c r="S56" s="69"/>
      <c r="T56" s="68" t="s">
        <v>125</v>
      </c>
      <c r="U56" s="70">
        <f>O60</f>
        <v>37538.149349296567</v>
      </c>
      <c r="V56" s="51"/>
      <c r="W56" s="68" t="s">
        <v>126</v>
      </c>
      <c r="X56" s="71">
        <f>R62</f>
        <v>58612.974381731226</v>
      </c>
    </row>
    <row r="57" spans="1:24" ht="15.75">
      <c r="H57" s="38" t="s">
        <v>102</v>
      </c>
      <c r="I57" s="63">
        <f>ONSV_AUX_2021!T30</f>
        <v>3976</v>
      </c>
      <c r="J57" s="9"/>
      <c r="K57" s="29"/>
      <c r="L57" s="65"/>
      <c r="M57" s="22"/>
      <c r="N57" s="30" t="s">
        <v>127</v>
      </c>
      <c r="O57" s="72">
        <f>J63/O56</f>
        <v>0.98325184930325027</v>
      </c>
      <c r="P57" s="67"/>
      <c r="Q57" s="73" t="s">
        <v>128</v>
      </c>
      <c r="R57" s="66">
        <f>J66/R56</f>
        <v>0.5360254703491607</v>
      </c>
      <c r="S57" s="74"/>
      <c r="T57" s="68" t="s">
        <v>129</v>
      </c>
      <c r="U57" s="70">
        <f>I72-J72</f>
        <v>58.107866839709459</v>
      </c>
      <c r="V57" s="51"/>
      <c r="W57" s="68" t="s">
        <v>130</v>
      </c>
      <c r="X57" s="71">
        <f>I67-J67</f>
        <v>234.99872226302978</v>
      </c>
    </row>
    <row r="58" spans="1:24" ht="15.75">
      <c r="H58" s="38" t="s">
        <v>16</v>
      </c>
      <c r="I58" s="63">
        <f>ONSV_AUX_2021!T31</f>
        <v>1550669</v>
      </c>
      <c r="J58" s="9"/>
      <c r="K58" s="2" t="s">
        <v>131</v>
      </c>
      <c r="L58" s="66">
        <f>I63/L56</f>
        <v>0.85799838201176093</v>
      </c>
      <c r="M58" s="22"/>
      <c r="N58" s="30" t="s">
        <v>132</v>
      </c>
      <c r="O58" s="72">
        <f>J72/O56</f>
        <v>1.674815069674964E-2</v>
      </c>
      <c r="P58" s="67"/>
      <c r="Q58" s="73" t="s">
        <v>133</v>
      </c>
      <c r="R58" s="66">
        <f>J67/R56</f>
        <v>0.4639745296508393</v>
      </c>
      <c r="S58" s="74"/>
      <c r="T58" s="68" t="s">
        <v>134</v>
      </c>
      <c r="U58" s="75">
        <f>O62</f>
        <v>43841.742783863723</v>
      </c>
      <c r="V58" s="76"/>
      <c r="W58" s="68" t="s">
        <v>135</v>
      </c>
      <c r="X58" s="75">
        <f>R65</f>
        <v>270502.02689600573</v>
      </c>
    </row>
    <row r="59" spans="1:24" ht="15.75">
      <c r="H59" s="38" t="s">
        <v>94</v>
      </c>
      <c r="I59" s="63">
        <f>ONSV_AUX_2021!T32</f>
        <v>2609503</v>
      </c>
      <c r="J59" s="10"/>
      <c r="K59" s="2" t="s">
        <v>2</v>
      </c>
      <c r="L59" s="66">
        <f>I66/L56</f>
        <v>6.8282656946294845E-2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5.910430640418983E-2</v>
      </c>
      <c r="M60" s="22"/>
      <c r="N60" s="30" t="s">
        <v>136</v>
      </c>
      <c r="O60" s="63">
        <f>IF(O58*I55&gt;J72,J72,O58*I55)</f>
        <v>37538.149349296567</v>
      </c>
      <c r="P60" s="79"/>
      <c r="Q60" s="68" t="s">
        <v>137</v>
      </c>
      <c r="R60" s="63">
        <f>I56-I64-I65-I68-I71</f>
        <v>126328</v>
      </c>
      <c r="S60" s="80"/>
      <c r="T60" s="68" t="s">
        <v>138</v>
      </c>
      <c r="U60" s="70">
        <f>O68</f>
        <v>2203792.8506507031</v>
      </c>
      <c r="V60" s="79"/>
      <c r="W60" s="68" t="s">
        <v>139</v>
      </c>
      <c r="X60" s="70">
        <f>I64</f>
        <v>147609</v>
      </c>
    </row>
    <row r="61" spans="1:24" ht="15.75">
      <c r="H61" s="26" t="s">
        <v>140</v>
      </c>
      <c r="K61" s="2" t="s">
        <v>0</v>
      </c>
      <c r="L61" s="66">
        <f>I72/L56</f>
        <v>1.4614654637754399E-2</v>
      </c>
      <c r="O61" s="51"/>
      <c r="P61" s="79"/>
      <c r="Q61" s="68" t="s">
        <v>141</v>
      </c>
      <c r="R61" s="63">
        <f>R57*R60</f>
        <v>67715.025618268774</v>
      </c>
      <c r="S61" s="51"/>
      <c r="T61" s="68" t="s">
        <v>142</v>
      </c>
      <c r="U61" s="70">
        <f>O66</f>
        <v>308120</v>
      </c>
      <c r="V61" s="69"/>
      <c r="W61" s="68" t="s">
        <v>143</v>
      </c>
      <c r="X61" s="70">
        <f>I65</f>
        <v>18564</v>
      </c>
    </row>
    <row r="62" spans="1:24" ht="15.75">
      <c r="K62" s="11"/>
      <c r="L62" s="11"/>
      <c r="M62" s="11"/>
      <c r="N62" s="30" t="s">
        <v>144</v>
      </c>
      <c r="O62" s="63">
        <f>J72-O60</f>
        <v>43841.742783863723</v>
      </c>
      <c r="P62" s="79"/>
      <c r="Q62" s="68" t="s">
        <v>126</v>
      </c>
      <c r="R62" s="63">
        <f>R58*R60</f>
        <v>58612.974381731226</v>
      </c>
      <c r="S62" s="51"/>
      <c r="T62" s="68" t="s">
        <v>145</v>
      </c>
      <c r="U62" s="70">
        <f>O67</f>
        <v>1550669</v>
      </c>
      <c r="V62" s="74"/>
      <c r="W62" s="51"/>
      <c r="X62" s="65"/>
    </row>
    <row r="63" spans="1:24" ht="15.75">
      <c r="H63" s="39" t="s">
        <v>104</v>
      </c>
      <c r="I63" s="63">
        <f>ONSV_AUX_2021!T56</f>
        <v>4781069</v>
      </c>
      <c r="J63" s="64">
        <f>I63-(L58*I57)</f>
        <v>4777657.5984331211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3411.4015668788925</v>
      </c>
      <c r="V63" s="74"/>
      <c r="W63" s="68" t="s">
        <v>147</v>
      </c>
      <c r="X63" s="70">
        <f>I71</f>
        <v>43466</v>
      </c>
    </row>
    <row r="64" spans="1:24" ht="15.75">
      <c r="H64" s="39" t="s">
        <v>105</v>
      </c>
      <c r="I64" s="63">
        <f>ONSV_AUX_2021!T57</f>
        <v>147609</v>
      </c>
      <c r="J64" s="10">
        <f>I64</f>
        <v>147609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312508.48253771279</v>
      </c>
      <c r="S64" s="51"/>
      <c r="T64" s="68" t="s">
        <v>150</v>
      </c>
      <c r="U64" s="75">
        <f>O69</f>
        <v>715075.74778241804</v>
      </c>
      <c r="V64" s="51"/>
      <c r="W64" s="68" t="s">
        <v>151</v>
      </c>
      <c r="X64" s="70">
        <f>I68</f>
        <v>40570</v>
      </c>
    </row>
    <row r="65" spans="1:24" ht="15.75">
      <c r="H65" s="39" t="s">
        <v>106</v>
      </c>
      <c r="I65" s="63">
        <f>ONSV_AUX_2021!T58</f>
        <v>18564</v>
      </c>
      <c r="J65" s="10">
        <f>I65</f>
        <v>18564</v>
      </c>
      <c r="K65" s="11"/>
      <c r="L65" s="11"/>
      <c r="M65" s="11"/>
      <c r="O65" s="76"/>
      <c r="P65" s="79"/>
      <c r="Q65" s="68" t="s">
        <v>135</v>
      </c>
      <c r="R65" s="63">
        <f>J67-R62</f>
        <v>270502.02689600573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ONSV_AUX_2021!T59</f>
        <v>380495</v>
      </c>
      <c r="J66" s="64">
        <f>I66-(L59*I57)</f>
        <v>380223.50815598154</v>
      </c>
      <c r="K66" s="11"/>
      <c r="L66" s="11"/>
      <c r="M66" s="11"/>
      <c r="N66" s="30" t="s">
        <v>142</v>
      </c>
      <c r="O66" s="63">
        <f>I54</f>
        <v>308120</v>
      </c>
      <c r="P66" s="79"/>
      <c r="Q66" s="51"/>
      <c r="R66" s="51"/>
      <c r="S66" s="80"/>
      <c r="T66" s="68" t="s">
        <v>141</v>
      </c>
      <c r="U66" s="71">
        <f>R61</f>
        <v>67715.025618268774</v>
      </c>
      <c r="V66" s="51"/>
      <c r="W66" s="68" t="s">
        <v>152</v>
      </c>
      <c r="X66" s="70">
        <f>I69</f>
        <v>1048258</v>
      </c>
    </row>
    <row r="67" spans="1:24" ht="15.75">
      <c r="H67" s="39" t="s">
        <v>108</v>
      </c>
      <c r="I67" s="63">
        <f>ONSV_AUX_2021!T60</f>
        <v>329350</v>
      </c>
      <c r="J67" s="64">
        <f>I67-(L60*I57)</f>
        <v>329115.00127773697</v>
      </c>
      <c r="K67" s="11"/>
      <c r="L67" s="11"/>
      <c r="M67" s="11"/>
      <c r="N67" s="30" t="s">
        <v>145</v>
      </c>
      <c r="O67" s="63">
        <f>I58</f>
        <v>1550669</v>
      </c>
      <c r="P67" s="79"/>
      <c r="Q67" s="51"/>
      <c r="R67" s="51"/>
      <c r="S67" s="51"/>
      <c r="T67" s="68" t="s">
        <v>153</v>
      </c>
      <c r="U67" s="71">
        <f>I66-J66</f>
        <v>271.49184401845559</v>
      </c>
      <c r="V67" s="51"/>
      <c r="W67" s="68" t="s">
        <v>154</v>
      </c>
      <c r="X67" s="70">
        <f>I70</f>
        <v>194810</v>
      </c>
    </row>
    <row r="68" spans="1:24" ht="15.75">
      <c r="H68" s="39" t="s">
        <v>109</v>
      </c>
      <c r="I68" s="63">
        <f>ONSV_AUX_2021!T61</f>
        <v>40570</v>
      </c>
      <c r="J68" s="10">
        <f>I68</f>
        <v>40570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2203792.8506507031</v>
      </c>
      <c r="P68" s="79"/>
      <c r="Q68" s="51"/>
      <c r="R68" s="81"/>
      <c r="S68" s="51"/>
      <c r="T68" s="68" t="s">
        <v>149</v>
      </c>
      <c r="U68" s="75">
        <f>R64</f>
        <v>312508.48253771279</v>
      </c>
      <c r="V68" s="51"/>
      <c r="W68" s="51"/>
      <c r="X68" s="51"/>
    </row>
    <row r="69" spans="1:24" ht="15.75">
      <c r="H69" s="39" t="s">
        <v>110</v>
      </c>
      <c r="I69" s="63">
        <f>ONSV_AUX_2021!T62</f>
        <v>1048258</v>
      </c>
      <c r="J69" s="10">
        <f>I69</f>
        <v>1048258</v>
      </c>
      <c r="K69" s="11"/>
      <c r="L69" s="11"/>
      <c r="M69" s="11"/>
      <c r="N69" s="30" t="s">
        <v>150</v>
      </c>
      <c r="O69" s="63">
        <f>IF((J63-O66-O68-O67)&lt;0,0,(J63-O66-O68-O67))</f>
        <v>715075.74778241804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ONSV_AUX_2021!T63</f>
        <v>194810</v>
      </c>
      <c r="J70" s="10">
        <f>I70</f>
        <v>194810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7065628.9999999991</v>
      </c>
    </row>
    <row r="71" spans="1:24" ht="15.75">
      <c r="H71" s="39" t="s">
        <v>112</v>
      </c>
      <c r="I71" s="63">
        <f>ONSV_AUX_2021!T64</f>
        <v>43466</v>
      </c>
      <c r="J71" s="10">
        <f>I71</f>
        <v>43466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ONSV_AUX_2021!T65</f>
        <v>81438</v>
      </c>
      <c r="J72" s="64">
        <f>I72-(L61*I57)</f>
        <v>81379.892133160291</v>
      </c>
      <c r="K72" s="12"/>
      <c r="L72" s="12"/>
      <c r="M72" s="12"/>
      <c r="N72" s="12"/>
      <c r="O72" s="12"/>
      <c r="P72" s="12"/>
      <c r="Q72" s="4"/>
      <c r="R72" s="4"/>
    </row>
    <row r="75" spans="1:24" s="36" customFormat="1" ht="15.75">
      <c r="A75" s="100" t="str">
        <f>"RIO DE JANEIRO/"&amp;ONSV_AUX_2020!$A$1&amp;""</f>
        <v>RIO DE JANEIRO/2020</v>
      </c>
      <c r="B75" s="101"/>
      <c r="C75" s="101"/>
      <c r="D75" s="101"/>
      <c r="E75" s="101"/>
      <c r="F75" s="10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ONSV_AUX_2020!T27</f>
        <v>308136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ONSV_AUX_2020!T28</f>
        <v>2142202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ONSV_AUX_2020!T29</f>
        <v>367030</v>
      </c>
      <c r="J81" s="9"/>
      <c r="K81" s="2" t="s">
        <v>122</v>
      </c>
      <c r="L81" s="63">
        <f>I88+I91+I92+I97</f>
        <v>5431789</v>
      </c>
      <c r="N81" s="30" t="s">
        <v>123</v>
      </c>
      <c r="O81" s="63">
        <f>J88+J97</f>
        <v>4747017.7776888972</v>
      </c>
      <c r="P81" s="67"/>
      <c r="Q81" s="68" t="s">
        <v>124</v>
      </c>
      <c r="R81" s="63">
        <f>J91+J92</f>
        <v>682681.22231110232</v>
      </c>
      <c r="S81" s="69"/>
      <c r="T81" s="68" t="s">
        <v>125</v>
      </c>
      <c r="U81" s="70">
        <f>O85</f>
        <v>32389.401170600438</v>
      </c>
      <c r="V81" s="51"/>
      <c r="W81" s="68" t="s">
        <v>126</v>
      </c>
      <c r="X81" s="71">
        <f>R87</f>
        <v>54879.768897596288</v>
      </c>
    </row>
    <row r="82" spans="8:24" ht="15.75">
      <c r="H82" s="38" t="s">
        <v>102</v>
      </c>
      <c r="I82" s="63">
        <f>ONSV_AUX_2020!T30</f>
        <v>2090</v>
      </c>
      <c r="J82" s="9"/>
      <c r="K82" s="29"/>
      <c r="L82" s="65"/>
      <c r="M82" s="22"/>
      <c r="N82" s="30" t="s">
        <v>127</v>
      </c>
      <c r="O82" s="72">
        <f>J88/O81</f>
        <v>0.98488032353130084</v>
      </c>
      <c r="P82" s="67"/>
      <c r="Q82" s="73" t="s">
        <v>128</v>
      </c>
      <c r="R82" s="66">
        <f>J91/R81</f>
        <v>0.5340247516633867</v>
      </c>
      <c r="S82" s="74"/>
      <c r="T82" s="68" t="s">
        <v>129</v>
      </c>
      <c r="U82" s="70">
        <f>I97-J97</f>
        <v>27.627010180251091</v>
      </c>
      <c r="V82" s="51"/>
      <c r="W82" s="68" t="s">
        <v>130</v>
      </c>
      <c r="X82" s="71">
        <f>I92-J92</f>
        <v>122.44789884140482</v>
      </c>
    </row>
    <row r="83" spans="8:24" ht="15.75">
      <c r="H83" s="38" t="s">
        <v>16</v>
      </c>
      <c r="I83" s="63">
        <f>ONSV_AUX_2020!T31</f>
        <v>1482880</v>
      </c>
      <c r="J83" s="9"/>
      <c r="K83" s="2" t="s">
        <v>131</v>
      </c>
      <c r="L83" s="66">
        <f>I88/L81</f>
        <v>0.86105038321628469</v>
      </c>
      <c r="M83" s="22"/>
      <c r="N83" s="30" t="s">
        <v>132</v>
      </c>
      <c r="O83" s="72">
        <f>J97/O81</f>
        <v>1.5119676468699234E-2</v>
      </c>
      <c r="P83" s="67"/>
      <c r="Q83" s="73" t="s">
        <v>133</v>
      </c>
      <c r="R83" s="66">
        <f>J92/R81</f>
        <v>0.46597524833661325</v>
      </c>
      <c r="S83" s="74"/>
      <c r="T83" s="68" t="s">
        <v>134</v>
      </c>
      <c r="U83" s="75">
        <f>O87</f>
        <v>39383.97181921931</v>
      </c>
      <c r="V83" s="76"/>
      <c r="W83" s="68" t="s">
        <v>135</v>
      </c>
      <c r="X83" s="75">
        <f>R90</f>
        <v>263232.78320356231</v>
      </c>
    </row>
    <row r="84" spans="8:24" ht="15.75">
      <c r="H84" s="38" t="s">
        <v>94</v>
      </c>
      <c r="I84" s="63">
        <f>ONSV_AUX_2020!T32</f>
        <v>2591126</v>
      </c>
      <c r="J84" s="10"/>
      <c r="K84" s="2" t="s">
        <v>2</v>
      </c>
      <c r="L84" s="66">
        <f>I91/L81</f>
        <v>6.7143440218314809E-2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5.8587511407383462E-2</v>
      </c>
      <c r="M85" s="22"/>
      <c r="N85" s="30" t="s">
        <v>136</v>
      </c>
      <c r="O85" s="63">
        <f>IF(O83*I80&gt;J97,J97,O83*I80)</f>
        <v>32389.401170600438</v>
      </c>
      <c r="P85" s="79"/>
      <c r="Q85" s="68" t="s">
        <v>137</v>
      </c>
      <c r="R85" s="63">
        <f>I81-I89-I90-I93-I96</f>
        <v>117774</v>
      </c>
      <c r="S85" s="80"/>
      <c r="T85" s="68" t="s">
        <v>138</v>
      </c>
      <c r="U85" s="70">
        <f>O93</f>
        <v>2109812.5988293998</v>
      </c>
      <c r="V85" s="79"/>
      <c r="W85" s="68" t="s">
        <v>139</v>
      </c>
      <c r="X85" s="70">
        <f>I89</f>
        <v>146757</v>
      </c>
    </row>
    <row r="86" spans="8:24" ht="15.75">
      <c r="H86" s="26" t="s">
        <v>140</v>
      </c>
      <c r="K86" s="2" t="s">
        <v>0</v>
      </c>
      <c r="L86" s="66">
        <f>I97/L81</f>
        <v>1.3218665158017E-2</v>
      </c>
      <c r="O86" s="51"/>
      <c r="P86" s="79"/>
      <c r="Q86" s="68" t="s">
        <v>141</v>
      </c>
      <c r="R86" s="63">
        <f>R82*R85</f>
        <v>62894.231102403704</v>
      </c>
      <c r="S86" s="51"/>
      <c r="T86" s="68" t="s">
        <v>142</v>
      </c>
      <c r="U86" s="70">
        <f>O91</f>
        <v>308136</v>
      </c>
      <c r="V86" s="69"/>
      <c r="W86" s="68" t="s">
        <v>143</v>
      </c>
      <c r="X86" s="70">
        <f>I90</f>
        <v>17476</v>
      </c>
    </row>
    <row r="87" spans="8:24" ht="15.75">
      <c r="K87" s="11"/>
      <c r="L87" s="11"/>
      <c r="M87" s="11"/>
      <c r="N87" s="30" t="s">
        <v>144</v>
      </c>
      <c r="O87" s="63">
        <f>J97-O85</f>
        <v>39383.97181921931</v>
      </c>
      <c r="P87" s="79"/>
      <c r="Q87" s="68" t="s">
        <v>126</v>
      </c>
      <c r="R87" s="63">
        <f>R83*R85</f>
        <v>54879.768897596288</v>
      </c>
      <c r="S87" s="51"/>
      <c r="T87" s="68" t="s">
        <v>145</v>
      </c>
      <c r="U87" s="70">
        <f>O92</f>
        <v>1482880</v>
      </c>
      <c r="V87" s="74"/>
      <c r="W87" s="51"/>
      <c r="X87" s="65"/>
    </row>
    <row r="88" spans="8:24" ht="15.75">
      <c r="H88" s="39" t="s">
        <v>104</v>
      </c>
      <c r="I88" s="63">
        <f>ONSV_AUX_2020!T56</f>
        <v>4677044</v>
      </c>
      <c r="J88" s="64">
        <f>I88-(L83*I82)</f>
        <v>4675244.4046990778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1799.5953009221703</v>
      </c>
      <c r="V88" s="74"/>
      <c r="W88" s="68" t="s">
        <v>147</v>
      </c>
      <c r="X88" s="70">
        <f>I96</f>
        <v>44776</v>
      </c>
    </row>
    <row r="89" spans="8:24" ht="15.75">
      <c r="H89" s="39" t="s">
        <v>105</v>
      </c>
      <c r="I89" s="63">
        <f>ONSV_AUX_2020!T57</f>
        <v>146757</v>
      </c>
      <c r="J89" s="10">
        <f>I89</f>
        <v>146757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301674.43910754001</v>
      </c>
      <c r="S89" s="51"/>
      <c r="T89" s="68" t="s">
        <v>150</v>
      </c>
      <c r="U89" s="75">
        <f>O94</f>
        <v>774415.80586967804</v>
      </c>
      <c r="V89" s="51"/>
      <c r="W89" s="68" t="s">
        <v>151</v>
      </c>
      <c r="X89" s="70">
        <f>I93</f>
        <v>40247</v>
      </c>
    </row>
    <row r="90" spans="8:24" ht="15.75">
      <c r="H90" s="39" t="s">
        <v>106</v>
      </c>
      <c r="I90" s="63">
        <f>ONSV_AUX_2020!T58</f>
        <v>17476</v>
      </c>
      <c r="J90" s="10">
        <f>I90</f>
        <v>17476</v>
      </c>
      <c r="K90" s="11"/>
      <c r="L90" s="11"/>
      <c r="M90" s="11"/>
      <c r="O90" s="76"/>
      <c r="P90" s="79"/>
      <c r="Q90" s="68" t="s">
        <v>135</v>
      </c>
      <c r="R90" s="63">
        <f>J92-R87</f>
        <v>263232.78320356231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ONSV_AUX_2020!T59</f>
        <v>364709</v>
      </c>
      <c r="J91" s="64">
        <f>I91-(L84*I82)</f>
        <v>364568.67020994372</v>
      </c>
      <c r="K91" s="11"/>
      <c r="L91" s="11"/>
      <c r="M91" s="11"/>
      <c r="N91" s="30" t="s">
        <v>142</v>
      </c>
      <c r="O91" s="63">
        <f>I79</f>
        <v>308136</v>
      </c>
      <c r="P91" s="79"/>
      <c r="Q91" s="51"/>
      <c r="R91" s="51"/>
      <c r="S91" s="80"/>
      <c r="T91" s="68" t="s">
        <v>141</v>
      </c>
      <c r="U91" s="71">
        <f>R86</f>
        <v>62894.231102403704</v>
      </c>
      <c r="V91" s="51"/>
      <c r="W91" s="68" t="s">
        <v>152</v>
      </c>
      <c r="X91" s="70">
        <f>I94</f>
        <v>1005027</v>
      </c>
    </row>
    <row r="92" spans="8:24" ht="15.75">
      <c r="H92" s="39" t="s">
        <v>108</v>
      </c>
      <c r="I92" s="63">
        <f>ONSV_AUX_2020!T60</f>
        <v>318235</v>
      </c>
      <c r="J92" s="64">
        <f>I92-(L85*I82)</f>
        <v>318112.5521011586</v>
      </c>
      <c r="K92" s="11"/>
      <c r="L92" s="11"/>
      <c r="M92" s="11"/>
      <c r="N92" s="30" t="s">
        <v>145</v>
      </c>
      <c r="O92" s="63">
        <f>I83</f>
        <v>1482880</v>
      </c>
      <c r="P92" s="79"/>
      <c r="Q92" s="51"/>
      <c r="R92" s="51"/>
      <c r="S92" s="51"/>
      <c r="T92" s="68" t="s">
        <v>153</v>
      </c>
      <c r="U92" s="71">
        <f>I91-J91</f>
        <v>140.32979005627567</v>
      </c>
      <c r="V92" s="51"/>
      <c r="W92" s="68" t="s">
        <v>154</v>
      </c>
      <c r="X92" s="70">
        <f>I95</f>
        <v>182237</v>
      </c>
    </row>
    <row r="93" spans="8:24" ht="15.75">
      <c r="H93" s="39" t="s">
        <v>109</v>
      </c>
      <c r="I93" s="63">
        <f>ONSV_AUX_2020!T61</f>
        <v>40247</v>
      </c>
      <c r="J93" s="10">
        <f>I93</f>
        <v>40247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2109812.5988293998</v>
      </c>
      <c r="P93" s="79"/>
      <c r="Q93" s="51"/>
      <c r="R93" s="81"/>
      <c r="S93" s="51"/>
      <c r="T93" s="68" t="s">
        <v>149</v>
      </c>
      <c r="U93" s="75">
        <f>R89</f>
        <v>301674.43910754001</v>
      </c>
      <c r="V93" s="51"/>
      <c r="W93" s="51"/>
      <c r="X93" s="51"/>
    </row>
    <row r="94" spans="8:24" ht="15.75">
      <c r="H94" s="39" t="s">
        <v>110</v>
      </c>
      <c r="I94" s="63">
        <f>ONSV_AUX_2020!T62</f>
        <v>1005027</v>
      </c>
      <c r="J94" s="10">
        <f>I94</f>
        <v>1005027</v>
      </c>
      <c r="K94" s="11"/>
      <c r="L94" s="11"/>
      <c r="M94" s="11"/>
      <c r="N94" s="30" t="s">
        <v>150</v>
      </c>
      <c r="O94" s="63">
        <f>IF((J88-O91-O93-O92)&lt;0,0,(J88-O91-O93-O92))</f>
        <v>774415.80586967804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ONSV_AUX_2020!T63</f>
        <v>182237</v>
      </c>
      <c r="J95" s="10">
        <f>I95</f>
        <v>182237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6868309.0000000009</v>
      </c>
    </row>
    <row r="96" spans="8:24" ht="15.75">
      <c r="H96" s="39" t="s">
        <v>112</v>
      </c>
      <c r="I96" s="63">
        <f>ONSV_AUX_2020!T64</f>
        <v>44776</v>
      </c>
      <c r="J96" s="10">
        <f>I96</f>
        <v>44776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ONSV_AUX_2020!T65</f>
        <v>71801</v>
      </c>
      <c r="J97" s="64">
        <f>I97-(L86*I82)</f>
        <v>71773.372989819749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6" customFormat="1" ht="15.75">
      <c r="A100" s="100" t="str">
        <f>"RIO DE JANEIRO/"&amp;ONSV_AUX_2019!$A$1&amp;""</f>
        <v>RIO DE JANEIRO/2019</v>
      </c>
      <c r="B100" s="101"/>
      <c r="C100" s="101"/>
      <c r="D100" s="101"/>
      <c r="E100" s="101"/>
      <c r="F100" s="101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ONSV_AUX_2019!T27</f>
        <v>308196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ONSV_AUX_2019!T28</f>
        <v>2072294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ONSV_AUX_2019!T29</f>
        <v>358730</v>
      </c>
      <c r="J106" s="9"/>
      <c r="K106" s="2" t="s">
        <v>122</v>
      </c>
      <c r="L106" s="63">
        <f>I113+I116+I117+I122</f>
        <v>5310247</v>
      </c>
      <c r="N106" s="30" t="s">
        <v>123</v>
      </c>
      <c r="O106" s="63">
        <f>J113+J122</f>
        <v>4647729.8323012087</v>
      </c>
      <c r="P106" s="67"/>
      <c r="Q106" s="68" t="s">
        <v>124</v>
      </c>
      <c r="R106" s="63">
        <f>J116+J117</f>
        <v>661491.16769879055</v>
      </c>
      <c r="S106" s="69"/>
      <c r="T106" s="68" t="s">
        <v>125</v>
      </c>
      <c r="U106" s="70">
        <f>O110</f>
        <v>29470.031104231188</v>
      </c>
      <c r="V106" s="51"/>
      <c r="W106" s="68" t="s">
        <v>126</v>
      </c>
      <c r="X106" s="71">
        <f>R112</f>
        <v>52192.808924773926</v>
      </c>
    </row>
    <row r="107" spans="1:24" ht="15.75">
      <c r="H107" s="38" t="s">
        <v>102</v>
      </c>
      <c r="I107" s="63">
        <f>ONSV_AUX_2019!T30</f>
        <v>1026</v>
      </c>
      <c r="J107" s="9"/>
      <c r="K107" s="29"/>
      <c r="L107" s="65"/>
      <c r="M107" s="22"/>
      <c r="N107" s="30" t="s">
        <v>127</v>
      </c>
      <c r="O107" s="72">
        <f>J113/O106</f>
        <v>0.98577902985569077</v>
      </c>
      <c r="P107" s="67"/>
      <c r="Q107" s="73" t="s">
        <v>128</v>
      </c>
      <c r="R107" s="66">
        <f>J116/R106</f>
        <v>0.53287919482360702</v>
      </c>
      <c r="S107" s="74"/>
      <c r="T107" s="68" t="s">
        <v>129</v>
      </c>
      <c r="U107" s="70">
        <f>I122-J122</f>
        <v>12.772816029086243</v>
      </c>
      <c r="V107" s="51"/>
      <c r="W107" s="68" t="s">
        <v>130</v>
      </c>
      <c r="X107" s="71">
        <f>I117-J117</f>
        <v>59.713127468479797</v>
      </c>
    </row>
    <row r="108" spans="1:24" ht="15.75">
      <c r="H108" s="38" t="s">
        <v>16</v>
      </c>
      <c r="I108" s="63">
        <f>ONSV_AUX_2019!T31</f>
        <v>1409951</v>
      </c>
      <c r="J108" s="9"/>
      <c r="K108" s="2" t="s">
        <v>131</v>
      </c>
      <c r="L108" s="66">
        <f>I113/L106</f>
        <v>0.86295797540114427</v>
      </c>
      <c r="M108" s="22"/>
      <c r="N108" s="30" t="s">
        <v>132</v>
      </c>
      <c r="O108" s="72">
        <f>J122/O106</f>
        <v>1.4220970144309248E-2</v>
      </c>
      <c r="P108" s="67"/>
      <c r="Q108" s="73" t="s">
        <v>133</v>
      </c>
      <c r="R108" s="66">
        <f>J117/R106</f>
        <v>0.46712080517639309</v>
      </c>
      <c r="S108" s="74"/>
      <c r="T108" s="68" t="s">
        <v>134</v>
      </c>
      <c r="U108" s="75">
        <f>O112</f>
        <v>36625.196079739726</v>
      </c>
      <c r="V108" s="76"/>
      <c r="W108" s="68" t="s">
        <v>135</v>
      </c>
      <c r="X108" s="75">
        <f>R115</f>
        <v>256803.47794775758</v>
      </c>
    </row>
    <row r="109" spans="1:24" ht="15.75">
      <c r="H109" s="38" t="s">
        <v>94</v>
      </c>
      <c r="I109" s="63">
        <f>ONSV_AUX_2019!T32</f>
        <v>2579713</v>
      </c>
      <c r="J109" s="10"/>
      <c r="K109" s="2" t="s">
        <v>2</v>
      </c>
      <c r="L109" s="66">
        <f>I116/L106</f>
        <v>6.6392956862458566E-2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5.8199929306489886E-2</v>
      </c>
      <c r="M110" s="22"/>
      <c r="N110" s="30" t="s">
        <v>136</v>
      </c>
      <c r="O110" s="63">
        <f>IF(O108*I105&gt;J122,J122,O108*I105)</f>
        <v>29470.031104231188</v>
      </c>
      <c r="P110" s="79"/>
      <c r="Q110" s="68" t="s">
        <v>137</v>
      </c>
      <c r="R110" s="63">
        <f>I106-I114-I115-I118-I121</f>
        <v>111733</v>
      </c>
      <c r="S110" s="80"/>
      <c r="T110" s="68" t="s">
        <v>138</v>
      </c>
      <c r="U110" s="70">
        <f>O118</f>
        <v>2042823.9688957687</v>
      </c>
      <c r="V110" s="79"/>
      <c r="W110" s="68" t="s">
        <v>139</v>
      </c>
      <c r="X110" s="70">
        <f>I114</f>
        <v>145822</v>
      </c>
    </row>
    <row r="111" spans="1:24" ht="15.75">
      <c r="H111" s="26" t="s">
        <v>140</v>
      </c>
      <c r="K111" s="2" t="s">
        <v>0</v>
      </c>
      <c r="L111" s="66">
        <f>I122/L106</f>
        <v>1.244913842990731E-2</v>
      </c>
      <c r="O111" s="51"/>
      <c r="P111" s="79"/>
      <c r="Q111" s="68" t="s">
        <v>141</v>
      </c>
      <c r="R111" s="63">
        <f>R107*R110</f>
        <v>59540.191075226081</v>
      </c>
      <c r="S111" s="51"/>
      <c r="T111" s="68" t="s">
        <v>142</v>
      </c>
      <c r="U111" s="70">
        <f>O116</f>
        <v>308196</v>
      </c>
      <c r="V111" s="69"/>
      <c r="W111" s="68" t="s">
        <v>143</v>
      </c>
      <c r="X111" s="70">
        <f>I115</f>
        <v>17055</v>
      </c>
    </row>
    <row r="112" spans="1:24" ht="15.75">
      <c r="K112" s="11"/>
      <c r="L112" s="11"/>
      <c r="M112" s="11"/>
      <c r="N112" s="30" t="s">
        <v>144</v>
      </c>
      <c r="O112" s="63">
        <f>J122-O110</f>
        <v>36625.196079739726</v>
      </c>
      <c r="P112" s="79"/>
      <c r="Q112" s="68" t="s">
        <v>126</v>
      </c>
      <c r="R112" s="63">
        <f>R108*R110</f>
        <v>52192.808924773926</v>
      </c>
      <c r="S112" s="51"/>
      <c r="T112" s="68" t="s">
        <v>145</v>
      </c>
      <c r="U112" s="70">
        <f>O117</f>
        <v>1409951</v>
      </c>
      <c r="V112" s="74"/>
      <c r="W112" s="51"/>
      <c r="X112" s="65"/>
    </row>
    <row r="113" spans="8:24" ht="15.75">
      <c r="H113" s="39" t="s">
        <v>104</v>
      </c>
      <c r="I113" s="63">
        <f>ONSV_AUX_2019!T56</f>
        <v>4582520</v>
      </c>
      <c r="J113" s="64">
        <f>I113-(L108*I107)</f>
        <v>4581634.6051172381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885.3948827618733</v>
      </c>
      <c r="V113" s="74"/>
      <c r="W113" s="68" t="s">
        <v>147</v>
      </c>
      <c r="X113" s="70">
        <f>I121</f>
        <v>44940</v>
      </c>
    </row>
    <row r="114" spans="8:24" ht="15.75">
      <c r="H114" s="39" t="s">
        <v>105</v>
      </c>
      <c r="I114" s="63">
        <f>ONSV_AUX_2019!T57</f>
        <v>145822</v>
      </c>
      <c r="J114" s="10">
        <f>I114</f>
        <v>145822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292954.68975103303</v>
      </c>
      <c r="S114" s="51"/>
      <c r="T114" s="68" t="s">
        <v>150</v>
      </c>
      <c r="U114" s="75">
        <f>O119</f>
        <v>820663.63622146938</v>
      </c>
      <c r="V114" s="51"/>
      <c r="W114" s="68" t="s">
        <v>151</v>
      </c>
      <c r="X114" s="70">
        <f>I118</f>
        <v>39180</v>
      </c>
    </row>
    <row r="115" spans="8:24" ht="15.75">
      <c r="H115" s="39" t="s">
        <v>106</v>
      </c>
      <c r="I115" s="63">
        <f>ONSV_AUX_2019!T58</f>
        <v>17055</v>
      </c>
      <c r="J115" s="10">
        <f>I115</f>
        <v>17055</v>
      </c>
      <c r="K115" s="11"/>
      <c r="L115" s="11"/>
      <c r="M115" s="11"/>
      <c r="O115" s="76"/>
      <c r="P115" s="79"/>
      <c r="Q115" s="68" t="s">
        <v>135</v>
      </c>
      <c r="R115" s="63">
        <f>J117-R112</f>
        <v>256803.47794775758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ONSV_AUX_2019!T59</f>
        <v>352563</v>
      </c>
      <c r="J116" s="64">
        <f>I116-(L109*I107)</f>
        <v>352494.88082625909</v>
      </c>
      <c r="K116" s="11"/>
      <c r="L116" s="11"/>
      <c r="M116" s="11"/>
      <c r="N116" s="30" t="s">
        <v>142</v>
      </c>
      <c r="O116" s="63">
        <f>I104</f>
        <v>308196</v>
      </c>
      <c r="P116" s="79"/>
      <c r="Q116" s="51"/>
      <c r="R116" s="51"/>
      <c r="S116" s="80"/>
      <c r="T116" s="68" t="s">
        <v>141</v>
      </c>
      <c r="U116" s="71">
        <f>R111</f>
        <v>59540.191075226081</v>
      </c>
      <c r="V116" s="51"/>
      <c r="W116" s="68" t="s">
        <v>152</v>
      </c>
      <c r="X116" s="70">
        <f>I119</f>
        <v>972714</v>
      </c>
    </row>
    <row r="117" spans="8:24" ht="15.75">
      <c r="H117" s="39" t="s">
        <v>108</v>
      </c>
      <c r="I117" s="63">
        <f>ONSV_AUX_2019!T60</f>
        <v>309056</v>
      </c>
      <c r="J117" s="64">
        <f>I117-(L110*I107)</f>
        <v>308996.28687253152</v>
      </c>
      <c r="K117" s="11"/>
      <c r="L117" s="11"/>
      <c r="M117" s="11"/>
      <c r="N117" s="30" t="s">
        <v>145</v>
      </c>
      <c r="O117" s="63">
        <f>I108</f>
        <v>1409951</v>
      </c>
      <c r="P117" s="79"/>
      <c r="Q117" s="51"/>
      <c r="R117" s="51"/>
      <c r="S117" s="51"/>
      <c r="T117" s="68" t="s">
        <v>153</v>
      </c>
      <c r="U117" s="71">
        <f>I116-J116</f>
        <v>68.119173740909901</v>
      </c>
      <c r="V117" s="51"/>
      <c r="W117" s="68" t="s">
        <v>154</v>
      </c>
      <c r="X117" s="70">
        <f>I120</f>
        <v>174578</v>
      </c>
    </row>
    <row r="118" spans="8:24" ht="15.75">
      <c r="H118" s="39" t="s">
        <v>109</v>
      </c>
      <c r="I118" s="63">
        <f>ONSV_AUX_2019!T61</f>
        <v>39180</v>
      </c>
      <c r="J118" s="10">
        <f>I118</f>
        <v>39180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2042823.9688957687</v>
      </c>
      <c r="P118" s="79"/>
      <c r="Q118" s="51"/>
      <c r="R118" s="81"/>
      <c r="S118" s="51"/>
      <c r="T118" s="68" t="s">
        <v>149</v>
      </c>
      <c r="U118" s="75">
        <f>R114</f>
        <v>292954.68975103303</v>
      </c>
      <c r="V118" s="51"/>
      <c r="W118" s="51"/>
      <c r="X118" s="51"/>
    </row>
    <row r="119" spans="8:24" ht="15.75">
      <c r="H119" s="39" t="s">
        <v>110</v>
      </c>
      <c r="I119" s="63">
        <f>ONSV_AUX_2019!T62</f>
        <v>972714</v>
      </c>
      <c r="J119" s="10">
        <f>I119</f>
        <v>972714</v>
      </c>
      <c r="K119" s="11"/>
      <c r="L119" s="11"/>
      <c r="M119" s="11"/>
      <c r="N119" s="30" t="s">
        <v>150</v>
      </c>
      <c r="O119" s="63">
        <f>IF((J113-O116-O118-O117)&lt;0,0,(J113-O116-O118-O117))</f>
        <v>820663.63622146938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ONSV_AUX_2019!T63</f>
        <v>174578</v>
      </c>
      <c r="J120" s="10">
        <f>I120</f>
        <v>174578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6704536</v>
      </c>
    </row>
    <row r="121" spans="8:24" ht="15.75">
      <c r="H121" s="39" t="s">
        <v>112</v>
      </c>
      <c r="I121" s="63">
        <f>ONSV_AUX_2019!T64</f>
        <v>44940</v>
      </c>
      <c r="J121" s="10">
        <f>I121</f>
        <v>44940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ONSV_AUX_2019!T65</f>
        <v>66108</v>
      </c>
      <c r="J122" s="64">
        <f>I122-(L111*I107)</f>
        <v>66095.227183970914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AM36"/>
  <sheetViews>
    <sheetView showGridLines="0" topLeftCell="A18" workbookViewId="0">
      <pane xSplit="1" topLeftCell="V1" activePane="topRight" state="frozen"/>
      <selection pane="topRight" activeCell="C4" sqref="C4:AK36"/>
    </sheetView>
  </sheetViews>
  <sheetFormatPr defaultRowHeight="15"/>
  <cols>
    <col min="1" max="1" width="28.85546875" style="4" customWidth="1"/>
    <col min="2" max="2" width="2.5703125" customWidth="1"/>
    <col min="7" max="7" width="5.5703125" customWidth="1"/>
    <col min="8" max="8" width="10.140625" bestFit="1" customWidth="1"/>
    <col min="10" max="10" width="10.140625" bestFit="1" customWidth="1"/>
    <col min="11" max="12" width="10.140625" customWidth="1"/>
    <col min="13" max="13" width="10.140625" bestFit="1" customWidth="1"/>
    <col min="14" max="14" width="5.140625" customWidth="1"/>
    <col min="15" max="15" width="10.140625" bestFit="1" customWidth="1"/>
    <col min="18" max="18" width="10.140625" bestFit="1" customWidth="1"/>
    <col min="19" max="19" width="5.140625" customWidth="1"/>
    <col min="24" max="24" width="5.140625" customWidth="1"/>
    <col min="25" max="25" width="10.28515625" bestFit="1" customWidth="1"/>
    <col min="26" max="26" width="5.140625" customWidth="1"/>
    <col min="27" max="27" width="17.28515625" bestFit="1" customWidth="1"/>
    <col min="28" max="28" width="5.140625" customWidth="1"/>
    <col min="29" max="29" width="7.5703125" bestFit="1" customWidth="1"/>
    <col min="30" max="30" width="5.140625" customWidth="1"/>
    <col min="31" max="31" width="13.140625" bestFit="1" customWidth="1"/>
    <col min="32" max="32" width="5.140625" customWidth="1"/>
    <col min="33" max="33" width="12" bestFit="1" customWidth="1"/>
    <col min="34" max="34" width="5.140625" customWidth="1"/>
    <col min="35" max="35" width="10" bestFit="1" customWidth="1"/>
    <col min="37" max="37" width="11.140625" bestFit="1" customWidth="1"/>
  </cols>
  <sheetData>
    <row r="1" spans="1:39">
      <c r="A1" s="49"/>
    </row>
    <row r="2" spans="1:39" ht="15.75" customHeight="1">
      <c r="A2" s="88" t="str">
        <f>"Frota por tipo de veículo e combustível - Junho/"&amp;ONSV_AUX_2021!A1&amp;""</f>
        <v>Frota por tipo de veículo e combustível - Junho/2021</v>
      </c>
      <c r="C2" s="92" t="s">
        <v>0</v>
      </c>
      <c r="D2" s="92"/>
      <c r="E2" s="92"/>
      <c r="F2" s="92"/>
      <c r="H2" s="92"/>
      <c r="I2" s="92"/>
      <c r="J2" s="92"/>
      <c r="K2" s="92"/>
      <c r="L2" s="92"/>
      <c r="M2" s="92"/>
      <c r="O2" s="93" t="s">
        <v>2</v>
      </c>
      <c r="P2" s="94"/>
      <c r="Q2" s="94"/>
      <c r="R2" s="95"/>
      <c r="T2" s="93" t="s">
        <v>3</v>
      </c>
      <c r="U2" s="94"/>
      <c r="V2" s="94"/>
      <c r="W2" s="95"/>
      <c r="Y2" s="30" t="s">
        <v>4</v>
      </c>
      <c r="AA2" s="30" t="s">
        <v>5</v>
      </c>
      <c r="AC2" s="30" t="s">
        <v>6</v>
      </c>
      <c r="AE2" s="30" t="s">
        <v>7</v>
      </c>
      <c r="AG2" s="30" t="s">
        <v>8</v>
      </c>
      <c r="AI2" s="30" t="s">
        <v>9</v>
      </c>
      <c r="AK2" s="90" t="s">
        <v>10</v>
      </c>
    </row>
    <row r="3" spans="1:39" ht="15.75">
      <c r="A3" s="89"/>
      <c r="C3" s="30" t="s">
        <v>11</v>
      </c>
      <c r="D3" s="30" t="s">
        <v>12</v>
      </c>
      <c r="E3" s="30" t="s">
        <v>13</v>
      </c>
      <c r="F3" s="30" t="s">
        <v>14</v>
      </c>
      <c r="H3" s="30" t="s">
        <v>11</v>
      </c>
      <c r="I3" s="30" t="s">
        <v>15</v>
      </c>
      <c r="J3" s="30" t="s">
        <v>16</v>
      </c>
      <c r="K3" s="30" t="s">
        <v>12</v>
      </c>
      <c r="L3" s="30" t="s">
        <v>13</v>
      </c>
      <c r="M3" s="30" t="s">
        <v>14</v>
      </c>
      <c r="O3" s="30" t="s">
        <v>17</v>
      </c>
      <c r="P3" s="30" t="s">
        <v>12</v>
      </c>
      <c r="Q3" s="30" t="s">
        <v>13</v>
      </c>
      <c r="R3" s="30" t="s">
        <v>14</v>
      </c>
      <c r="T3" s="30" t="s">
        <v>17</v>
      </c>
      <c r="U3" s="30" t="s">
        <v>12</v>
      </c>
      <c r="V3" s="30" t="s">
        <v>13</v>
      </c>
      <c r="W3" s="30" t="s">
        <v>14</v>
      </c>
      <c r="Y3" s="30" t="s">
        <v>17</v>
      </c>
      <c r="AA3" s="30" t="s">
        <v>17</v>
      </c>
      <c r="AC3" s="30" t="s">
        <v>17</v>
      </c>
      <c r="AE3" s="30" t="s">
        <v>17</v>
      </c>
      <c r="AG3" s="30" t="s">
        <v>13</v>
      </c>
      <c r="AI3" s="30" t="s">
        <v>13</v>
      </c>
      <c r="AK3" s="91"/>
      <c r="AM3" t="s">
        <v>18</v>
      </c>
    </row>
    <row r="4" spans="1:39">
      <c r="A4" s="44" t="s">
        <v>19</v>
      </c>
      <c r="C4" s="48">
        <f>SUM(C5,C13,C32,C28,C23)</f>
        <v>864711.89765794121</v>
      </c>
      <c r="D4" s="48">
        <f t="shared" ref="D4" si="0">SUM(D5,D13,D32,D28,D23)</f>
        <v>1041.0929052362087</v>
      </c>
      <c r="E4" s="48">
        <f t="shared" ref="E4" si="1">SUM(E5,E13,E32,E28,E23)</f>
        <v>334109.00943682261</v>
      </c>
      <c r="F4" s="48">
        <f>SUM(F5,F13,F32,F28,F23)</f>
        <v>1199862</v>
      </c>
      <c r="H4" s="48">
        <f t="shared" ref="H4:J4" si="2">SUM(H5,H13,H32,H28,H23)</f>
        <v>40948990.534990489</v>
      </c>
      <c r="I4" s="48">
        <f t="shared" si="2"/>
        <v>4156978</v>
      </c>
      <c r="J4" s="48">
        <f t="shared" si="2"/>
        <v>2492926</v>
      </c>
      <c r="K4" s="48">
        <f t="shared" ref="K4:L4" si="3">SUM(K5,K13,K32,K28,K23)</f>
        <v>49736.649073048931</v>
      </c>
      <c r="L4" s="48">
        <f t="shared" si="3"/>
        <v>11163916.815936461</v>
      </c>
      <c r="M4" s="48">
        <f>SUM(M5,M13,M32,M28,M23)</f>
        <v>58812548</v>
      </c>
      <c r="O4" s="48">
        <f>SUM(O5,O13,O32,O28,O23)</f>
        <v>2600491.8535537035</v>
      </c>
      <c r="P4" s="48">
        <f t="shared" ref="P4:R4" si="4">SUM(P5,P13,P32,P28,P23)</f>
        <v>7159.8603200863799</v>
      </c>
      <c r="Q4" s="48">
        <f t="shared" ref="Q4" si="5">SUM(Q5,Q13,Q32,Q28,Q23)</f>
        <v>5909336.2861262104</v>
      </c>
      <c r="R4" s="48">
        <f t="shared" si="4"/>
        <v>8516988</v>
      </c>
      <c r="T4" s="48">
        <f>SUM(T5,T13,T32,T28,T23)</f>
        <v>1064218.1464462965</v>
      </c>
      <c r="U4" s="48">
        <f t="shared" ref="U4:W4" si="6">SUM(U5,U13,U32,U28,U23)</f>
        <v>3264.3977016303916</v>
      </c>
      <c r="V4" s="48">
        <f t="shared" ref="V4" si="7">SUM(V5,V13,V32,V28,V23)</f>
        <v>2746718.4558520736</v>
      </c>
      <c r="W4" s="48">
        <f t="shared" si="6"/>
        <v>3814201</v>
      </c>
      <c r="Y4" s="48">
        <f>SUM(Y5,Y13,Y32,Y28,Y23)</f>
        <v>2914477</v>
      </c>
      <c r="AA4" s="48">
        <f>SUM(AA5,AA13,AA32,AA28,AA23)</f>
        <v>768212</v>
      </c>
      <c r="AC4" s="48">
        <f>SUM(AC5,AC13,AC32,AC28,AC23)</f>
        <v>668919</v>
      </c>
      <c r="AE4" s="48">
        <f>SUM(AE5,AE13,AE32,AE28,AE23)</f>
        <v>423837</v>
      </c>
      <c r="AG4" s="48">
        <f>SUM(AG5,AG13,AG32,AG28,AG23)</f>
        <v>24309635</v>
      </c>
      <c r="AI4" s="48">
        <f>SUM(AI5,AI13,AI32,AI28,AI23)</f>
        <v>4911018</v>
      </c>
      <c r="AK4" s="48">
        <f t="shared" ref="AK4:AK36" si="8">SUM(F4,M4,R4,W4,Y4,AA4,AC4,AE4,AG4,AI4)</f>
        <v>106339697</v>
      </c>
    </row>
    <row r="5" spans="1:39">
      <c r="A5" s="44" t="s">
        <v>20</v>
      </c>
      <c r="C5" s="48">
        <f>SUM(C6:C12)</f>
        <v>39050.283536999676</v>
      </c>
      <c r="D5" s="48">
        <f t="shared" ref="D5:AE5" si="9">SUM(D6:D12)</f>
        <v>31.716463000324211</v>
      </c>
      <c r="E5" s="48">
        <f t="shared" ref="E5" si="10">SUM(E6:E12)</f>
        <v>0</v>
      </c>
      <c r="F5" s="48">
        <f>SUM(C5:E5)</f>
        <v>39082</v>
      </c>
      <c r="H5" s="48">
        <f t="shared" si="9"/>
        <v>1882540.4005267506</v>
      </c>
      <c r="I5" s="48">
        <f t="shared" si="9"/>
        <v>68172</v>
      </c>
      <c r="J5" s="48">
        <f t="shared" si="9"/>
        <v>3293</v>
      </c>
      <c r="K5" s="48">
        <f t="shared" ref="K5:L5" si="11">SUM(K6:K12)</f>
        <v>1596.5994732494873</v>
      </c>
      <c r="L5" s="48">
        <f t="shared" si="11"/>
        <v>0</v>
      </c>
      <c r="M5" s="48">
        <f>SUM(H5:L5)</f>
        <v>1955602</v>
      </c>
      <c r="O5" s="48">
        <f t="shared" si="9"/>
        <v>236475.98212401016</v>
      </c>
      <c r="P5" s="48">
        <f t="shared" si="9"/>
        <v>438.26776329595305</v>
      </c>
      <c r="Q5" s="48">
        <f t="shared" ref="Q5" si="12">SUM(Q6:Q12)</f>
        <v>311704.75011269393</v>
      </c>
      <c r="R5" s="48">
        <f>SUM(O5:Q5)</f>
        <v>548619</v>
      </c>
      <c r="T5" s="48">
        <f t="shared" si="9"/>
        <v>48875.017875989841</v>
      </c>
      <c r="U5" s="48">
        <f t="shared" si="9"/>
        <v>96.416300454283373</v>
      </c>
      <c r="V5" s="48">
        <f t="shared" ref="V5" si="13">SUM(V6:V12)</f>
        <v>67764.56582355588</v>
      </c>
      <c r="W5" s="48">
        <f>SUM(T5:V5)</f>
        <v>116736</v>
      </c>
      <c r="Y5" s="48">
        <f t="shared" ref="Y5" si="14">SUM(Y6:Y12)</f>
        <v>161885</v>
      </c>
      <c r="AA5" s="48">
        <f t="shared" si="9"/>
        <v>33254</v>
      </c>
      <c r="AC5" s="48">
        <f t="shared" ref="AC5" si="15">SUM(AC6:AC12)</f>
        <v>47626</v>
      </c>
      <c r="AE5" s="48">
        <f t="shared" si="9"/>
        <v>15700</v>
      </c>
      <c r="AG5" s="48">
        <f>SUM(AG6:AG12)</f>
        <v>2236715</v>
      </c>
      <c r="AI5" s="48">
        <f>SUM(AI6:AI12)</f>
        <v>597459</v>
      </c>
      <c r="AK5" s="48">
        <f t="shared" si="8"/>
        <v>5752678</v>
      </c>
    </row>
    <row r="6" spans="1:39">
      <c r="A6" s="45" t="s">
        <v>21</v>
      </c>
      <c r="C6" s="47">
        <f>AC!$U$56</f>
        <v>1558.4760853678542</v>
      </c>
      <c r="D6" s="47">
        <f>AC!$U57</f>
        <v>1.5239146321457611</v>
      </c>
      <c r="E6" s="47">
        <f>AC!$U58</f>
        <v>0</v>
      </c>
      <c r="F6" s="48">
        <f t="shared" ref="F6:F36" si="16">SUM(C6:E6)</f>
        <v>1560</v>
      </c>
      <c r="H6" s="47">
        <f>AC!$U$60</f>
        <v>94215.298161101251</v>
      </c>
      <c r="I6" s="47">
        <f>AC!$U$61</f>
        <v>3635</v>
      </c>
      <c r="J6" s="47">
        <f>AC!$U$62</f>
        <v>22</v>
      </c>
      <c r="K6" s="47">
        <f>AC!$U$63</f>
        <v>95.701838898748974</v>
      </c>
      <c r="L6" s="47">
        <f>AC!$U$64</f>
        <v>0</v>
      </c>
      <c r="M6" s="48">
        <f t="shared" ref="M6:M36" si="17">SUM(H6:L6)</f>
        <v>97968</v>
      </c>
      <c r="O6" s="47">
        <f>AC!$U$66</f>
        <v>15600.964192745992</v>
      </c>
      <c r="P6" s="47">
        <f>AC!$U$67</f>
        <v>29.263068410611595</v>
      </c>
      <c r="Q6" s="47">
        <f>AC!$U$68</f>
        <v>14325.772738843396</v>
      </c>
      <c r="R6" s="48">
        <f t="shared" ref="R6:R36" si="18">SUM(O6:Q6)</f>
        <v>29956</v>
      </c>
      <c r="T6" s="47">
        <f>AC!$X$56</f>
        <v>2405.0358072540057</v>
      </c>
      <c r="U6" s="47">
        <f>AC!$X$57</f>
        <v>4.5111780584929875</v>
      </c>
      <c r="V6" s="47">
        <f>AC!$X$58</f>
        <v>2208.4530146875013</v>
      </c>
      <c r="W6" s="48">
        <f t="shared" ref="W6:W36" si="19">SUM(T6:V6)</f>
        <v>4618</v>
      </c>
      <c r="Y6" s="47">
        <f>AC!$X$60</f>
        <v>7968</v>
      </c>
      <c r="AA6" s="47">
        <f>AC!$X$61</f>
        <v>1227</v>
      </c>
      <c r="AC6" s="47">
        <f>AC!$X$63</f>
        <v>1353</v>
      </c>
      <c r="AE6" s="47">
        <f>AC!$X$64</f>
        <v>419</v>
      </c>
      <c r="AG6" s="47">
        <f>AC!$X$66</f>
        <v>131069</v>
      </c>
      <c r="AI6" s="47">
        <f>AC!$X$67</f>
        <v>30361</v>
      </c>
      <c r="AK6" s="47">
        <f t="shared" si="8"/>
        <v>306499</v>
      </c>
      <c r="AM6" t="str">
        <f>IF((AK6=AC!$X$70),"ok","erro")</f>
        <v>ok</v>
      </c>
    </row>
    <row r="7" spans="1:39">
      <c r="A7" s="45" t="s">
        <v>22</v>
      </c>
      <c r="C7" s="47">
        <f>AP!$U$56</f>
        <v>1153.0211885970934</v>
      </c>
      <c r="D7" s="47">
        <f>AP!$U57</f>
        <v>0.97881140290655821</v>
      </c>
      <c r="E7" s="47">
        <f>AP!$U58</f>
        <v>0</v>
      </c>
      <c r="F7" s="48">
        <f t="shared" si="16"/>
        <v>1154</v>
      </c>
      <c r="H7" s="47">
        <f>AP!$U$60</f>
        <v>91168.358356288314</v>
      </c>
      <c r="I7" s="47">
        <f>AP!$U$61</f>
        <v>1452</v>
      </c>
      <c r="J7" s="47">
        <f>AP!$U$62</f>
        <v>18</v>
      </c>
      <c r="K7" s="47">
        <f>AP!$U$63</f>
        <v>78.641643711685902</v>
      </c>
      <c r="L7" s="47">
        <f>AP!$U$64</f>
        <v>0</v>
      </c>
      <c r="M7" s="48">
        <f t="shared" si="17"/>
        <v>92717</v>
      </c>
      <c r="O7" s="47">
        <f>AP!$U$66</f>
        <v>6880.0628300247308</v>
      </c>
      <c r="P7" s="47">
        <f>AP!$U$67</f>
        <v>21.04783792298258</v>
      </c>
      <c r="Q7" s="47">
        <f>AP!$U$68</f>
        <v>17913.889332052288</v>
      </c>
      <c r="R7" s="48">
        <f t="shared" si="18"/>
        <v>24815</v>
      </c>
      <c r="T7" s="47">
        <f>AP!$X$56</f>
        <v>1415.9371699752689</v>
      </c>
      <c r="U7" s="47">
        <f>AP!$X$57</f>
        <v>4.3317069624290525</v>
      </c>
      <c r="V7" s="47">
        <f>AP!$X$58</f>
        <v>3686.7311230623018</v>
      </c>
      <c r="W7" s="48">
        <f t="shared" si="19"/>
        <v>5107</v>
      </c>
      <c r="Y7" s="47">
        <f>AP!$X$60</f>
        <v>4430</v>
      </c>
      <c r="AA7" s="47">
        <f>AP!$X$61</f>
        <v>439</v>
      </c>
      <c r="AC7" s="47">
        <f>AP!$X$63</f>
        <v>1460</v>
      </c>
      <c r="AE7" s="47">
        <f>AP!$X$64</f>
        <v>493</v>
      </c>
      <c r="AG7" s="47">
        <f>AP!$X$66</f>
        <v>70951</v>
      </c>
      <c r="AI7" s="47">
        <f>AP!$X$67</f>
        <v>14366</v>
      </c>
      <c r="AK7" s="47">
        <f t="shared" si="8"/>
        <v>215932</v>
      </c>
      <c r="AM7" t="str">
        <f>IF((AK7=AP!$X$70),"ok","erro")</f>
        <v>ok</v>
      </c>
    </row>
    <row r="8" spans="1:39">
      <c r="A8" s="45" t="s">
        <v>23</v>
      </c>
      <c r="C8" s="47">
        <f>AM!$U$56</f>
        <v>6147.2138137543616</v>
      </c>
      <c r="D8" s="47">
        <f>AM!$U$57</f>
        <v>5.7861862456384188</v>
      </c>
      <c r="E8" s="47">
        <f>AM!$U$58</f>
        <v>0</v>
      </c>
      <c r="F8" s="48">
        <f t="shared" si="16"/>
        <v>6153</v>
      </c>
      <c r="H8" s="47">
        <f>AM!$U$60</f>
        <v>416325.68163032987</v>
      </c>
      <c r="I8" s="47">
        <f>AM!$U$61</f>
        <v>16212</v>
      </c>
      <c r="J8" s="47">
        <f>AM!$U$62</f>
        <v>2320</v>
      </c>
      <c r="K8" s="47">
        <f>AM!$U$63</f>
        <v>409.31836967013078</v>
      </c>
      <c r="L8" s="47">
        <f>AM!$U$64</f>
        <v>0</v>
      </c>
      <c r="M8" s="48">
        <f t="shared" si="17"/>
        <v>435267</v>
      </c>
      <c r="O8" s="47">
        <f>AM!$U$66</f>
        <v>26740.411355847667</v>
      </c>
      <c r="P8" s="47">
        <f>AM!$U$67</f>
        <v>90.297606968742912</v>
      </c>
      <c r="Q8" s="47">
        <f>AM!$U$68</f>
        <v>69191.29103718359</v>
      </c>
      <c r="R8" s="48">
        <f t="shared" si="18"/>
        <v>96022</v>
      </c>
      <c r="T8" s="47">
        <f>AM!$X$56</f>
        <v>7876.5886441523344</v>
      </c>
      <c r="U8" s="47">
        <f>AM!$X$57</f>
        <v>26.597837115492439</v>
      </c>
      <c r="V8" s="47">
        <f>AM!$X$58</f>
        <v>20380.813518732175</v>
      </c>
      <c r="W8" s="48">
        <f t="shared" si="19"/>
        <v>28284</v>
      </c>
      <c r="Y8" s="47">
        <f>AM!$X$60</f>
        <v>21231</v>
      </c>
      <c r="AA8" s="47">
        <f>AM!$X$61</f>
        <v>4107</v>
      </c>
      <c r="AC8" s="47">
        <f>AM!$X$63</f>
        <v>10112</v>
      </c>
      <c r="AE8" s="47">
        <f>AM!$X$64</f>
        <v>3643</v>
      </c>
      <c r="AG8" s="47">
        <f>AM!$X$66</f>
        <v>296113</v>
      </c>
      <c r="AI8" s="47">
        <f>AM!$X$67</f>
        <v>68631</v>
      </c>
      <c r="AK8" s="47">
        <f t="shared" si="8"/>
        <v>969563</v>
      </c>
      <c r="AM8" t="str">
        <f>IF((AK8=AM!$X$70),"ok","erro")</f>
        <v>ok</v>
      </c>
    </row>
    <row r="9" spans="1:39">
      <c r="A9" s="45" t="s">
        <v>24</v>
      </c>
      <c r="C9" s="47">
        <f>PA!$U$56</f>
        <v>17519.929020117437</v>
      </c>
      <c r="D9" s="47">
        <f>PA!$U$57</f>
        <v>15.070979882562824</v>
      </c>
      <c r="E9" s="47">
        <f>PA!$U$58</f>
        <v>0</v>
      </c>
      <c r="F9" s="48">
        <f t="shared" si="16"/>
        <v>17535</v>
      </c>
      <c r="H9" s="47">
        <f>PA!$U$60</f>
        <v>660280.0388264918</v>
      </c>
      <c r="I9" s="47">
        <f>PA!$U$61</f>
        <v>23932</v>
      </c>
      <c r="J9" s="47">
        <f>PA!$U$62</f>
        <v>452</v>
      </c>
      <c r="K9" s="47">
        <f>PA!$U$63</f>
        <v>588.96117350819986</v>
      </c>
      <c r="L9" s="47">
        <f>PA!$U$64</f>
        <v>0</v>
      </c>
      <c r="M9" s="48">
        <f t="shared" si="17"/>
        <v>685253</v>
      </c>
      <c r="O9" s="47">
        <f>PA!$U$66</f>
        <v>85610.36278767309</v>
      </c>
      <c r="P9" s="47">
        <f>PA!$U$67</f>
        <v>153.77642307546921</v>
      </c>
      <c r="Q9" s="47">
        <f>PA!$U$68</f>
        <v>93153.860789251441</v>
      </c>
      <c r="R9" s="48">
        <f t="shared" si="18"/>
        <v>178918</v>
      </c>
      <c r="T9" s="47">
        <f>PA!$X$56</f>
        <v>21818.637212326903</v>
      </c>
      <c r="U9" s="47">
        <f>PA!$X$57</f>
        <v>39.19142353378993</v>
      </c>
      <c r="V9" s="47">
        <f>PA!$X$58</f>
        <v>23741.171364139307</v>
      </c>
      <c r="W9" s="48">
        <f t="shared" si="19"/>
        <v>45599</v>
      </c>
      <c r="Y9" s="47">
        <f>PA!$X$60</f>
        <v>66958</v>
      </c>
      <c r="AA9" s="47">
        <f>PA!$X$61</f>
        <v>11244</v>
      </c>
      <c r="AC9" s="47">
        <f>PA!$X$63</f>
        <v>20382</v>
      </c>
      <c r="AE9" s="47">
        <f>PA!$X$64</f>
        <v>7241</v>
      </c>
      <c r="AG9" s="47">
        <f>PA!$X$66</f>
        <v>978134</v>
      </c>
      <c r="AI9" s="47">
        <f>PA!$X$67</f>
        <v>222807</v>
      </c>
      <c r="AK9" s="47">
        <f t="shared" si="8"/>
        <v>2234071</v>
      </c>
      <c r="AM9" t="str">
        <f>IF((AK9=PA!$X$70),"ok","erro")</f>
        <v>ok</v>
      </c>
    </row>
    <row r="10" spans="1:39">
      <c r="A10" s="45" t="s">
        <v>25</v>
      </c>
      <c r="C10" s="47">
        <f>RO!$U$56</f>
        <v>5601.33804716958</v>
      </c>
      <c r="D10" s="47">
        <f>RO!$U$57</f>
        <v>3.6619528304199775</v>
      </c>
      <c r="E10" s="47">
        <f>RO!$U$58</f>
        <v>0</v>
      </c>
      <c r="F10" s="48">
        <f t="shared" si="16"/>
        <v>5605</v>
      </c>
      <c r="H10" s="47">
        <f>RO!$U$60</f>
        <v>306457.74326985038</v>
      </c>
      <c r="I10" s="47">
        <f>RO!$U$61</f>
        <v>10467</v>
      </c>
      <c r="J10" s="47">
        <f>RO!$U$62</f>
        <v>96</v>
      </c>
      <c r="K10" s="47">
        <f>RO!$U$63</f>
        <v>207.25673014961649</v>
      </c>
      <c r="L10" s="47">
        <f>RO!$U$64</f>
        <v>0</v>
      </c>
      <c r="M10" s="48">
        <f t="shared" si="17"/>
        <v>317228</v>
      </c>
      <c r="O10" s="47">
        <f>RO!$U$66</f>
        <v>51571.529729213435</v>
      </c>
      <c r="P10" s="47">
        <f>RO!$U$67</f>
        <v>72.377305353569682</v>
      </c>
      <c r="Q10" s="47">
        <f>RO!$U$68</f>
        <v>59137.092965432996</v>
      </c>
      <c r="R10" s="48">
        <f t="shared" si="18"/>
        <v>110781</v>
      </c>
      <c r="T10" s="47">
        <f>RO!$X$56</f>
        <v>6914.4702707865699</v>
      </c>
      <c r="U10" s="47">
        <f>RO!$X$57</f>
        <v>9.7040116664102243</v>
      </c>
      <c r="V10" s="47">
        <f>RO!$X$58</f>
        <v>7928.8257175470198</v>
      </c>
      <c r="W10" s="48">
        <f t="shared" si="19"/>
        <v>14853</v>
      </c>
      <c r="Y10" s="47">
        <f>RO!$X$60</f>
        <v>32107</v>
      </c>
      <c r="AA10" s="47">
        <f>RO!$X$61</f>
        <v>8072</v>
      </c>
      <c r="AC10" s="47">
        <f>RO!$X$63</f>
        <v>6791</v>
      </c>
      <c r="AE10" s="47">
        <f>RO!$X$64</f>
        <v>1443</v>
      </c>
      <c r="AG10" s="47">
        <f>RO!$X$66</f>
        <v>424377</v>
      </c>
      <c r="AI10" s="47">
        <f>RO!$X$67</f>
        <v>135150</v>
      </c>
      <c r="AK10" s="47">
        <f t="shared" si="8"/>
        <v>1056407</v>
      </c>
      <c r="AM10" t="str">
        <f>IF((AK10=RO!$X$70),"ok","erro")</f>
        <v>ok</v>
      </c>
    </row>
    <row r="11" spans="1:39">
      <c r="A11" s="45" t="s">
        <v>26</v>
      </c>
      <c r="C11" s="47">
        <f>RR!$U$56</f>
        <v>1602.9777175403779</v>
      </c>
      <c r="D11" s="47">
        <f>RR!$U$57</f>
        <v>1.0222824596221471</v>
      </c>
      <c r="E11" s="47">
        <f>RR!$U$58</f>
        <v>0</v>
      </c>
      <c r="F11" s="48">
        <f t="shared" si="16"/>
        <v>1604</v>
      </c>
      <c r="H11" s="47">
        <f>RR!$U$60</f>
        <v>83615.708133662483</v>
      </c>
      <c r="I11" s="47">
        <f>RR!$U$61</f>
        <v>1455</v>
      </c>
      <c r="J11" s="47">
        <f>RR!$U$62</f>
        <v>61</v>
      </c>
      <c r="K11" s="47">
        <f>RR!$U$63</f>
        <v>54.291866337516694</v>
      </c>
      <c r="L11" s="47">
        <f>RR!$U$64</f>
        <v>0</v>
      </c>
      <c r="M11" s="48">
        <f t="shared" si="17"/>
        <v>85186</v>
      </c>
      <c r="O11" s="47">
        <f>RR!$U$66</f>
        <v>11993.611021418579</v>
      </c>
      <c r="P11" s="47">
        <f>RR!$U$67</f>
        <v>20.17605724704481</v>
      </c>
      <c r="Q11" s="47">
        <f>RR!$U$68</f>
        <v>19643.212921334376</v>
      </c>
      <c r="R11" s="48">
        <f t="shared" si="18"/>
        <v>31657</v>
      </c>
      <c r="T11" s="47">
        <f>RR!$X$56</f>
        <v>2086.3889785814231</v>
      </c>
      <c r="U11" s="47">
        <f>RR!$X$57</f>
        <v>3.5097939558227154</v>
      </c>
      <c r="V11" s="47">
        <f>RR!$X$58</f>
        <v>3417.1012274627542</v>
      </c>
      <c r="W11" s="48">
        <f t="shared" si="19"/>
        <v>5507</v>
      </c>
      <c r="Y11" s="47">
        <f>RR!$X$60</f>
        <v>5704</v>
      </c>
      <c r="AA11" s="47">
        <f>RR!$X$61</f>
        <v>1169</v>
      </c>
      <c r="AC11" s="47">
        <f>RR!$X$63</f>
        <v>1302</v>
      </c>
      <c r="AE11" s="47">
        <f>RR!$X$64</f>
        <v>754</v>
      </c>
      <c r="AG11" s="47">
        <f>RR!$X$66</f>
        <v>85096</v>
      </c>
      <c r="AI11" s="47">
        <f>RR!$X$67</f>
        <v>21765</v>
      </c>
      <c r="AK11" s="47">
        <f t="shared" si="8"/>
        <v>239744</v>
      </c>
      <c r="AM11" t="str">
        <f>IF((AK11=RR!$X$70),"ok","erro")</f>
        <v>ok</v>
      </c>
    </row>
    <row r="12" spans="1:39">
      <c r="A12" s="45" t="s">
        <v>27</v>
      </c>
      <c r="C12" s="47">
        <f>TO!$U$56</f>
        <v>5467.3276644529715</v>
      </c>
      <c r="D12" s="47">
        <f>TO!$U$57</f>
        <v>3.6723355470285242</v>
      </c>
      <c r="E12" s="47">
        <f>TO!$U$58</f>
        <v>0</v>
      </c>
      <c r="F12" s="48">
        <f t="shared" si="16"/>
        <v>5471</v>
      </c>
      <c r="H12" s="47">
        <f>TO!$U$60</f>
        <v>230477.57214902641</v>
      </c>
      <c r="I12" s="47">
        <f>TO!$U$61</f>
        <v>11019</v>
      </c>
      <c r="J12" s="47">
        <f>TO!$U$62</f>
        <v>324</v>
      </c>
      <c r="K12" s="47">
        <f>TO!$U$63</f>
        <v>162.42785097358865</v>
      </c>
      <c r="L12" s="47">
        <f>TO!$U$64</f>
        <v>0</v>
      </c>
      <c r="M12" s="48">
        <f t="shared" si="17"/>
        <v>241983</v>
      </c>
      <c r="O12" s="47">
        <f>TO!$U$66</f>
        <v>38079.040207086669</v>
      </c>
      <c r="P12" s="47">
        <f>TO!$U$67</f>
        <v>51.329464317532256</v>
      </c>
      <c r="Q12" s="47">
        <f>TO!$U$68</f>
        <v>38339.630328595798</v>
      </c>
      <c r="R12" s="48">
        <f t="shared" si="18"/>
        <v>76470</v>
      </c>
      <c r="T12" s="47">
        <f>TO!$X$56</f>
        <v>6357.9597929133324</v>
      </c>
      <c r="U12" s="47">
        <f>TO!$X$57</f>
        <v>8.5703491618460248</v>
      </c>
      <c r="V12" s="47">
        <f>TO!$X$58</f>
        <v>6401.4698579248216</v>
      </c>
      <c r="W12" s="48">
        <f t="shared" si="19"/>
        <v>12768</v>
      </c>
      <c r="Y12" s="47">
        <f>TO!$X$60</f>
        <v>23487</v>
      </c>
      <c r="AA12" s="47">
        <f>TO!$X$61</f>
        <v>6996</v>
      </c>
      <c r="AC12" s="47">
        <f>TO!$X$63</f>
        <v>6226</v>
      </c>
      <c r="AE12" s="47">
        <f>TO!$X$64</f>
        <v>1707</v>
      </c>
      <c r="AG12" s="47">
        <f>TO!$X$66</f>
        <v>250975</v>
      </c>
      <c r="AI12" s="47">
        <f>TO!$X$67</f>
        <v>104379</v>
      </c>
      <c r="AK12" s="47">
        <f t="shared" si="8"/>
        <v>730462</v>
      </c>
      <c r="AM12" t="str">
        <f>IF((AK12=TO!$X$70),"ok","erro")</f>
        <v>ok</v>
      </c>
    </row>
    <row r="13" spans="1:39">
      <c r="A13" s="44" t="s">
        <v>28</v>
      </c>
      <c r="C13" s="48">
        <f>SUM(C14:C22)</f>
        <v>183803.53794625498</v>
      </c>
      <c r="D13" s="48">
        <f t="shared" ref="D13:AI13" si="20">SUM(D14:D22)</f>
        <v>163.61732351956834</v>
      </c>
      <c r="E13" s="48">
        <f t="shared" ref="E13" si="21">SUM(E14:E22)</f>
        <v>5037.8447302254572</v>
      </c>
      <c r="F13" s="48">
        <f t="shared" si="16"/>
        <v>189005</v>
      </c>
      <c r="H13" s="48">
        <f>SUM(H14:H22)</f>
        <v>6829265.302960976</v>
      </c>
      <c r="I13" s="48">
        <f t="shared" si="20"/>
        <v>390535</v>
      </c>
      <c r="J13" s="48">
        <f t="shared" si="20"/>
        <v>318867</v>
      </c>
      <c r="K13" s="48">
        <f t="shared" ref="K13:L13" si="22">SUM(K14:K22)</f>
        <v>6707.6970390251372</v>
      </c>
      <c r="L13" s="48">
        <f t="shared" si="22"/>
        <v>0</v>
      </c>
      <c r="M13" s="48">
        <f t="shared" si="17"/>
        <v>7545375.0000000009</v>
      </c>
      <c r="O13" s="48">
        <f t="shared" si="20"/>
        <v>536886.05482516903</v>
      </c>
      <c r="P13" s="48">
        <f t="shared" si="20"/>
        <v>1237.660036618945</v>
      </c>
      <c r="Q13" s="48">
        <f t="shared" ref="Q13" si="23">SUM(Q14:Q22)</f>
        <v>845121.28513821203</v>
      </c>
      <c r="R13" s="48">
        <f t="shared" si="18"/>
        <v>1383245</v>
      </c>
      <c r="T13" s="48">
        <f t="shared" si="20"/>
        <v>170669.94517483102</v>
      </c>
      <c r="U13" s="48">
        <f t="shared" si="20"/>
        <v>407.02560083626668</v>
      </c>
      <c r="V13" s="48">
        <f t="shared" ref="V13" si="24">SUM(V14:V22)</f>
        <v>282764.02922433271</v>
      </c>
      <c r="W13" s="48">
        <f t="shared" si="19"/>
        <v>453841</v>
      </c>
      <c r="Y13" s="48">
        <f t="shared" ref="Y13" si="25">SUM(Y14:Y22)</f>
        <v>493664</v>
      </c>
      <c r="AA13" s="48">
        <f t="shared" si="20"/>
        <v>73185</v>
      </c>
      <c r="AC13" s="48">
        <f t="shared" ref="AC13" si="26">SUM(AC14:AC22)</f>
        <v>134771</v>
      </c>
      <c r="AE13" s="48">
        <f t="shared" si="20"/>
        <v>96343</v>
      </c>
      <c r="AG13" s="48">
        <f t="shared" ref="AG13" si="27">SUM(AG14:AG22)</f>
        <v>7227470</v>
      </c>
      <c r="AI13" s="48">
        <f t="shared" si="20"/>
        <v>1082431</v>
      </c>
      <c r="AK13" s="48">
        <f t="shared" si="8"/>
        <v>18679330</v>
      </c>
    </row>
    <row r="14" spans="1:39">
      <c r="A14" s="45" t="s">
        <v>29</v>
      </c>
      <c r="C14" s="47">
        <f>AL!$U$56</f>
        <v>8534.8922591029186</v>
      </c>
      <c r="D14" s="47">
        <f>AL!$U$57</f>
        <v>7.1077408970813849</v>
      </c>
      <c r="E14" s="47">
        <f>AL!$U$58</f>
        <v>0</v>
      </c>
      <c r="F14" s="48">
        <f t="shared" si="16"/>
        <v>8542</v>
      </c>
      <c r="H14" s="47">
        <f>AL!$U$60</f>
        <v>350184.43495399191</v>
      </c>
      <c r="I14" s="47">
        <f>AL!$U$61</f>
        <v>24262</v>
      </c>
      <c r="J14" s="47">
        <f>AL!$U$62</f>
        <v>23693</v>
      </c>
      <c r="K14" s="47">
        <f>AL!$U$63</f>
        <v>331.56504600809421</v>
      </c>
      <c r="L14" s="47">
        <f>AL!$U$64</f>
        <v>0</v>
      </c>
      <c r="M14" s="48">
        <f t="shared" si="17"/>
        <v>398471</v>
      </c>
      <c r="O14" s="47">
        <f>AL!$U$66</f>
        <v>22415.901704976877</v>
      </c>
      <c r="P14" s="47">
        <f>AL!$U$67</f>
        <v>51.857718120802019</v>
      </c>
      <c r="Q14" s="47">
        <f>AL!$U$68</f>
        <v>39854.240576902317</v>
      </c>
      <c r="R14" s="48">
        <f t="shared" si="18"/>
        <v>62322</v>
      </c>
      <c r="T14" s="47">
        <f>AL!$X$56</f>
        <v>8848.0982950231246</v>
      </c>
      <c r="U14" s="47">
        <f>AL!$X$57</f>
        <v>20.469494974033296</v>
      </c>
      <c r="V14" s="47">
        <f>AL!$X$58</f>
        <v>15731.432210002842</v>
      </c>
      <c r="W14" s="48">
        <f t="shared" si="19"/>
        <v>24600</v>
      </c>
      <c r="Y14" s="47">
        <f>AL!$X$60</f>
        <v>23311</v>
      </c>
      <c r="AA14" s="47">
        <f>AL!$X$61</f>
        <v>2925</v>
      </c>
      <c r="AC14" s="47">
        <f>AL!$X$63</f>
        <v>8883</v>
      </c>
      <c r="AE14" s="47">
        <f>AL!$X$64</f>
        <v>7188</v>
      </c>
      <c r="AG14" s="47">
        <f>AL!$X$66</f>
        <v>332856</v>
      </c>
      <c r="AI14" s="47">
        <f>AL!$X$67</f>
        <v>46900</v>
      </c>
      <c r="AK14" s="47">
        <f t="shared" si="8"/>
        <v>915998</v>
      </c>
      <c r="AM14" t="str">
        <f>IF((AK14=AL!$X$70),"ok","erro")</f>
        <v>ok</v>
      </c>
    </row>
    <row r="15" spans="1:39">
      <c r="A15" s="45" t="s">
        <v>30</v>
      </c>
      <c r="C15" s="47">
        <f>BA!$U$56</f>
        <v>38508.76888921974</v>
      </c>
      <c r="D15" s="47">
        <f>BA!$U$57</f>
        <v>35.438376033569511</v>
      </c>
      <c r="E15" s="47">
        <f>BA!$U$58</f>
        <v>1542.7927347466903</v>
      </c>
      <c r="F15" s="48">
        <f t="shared" si="16"/>
        <v>40087</v>
      </c>
      <c r="H15" s="47">
        <f>BA!$U$60</f>
        <v>1847602.4434310773</v>
      </c>
      <c r="I15" s="47">
        <f>BA!$U$61</f>
        <v>100590</v>
      </c>
      <c r="J15" s="47">
        <f>BA!$U$62</f>
        <v>65278</v>
      </c>
      <c r="K15" s="47">
        <f>BA!$U$63</f>
        <v>1781.5565689227078</v>
      </c>
      <c r="L15" s="47">
        <f>BA!$U$64</f>
        <v>0</v>
      </c>
      <c r="M15" s="48">
        <f t="shared" si="17"/>
        <v>2015252</v>
      </c>
      <c r="O15" s="47">
        <f>BA!$U$66</f>
        <v>127913.52123866536</v>
      </c>
      <c r="P15" s="47">
        <f>BA!$U$67</f>
        <v>364.68632311903639</v>
      </c>
      <c r="Q15" s="47">
        <f>BA!$U$68</f>
        <v>284245.79243821558</v>
      </c>
      <c r="R15" s="48">
        <f t="shared" si="18"/>
        <v>412524</v>
      </c>
      <c r="T15" s="47">
        <f>BA!$X$56</f>
        <v>41149.47876133462</v>
      </c>
      <c r="U15" s="47">
        <f>BA!$X$57</f>
        <v>117.31873192463536</v>
      </c>
      <c r="V15" s="47">
        <f>BA!$X$58</f>
        <v>91441.202506740752</v>
      </c>
      <c r="W15" s="48">
        <f t="shared" si="19"/>
        <v>132708</v>
      </c>
      <c r="Y15" s="47">
        <f>BA!$X$60</f>
        <v>127708</v>
      </c>
      <c r="AA15" s="47">
        <f>BA!$X$61</f>
        <v>25749</v>
      </c>
      <c r="AC15" s="47">
        <f>BA!$X$63</f>
        <v>43107</v>
      </c>
      <c r="AE15" s="47">
        <f>BA!$X$64</f>
        <v>31461</v>
      </c>
      <c r="AG15" s="47">
        <f>BA!$X$66</f>
        <v>1423701</v>
      </c>
      <c r="AI15" s="47">
        <f>BA!$X$67</f>
        <v>227112</v>
      </c>
      <c r="AK15" s="47">
        <f t="shared" si="8"/>
        <v>4479409</v>
      </c>
      <c r="AM15" t="str">
        <f>IF((AK15=BA!$X$70),"ok","erro")</f>
        <v>ok</v>
      </c>
    </row>
    <row r="16" spans="1:39">
      <c r="A16" s="45" t="s">
        <v>31</v>
      </c>
      <c r="C16" s="47">
        <f>CE!$U$56</f>
        <v>42927.083166072487</v>
      </c>
      <c r="D16" s="47">
        <f>CE!$U$57</f>
        <v>31.916833927512926</v>
      </c>
      <c r="E16" s="47">
        <f>CE!$U$58</f>
        <v>0</v>
      </c>
      <c r="F16" s="48">
        <f t="shared" si="16"/>
        <v>42959</v>
      </c>
      <c r="H16" s="47">
        <f>CE!$U$60</f>
        <v>1138613.60109852</v>
      </c>
      <c r="I16" s="47">
        <f>CE!$U$61</f>
        <v>61017</v>
      </c>
      <c r="J16" s="47">
        <f>CE!$U$62</f>
        <v>54415</v>
      </c>
      <c r="K16" s="47">
        <f>CE!$U$63</f>
        <v>932.39890148001723</v>
      </c>
      <c r="L16" s="47">
        <f>CE!$U$64</f>
        <v>0</v>
      </c>
      <c r="M16" s="48">
        <f t="shared" si="17"/>
        <v>1254978</v>
      </c>
      <c r="O16" s="47">
        <f>CE!$U$66</f>
        <v>107275.9366488839</v>
      </c>
      <c r="P16" s="47">
        <f>CE!$U$67</f>
        <v>161.79076189445914</v>
      </c>
      <c r="Q16" s="47">
        <f>CE!$U$68</f>
        <v>110327.27258922164</v>
      </c>
      <c r="R16" s="48">
        <f t="shared" si="18"/>
        <v>217765</v>
      </c>
      <c r="T16" s="47">
        <f>CE!$X$56</f>
        <v>33082.0633511161</v>
      </c>
      <c r="U16" s="47">
        <f>CE!$X$57</f>
        <v>49.893502697974327</v>
      </c>
      <c r="V16" s="47">
        <f>CE!$X$58</f>
        <v>34023.043146185926</v>
      </c>
      <c r="W16" s="48">
        <f t="shared" si="19"/>
        <v>67155</v>
      </c>
      <c r="Y16" s="47">
        <f>CE!$X$60</f>
        <v>77268</v>
      </c>
      <c r="AA16" s="47">
        <f>CE!$X$61</f>
        <v>10508</v>
      </c>
      <c r="AC16" s="47">
        <f>CE!$X$63</f>
        <v>18737</v>
      </c>
      <c r="AE16" s="47">
        <f>CE!$X$64</f>
        <v>13050</v>
      </c>
      <c r="AG16" s="47">
        <f>CE!$X$66</f>
        <v>1496684</v>
      </c>
      <c r="AI16" s="47">
        <f>CE!$X$67</f>
        <v>190732</v>
      </c>
      <c r="AK16" s="47">
        <f t="shared" si="8"/>
        <v>3389836</v>
      </c>
      <c r="AM16" t="str">
        <f>IF((AK16=CE!$X$70),"ok","erro")</f>
        <v>ok</v>
      </c>
    </row>
    <row r="17" spans="1:39">
      <c r="A17" s="45" t="s">
        <v>32</v>
      </c>
      <c r="C17" s="47">
        <f>MA!$U$56</f>
        <v>13326.31258043064</v>
      </c>
      <c r="D17" s="47">
        <f>MA!$U$57</f>
        <v>14.687419569359918</v>
      </c>
      <c r="E17" s="47">
        <f>MA!$U$58</f>
        <v>0</v>
      </c>
      <c r="F17" s="48">
        <f t="shared" si="16"/>
        <v>13341</v>
      </c>
      <c r="H17" s="47">
        <f>MA!$U$60</f>
        <v>477143.42603654176</v>
      </c>
      <c r="I17" s="47">
        <f>MA!$U$61</f>
        <v>13917</v>
      </c>
      <c r="J17" s="47">
        <f>MA!$U$62</f>
        <v>325</v>
      </c>
      <c r="K17" s="47">
        <f>MA!$U$63</f>
        <v>541.57396345824236</v>
      </c>
      <c r="L17" s="47">
        <f>MA!$U$64</f>
        <v>0</v>
      </c>
      <c r="M17" s="48">
        <f t="shared" si="17"/>
        <v>491927</v>
      </c>
      <c r="O17" s="47">
        <f>MA!$U$66</f>
        <v>64941.103040834052</v>
      </c>
      <c r="P17" s="47">
        <f>MA!$U$67</f>
        <v>153.75937086690101</v>
      </c>
      <c r="Q17" s="47">
        <f>MA!$U$68</f>
        <v>74569.137588299054</v>
      </c>
      <c r="R17" s="48">
        <f t="shared" si="18"/>
        <v>139664</v>
      </c>
      <c r="T17" s="47">
        <f>MA!$X$56</f>
        <v>12661.896959165944</v>
      </c>
      <c r="U17" s="47">
        <f>MA!$X$57</f>
        <v>29.979246105482162</v>
      </c>
      <c r="V17" s="47">
        <f>MA!$X$58</f>
        <v>14539.123794728574</v>
      </c>
      <c r="W17" s="48">
        <f t="shared" si="19"/>
        <v>27231</v>
      </c>
      <c r="Y17" s="47">
        <f>MA!$X$60</f>
        <v>44680</v>
      </c>
      <c r="AA17" s="47">
        <f>MA!$X$61</f>
        <v>6312</v>
      </c>
      <c r="AC17" s="47">
        <f>MA!$X$63</f>
        <v>10252</v>
      </c>
      <c r="AE17" s="47">
        <f>MA!$X$64</f>
        <v>5460</v>
      </c>
      <c r="AG17" s="47">
        <f>MA!$X$66</f>
        <v>939852</v>
      </c>
      <c r="AI17" s="47">
        <f>MA!$X$67</f>
        <v>182690</v>
      </c>
      <c r="AK17" s="47">
        <f t="shared" si="8"/>
        <v>1861409</v>
      </c>
      <c r="AM17" t="str">
        <f>IF((AK17=MA!$X$70),"ok","erro")</f>
        <v>ok</v>
      </c>
    </row>
    <row r="18" spans="1:39">
      <c r="A18" s="45" t="s">
        <v>33</v>
      </c>
      <c r="C18" s="47">
        <f>PB!$U$56</f>
        <v>16303.951414225781</v>
      </c>
      <c r="D18" s="47">
        <f>PB!$U$57</f>
        <v>13.048585774218736</v>
      </c>
      <c r="E18" s="47">
        <f>PB!$U$58</f>
        <v>0</v>
      </c>
      <c r="F18" s="48">
        <f t="shared" si="16"/>
        <v>16317</v>
      </c>
      <c r="H18" s="47">
        <f>PB!$U$60</f>
        <v>536696.64992734417</v>
      </c>
      <c r="I18" s="47">
        <f>PB!$U$61</f>
        <v>29363</v>
      </c>
      <c r="J18" s="47">
        <f>PB!$U$62</f>
        <v>22883</v>
      </c>
      <c r="K18" s="47">
        <f>PB!$U$63</f>
        <v>471.35007265582681</v>
      </c>
      <c r="L18" s="47">
        <f>PB!$U$64</f>
        <v>0</v>
      </c>
      <c r="M18" s="48">
        <f t="shared" si="17"/>
        <v>589414</v>
      </c>
      <c r="O18" s="47">
        <f>PB!$U$66</f>
        <v>38939.456995230532</v>
      </c>
      <c r="P18" s="47">
        <f>PB!$U$67</f>
        <v>75.610145024606027</v>
      </c>
      <c r="Q18" s="47">
        <f>PB!$U$68</f>
        <v>55533.932859744862</v>
      </c>
      <c r="R18" s="48">
        <f t="shared" si="18"/>
        <v>94549</v>
      </c>
      <c r="T18" s="47">
        <f>PB!$X$56</f>
        <v>12870.543004769475</v>
      </c>
      <c r="U18" s="47">
        <f>PB!$X$57</f>
        <v>24.991196545328421</v>
      </c>
      <c r="V18" s="47">
        <f>PB!$X$58</f>
        <v>18355.465798685196</v>
      </c>
      <c r="W18" s="48">
        <f t="shared" si="19"/>
        <v>31251</v>
      </c>
      <c r="Y18" s="47">
        <f>PB!$X$60</f>
        <v>30382</v>
      </c>
      <c r="AA18" s="47">
        <f>PB!$X$61</f>
        <v>3242</v>
      </c>
      <c r="AC18" s="47">
        <f>PB!$X$63</f>
        <v>8135</v>
      </c>
      <c r="AE18" s="47">
        <f>PB!$X$64</f>
        <v>5296</v>
      </c>
      <c r="AG18" s="47">
        <f>PB!$X$66</f>
        <v>541984</v>
      </c>
      <c r="AI18" s="47">
        <f>PB!$X$67</f>
        <v>76707</v>
      </c>
      <c r="AK18" s="47">
        <f t="shared" si="8"/>
        <v>1397277</v>
      </c>
      <c r="AM18" t="str">
        <f>IF((AK18=PB!$X$70),"ok","erro")</f>
        <v>ok</v>
      </c>
    </row>
    <row r="19" spans="1:39">
      <c r="A19" s="45" t="s">
        <v>34</v>
      </c>
      <c r="C19" s="47">
        <f>PE!$U$56</f>
        <v>27456.604586793197</v>
      </c>
      <c r="D19" s="47">
        <f>PE!$U$57</f>
        <v>30.29457832762273</v>
      </c>
      <c r="E19" s="47">
        <f>PE!$U$58</f>
        <v>737.10083487918018</v>
      </c>
      <c r="F19" s="48">
        <f t="shared" si="16"/>
        <v>28224</v>
      </c>
      <c r="H19" s="47">
        <f>PE!$U$60</f>
        <v>1254983.723382602</v>
      </c>
      <c r="I19" s="47">
        <f>PE!$U$61</f>
        <v>94008</v>
      </c>
      <c r="J19" s="47">
        <f>PE!$U$62</f>
        <v>77955</v>
      </c>
      <c r="K19" s="47">
        <f>PE!$U$63</f>
        <v>1533.2766173980199</v>
      </c>
      <c r="L19" s="47">
        <f>PE!$U$64</f>
        <v>0</v>
      </c>
      <c r="M19" s="48">
        <f t="shared" si="17"/>
        <v>1428480</v>
      </c>
      <c r="O19" s="47">
        <f>PE!$U$66</f>
        <v>66235.213870931679</v>
      </c>
      <c r="P19" s="47">
        <f>PE!$U$67</f>
        <v>220.18740111152874</v>
      </c>
      <c r="Q19" s="47">
        <f>PE!$U$68</f>
        <v>138682.59872795679</v>
      </c>
      <c r="R19" s="48">
        <f t="shared" si="18"/>
        <v>205138</v>
      </c>
      <c r="T19" s="47">
        <f>PE!$X$56</f>
        <v>31958.786129068318</v>
      </c>
      <c r="U19" s="47">
        <f>PE!$X$57</f>
        <v>106.2414031628432</v>
      </c>
      <c r="V19" s="47">
        <f>PE!$X$58</f>
        <v>66914.972467768835</v>
      </c>
      <c r="W19" s="48">
        <f t="shared" si="19"/>
        <v>98980</v>
      </c>
      <c r="Y19" s="47">
        <f>PE!$X$60</f>
        <v>95596</v>
      </c>
      <c r="AA19" s="47">
        <f>PE!$X$61</f>
        <v>13728</v>
      </c>
      <c r="AC19" s="47">
        <f>PE!$X$63</f>
        <v>21239</v>
      </c>
      <c r="AE19" s="47">
        <f>PE!$X$64</f>
        <v>20133</v>
      </c>
      <c r="AG19" s="47">
        <f>PE!$X$66</f>
        <v>1134870</v>
      </c>
      <c r="AI19" s="47">
        <f>PE!$X$67</f>
        <v>127267</v>
      </c>
      <c r="AK19" s="47">
        <f t="shared" si="8"/>
        <v>3173655</v>
      </c>
      <c r="AM19" t="str">
        <f>IF((AK19=PE!$X$70),"ok","erro")</f>
        <v>ok</v>
      </c>
    </row>
    <row r="20" spans="1:39">
      <c r="A20" s="45" t="s">
        <v>35</v>
      </c>
      <c r="C20" s="47">
        <f>PI!$U$56</f>
        <v>10066.352801967891</v>
      </c>
      <c r="D20" s="47">
        <f>PI!$U$57</f>
        <v>9.6471980321093724</v>
      </c>
      <c r="E20" s="47">
        <f>PI!$U$58</f>
        <v>0</v>
      </c>
      <c r="F20" s="48">
        <f t="shared" si="16"/>
        <v>10076</v>
      </c>
      <c r="H20" s="47">
        <f>PI!$U$60</f>
        <v>383549.74729284324</v>
      </c>
      <c r="I20" s="47">
        <f>PI!$U$61</f>
        <v>18650</v>
      </c>
      <c r="J20" s="47">
        <f>PI!$U$62</f>
        <v>835</v>
      </c>
      <c r="K20" s="47">
        <f>PI!$U$63</f>
        <v>386.25270715676015</v>
      </c>
      <c r="L20" s="47">
        <f>PI!$U$64</f>
        <v>0</v>
      </c>
      <c r="M20" s="48">
        <f t="shared" si="17"/>
        <v>403421</v>
      </c>
      <c r="O20" s="47">
        <f>PI!$U$66</f>
        <v>51126.001717018931</v>
      </c>
      <c r="P20" s="47">
        <f>PI!$U$67</f>
        <v>98.750695219496265</v>
      </c>
      <c r="Q20" s="47">
        <f>PI!$U$68</f>
        <v>51915.247587761573</v>
      </c>
      <c r="R20" s="48">
        <f t="shared" si="18"/>
        <v>103140</v>
      </c>
      <c r="T20" s="47">
        <f>PI!$X$56</f>
        <v>9499.9982829810706</v>
      </c>
      <c r="U20" s="47">
        <f>PI!$X$57</f>
        <v>18.349399591639667</v>
      </c>
      <c r="V20" s="47">
        <f>PI!$X$58</f>
        <v>9646.6523174272897</v>
      </c>
      <c r="W20" s="48">
        <f t="shared" si="19"/>
        <v>19165</v>
      </c>
      <c r="Y20" s="47">
        <f>PI!$X$60</f>
        <v>33050</v>
      </c>
      <c r="AA20" s="47">
        <f>PI!$X$61</f>
        <v>3582</v>
      </c>
      <c r="AC20" s="47">
        <f>PI!$X$63</f>
        <v>8821</v>
      </c>
      <c r="AE20" s="47">
        <f>PI!$X$64</f>
        <v>4586</v>
      </c>
      <c r="AG20" s="47">
        <f>PI!$X$66</f>
        <v>604430</v>
      </c>
      <c r="AI20" s="47">
        <f>PI!$X$67</f>
        <v>109192</v>
      </c>
      <c r="AK20" s="47">
        <f t="shared" si="8"/>
        <v>1299463</v>
      </c>
      <c r="AM20" t="str">
        <f>IF((AK20=PI!$X$70),"ok","erro")</f>
        <v>ok</v>
      </c>
    </row>
    <row r="21" spans="1:39">
      <c r="A21" s="45" t="s">
        <v>36</v>
      </c>
      <c r="C21" s="47">
        <f>RN!$U$56</f>
        <v>20077.262822235331</v>
      </c>
      <c r="D21" s="47">
        <f>RN!$U$57</f>
        <v>15.541189297840901</v>
      </c>
      <c r="E21" s="47">
        <f>RN!$U$58</f>
        <v>2642.1959884668286</v>
      </c>
      <c r="F21" s="48">
        <f t="shared" si="16"/>
        <v>22735</v>
      </c>
      <c r="H21" s="47">
        <f>RN!$U$60</f>
        <v>523744.61932602432</v>
      </c>
      <c r="I21" s="47">
        <f>RN!$U$61</f>
        <v>30191</v>
      </c>
      <c r="J21" s="47">
        <f>RN!$U$62</f>
        <v>51842</v>
      </c>
      <c r="K21" s="47">
        <f>RN!$U$63</f>
        <v>414.38067397568375</v>
      </c>
      <c r="L21" s="47">
        <f>RN!$U$64</f>
        <v>0</v>
      </c>
      <c r="M21" s="48">
        <f t="shared" si="17"/>
        <v>606192</v>
      </c>
      <c r="O21" s="47">
        <f>RN!$U$66</f>
        <v>40610.896447683444</v>
      </c>
      <c r="P21" s="47">
        <f>RN!$U$67</f>
        <v>67.798822825527168</v>
      </c>
      <c r="Q21" s="47">
        <f>RN!$U$68</f>
        <v>58503.304729491028</v>
      </c>
      <c r="R21" s="48">
        <f t="shared" si="18"/>
        <v>99182</v>
      </c>
      <c r="T21" s="47">
        <f>RN!$X$56</f>
        <v>13944.103552316546</v>
      </c>
      <c r="U21" s="47">
        <f>RN!$X$57</f>
        <v>23.279313900944544</v>
      </c>
      <c r="V21" s="47">
        <f>RN!$X$58</f>
        <v>20087.617133782507</v>
      </c>
      <c r="W21" s="48">
        <f t="shared" si="19"/>
        <v>34055</v>
      </c>
      <c r="Y21" s="47">
        <f>RN!$X$60</f>
        <v>39032</v>
      </c>
      <c r="AA21" s="47">
        <f>RN!$X$61</f>
        <v>4193</v>
      </c>
      <c r="AC21" s="47">
        <f>RN!$X$63</f>
        <v>7754</v>
      </c>
      <c r="AE21" s="47">
        <f>RN!$X$64</f>
        <v>5547</v>
      </c>
      <c r="AG21" s="47">
        <f>RN!$X$66</f>
        <v>473966</v>
      </c>
      <c r="AI21" s="47">
        <f>RN!$X$67</f>
        <v>69769</v>
      </c>
      <c r="AK21" s="47">
        <f t="shared" si="8"/>
        <v>1362425</v>
      </c>
      <c r="AM21" t="str">
        <f>IF((AK21=RN!$X$70),"ok","erro")</f>
        <v>ok</v>
      </c>
    </row>
    <row r="22" spans="1:39">
      <c r="A22" s="45" t="s">
        <v>37</v>
      </c>
      <c r="C22" s="47">
        <f>SE!$U$56</f>
        <v>6602.309426206989</v>
      </c>
      <c r="D22" s="47">
        <f>SE!$U$57</f>
        <v>5.9354016602528645</v>
      </c>
      <c r="E22" s="47">
        <f>SE!$U$58</f>
        <v>115.75517213275816</v>
      </c>
      <c r="F22" s="48">
        <f t="shared" si="16"/>
        <v>6724</v>
      </c>
      <c r="H22" s="47">
        <f>SE!$U$60</f>
        <v>316746.65751203022</v>
      </c>
      <c r="I22" s="47">
        <f>SE!$U$61</f>
        <v>18537</v>
      </c>
      <c r="J22" s="47">
        <f>SE!$U$62</f>
        <v>21641</v>
      </c>
      <c r="K22" s="47">
        <f>SE!$U$63</f>
        <v>315.342487969785</v>
      </c>
      <c r="L22" s="47">
        <f>SE!$U$64</f>
        <v>0</v>
      </c>
      <c r="M22" s="48">
        <f t="shared" si="17"/>
        <v>357240</v>
      </c>
      <c r="O22" s="47">
        <f>SE!$U$66</f>
        <v>17428.023160944173</v>
      </c>
      <c r="P22" s="47">
        <f>SE!$U$67</f>
        <v>43.218798436588258</v>
      </c>
      <c r="Q22" s="47">
        <f>SE!$U$68</f>
        <v>31489.758040619239</v>
      </c>
      <c r="R22" s="48">
        <f t="shared" si="18"/>
        <v>48961</v>
      </c>
      <c r="T22" s="47">
        <f>SE!$X$56</f>
        <v>6654.9768390558247</v>
      </c>
      <c r="U22" s="47">
        <f>SE!$X$57</f>
        <v>16.503311933385703</v>
      </c>
      <c r="V22" s="47">
        <f>SE!$X$58</f>
        <v>12024.51984901079</v>
      </c>
      <c r="W22" s="48">
        <f t="shared" si="19"/>
        <v>18696</v>
      </c>
      <c r="Y22" s="47">
        <f>SE!$X$60</f>
        <v>22637</v>
      </c>
      <c r="AA22" s="47">
        <f>SE!$X$61</f>
        <v>2946</v>
      </c>
      <c r="AC22" s="47">
        <f>SE!$X$63</f>
        <v>7843</v>
      </c>
      <c r="AE22" s="47">
        <f>SE!$X$64</f>
        <v>3622</v>
      </c>
      <c r="AG22" s="47">
        <f>SE!$X$66</f>
        <v>279127</v>
      </c>
      <c r="AI22" s="47">
        <f>SE!$X$67</f>
        <v>52062</v>
      </c>
      <c r="AK22" s="47">
        <f t="shared" si="8"/>
        <v>799858</v>
      </c>
      <c r="AM22" t="str">
        <f>IF((AK22=SE!X$70),"ok","erro")</f>
        <v>ok</v>
      </c>
    </row>
    <row r="23" spans="1:39">
      <c r="A23" s="46" t="s">
        <v>38</v>
      </c>
      <c r="C23" s="48">
        <f>SUM(C24:C27)</f>
        <v>377002.00329028844</v>
      </c>
      <c r="D23" s="48">
        <f t="shared" ref="D23:AI23" si="28">SUM(D24:D27)</f>
        <v>507.62638460990274</v>
      </c>
      <c r="E23" s="48">
        <f t="shared" ref="E23" si="29">SUM(E24:E27)</f>
        <v>214378.37032510166</v>
      </c>
      <c r="F23" s="48">
        <f t="shared" si="16"/>
        <v>591888</v>
      </c>
      <c r="H23" s="48">
        <f t="shared" si="28"/>
        <v>20268730.996709712</v>
      </c>
      <c r="I23" s="48">
        <f t="shared" si="28"/>
        <v>2629670</v>
      </c>
      <c r="J23" s="48">
        <f t="shared" si="28"/>
        <v>1916553</v>
      </c>
      <c r="K23" s="48">
        <f t="shared" ref="K23:L23" si="30">SUM(K24:K27)</f>
        <v>26601.953166548861</v>
      </c>
      <c r="L23" s="48">
        <f t="shared" si="30"/>
        <v>6937556.0501237381</v>
      </c>
      <c r="M23" s="48">
        <f t="shared" si="17"/>
        <v>31779112</v>
      </c>
      <c r="O23" s="48">
        <f t="shared" si="28"/>
        <v>881436.91523677949</v>
      </c>
      <c r="P23" s="48">
        <f t="shared" si="28"/>
        <v>3141.4178408491134</v>
      </c>
      <c r="Q23" s="48">
        <f t="shared" ref="Q23" si="31">SUM(Q24:Q27)</f>
        <v>2922494.6669223714</v>
      </c>
      <c r="R23" s="48">
        <f t="shared" si="18"/>
        <v>3807073</v>
      </c>
      <c r="T23" s="48">
        <f t="shared" si="28"/>
        <v>473443.08476322034</v>
      </c>
      <c r="U23" s="48">
        <f t="shared" si="28"/>
        <v>1802.0026079932722</v>
      </c>
      <c r="V23" s="48">
        <f t="shared" ref="V23" si="32">SUM(V24:V27)</f>
        <v>1651268.9126287866</v>
      </c>
      <c r="W23" s="48">
        <f t="shared" si="19"/>
        <v>2126514</v>
      </c>
      <c r="Y23" s="48">
        <f t="shared" ref="Y23" si="33">SUM(Y24:Y27)</f>
        <v>1283069</v>
      </c>
      <c r="AA23" s="48">
        <f t="shared" si="28"/>
        <v>323781</v>
      </c>
      <c r="AC23" s="48">
        <f t="shared" ref="AC23" si="34">SUM(AC24:AC27)</f>
        <v>313064</v>
      </c>
      <c r="AE23" s="48">
        <f t="shared" si="28"/>
        <v>225785</v>
      </c>
      <c r="AG23" s="48">
        <f t="shared" ref="AG23" si="35">SUM(AG24:AG27)</f>
        <v>9288967</v>
      </c>
      <c r="AI23" s="48">
        <f t="shared" si="28"/>
        <v>1686553</v>
      </c>
      <c r="AK23" s="48">
        <f t="shared" si="8"/>
        <v>51425806</v>
      </c>
    </row>
    <row r="24" spans="1:39">
      <c r="A24" s="45" t="s">
        <v>39</v>
      </c>
      <c r="C24" s="47">
        <f>ES!$U$56</f>
        <v>21589.079484043836</v>
      </c>
      <c r="D24" s="47">
        <f>ES!$U$57</f>
        <v>31.777484140155138</v>
      </c>
      <c r="E24" s="47">
        <f>ES!$U$58</f>
        <v>4376.1430318160092</v>
      </c>
      <c r="F24" s="48">
        <f t="shared" si="16"/>
        <v>25997</v>
      </c>
      <c r="H24" s="47">
        <f>ES!$U$60</f>
        <v>859851.92051595612</v>
      </c>
      <c r="I24" s="47">
        <f>ES!$U$61</f>
        <v>53337</v>
      </c>
      <c r="J24" s="47">
        <f>ES!$U$62</f>
        <v>40432</v>
      </c>
      <c r="K24" s="47">
        <f>ES!$U$63</f>
        <v>1265.6366746562999</v>
      </c>
      <c r="L24" s="47">
        <f>ES!$U$64</f>
        <v>80524.442809387576</v>
      </c>
      <c r="M24" s="48">
        <f t="shared" si="17"/>
        <v>1035411</v>
      </c>
      <c r="O24" s="47">
        <f>ES!$U$66</f>
        <v>68071.773445387327</v>
      </c>
      <c r="P24" s="47">
        <f>ES!$U$67</f>
        <v>233.37754969645175</v>
      </c>
      <c r="Q24" s="47">
        <f>ES!$U$68</f>
        <v>122619.84900491622</v>
      </c>
      <c r="R24" s="48">
        <f t="shared" si="18"/>
        <v>190925</v>
      </c>
      <c r="T24" s="47">
        <f>ES!$X$56</f>
        <v>23395.226554612676</v>
      </c>
      <c r="U24" s="47">
        <f>ES!$X$57</f>
        <v>80.20829150704958</v>
      </c>
      <c r="V24" s="47">
        <f>ES!$X$58</f>
        <v>42142.565153880278</v>
      </c>
      <c r="W24" s="48">
        <f t="shared" si="19"/>
        <v>65618</v>
      </c>
      <c r="Y24" s="47">
        <f>ES!$X$60</f>
        <v>77641</v>
      </c>
      <c r="AA24" s="47">
        <f>ES!$X$61</f>
        <v>20351</v>
      </c>
      <c r="AC24" s="47">
        <f>ES!$X$63</f>
        <v>15897</v>
      </c>
      <c r="AE24" s="47">
        <f>ES!$X$64</f>
        <v>8929</v>
      </c>
      <c r="AG24" s="47">
        <f>ES!$X$66</f>
        <v>482046</v>
      </c>
      <c r="AI24" s="47">
        <f>ES!$X$67</f>
        <v>123286</v>
      </c>
      <c r="AK24" s="47">
        <f t="shared" si="8"/>
        <v>2046101</v>
      </c>
      <c r="AM24" t="str">
        <f>IF((AK24=ES!$X$70),"ok","erro")</f>
        <v>ok</v>
      </c>
    </row>
    <row r="25" spans="1:39">
      <c r="A25" s="45" t="s">
        <v>40</v>
      </c>
      <c r="C25" s="47">
        <f>MG!$U$56</f>
        <v>78756.42083160067</v>
      </c>
      <c r="D25" s="47">
        <f>MG!$U$57</f>
        <v>57.195923852093983</v>
      </c>
      <c r="E25" s="47">
        <f>MG!$U$58</f>
        <v>23748.383244547236</v>
      </c>
      <c r="F25" s="48">
        <f t="shared" si="16"/>
        <v>102562</v>
      </c>
      <c r="H25" s="47">
        <f>MG!$U$60</f>
        <v>5139757.5791683998</v>
      </c>
      <c r="I25" s="47">
        <f>MG!$U$61</f>
        <v>436347</v>
      </c>
      <c r="J25" s="47">
        <f>MG!$U$62</f>
        <v>39817</v>
      </c>
      <c r="K25" s="47">
        <f>MG!$U$63</f>
        <v>3732.6884590769187</v>
      </c>
      <c r="L25" s="47">
        <f>MG!$U$64</f>
        <v>1073689.7323725233</v>
      </c>
      <c r="M25" s="48">
        <f t="shared" si="17"/>
        <v>6693344</v>
      </c>
      <c r="O25" s="47">
        <f>MG!$U$66</f>
        <v>277294.27715841978</v>
      </c>
      <c r="P25" s="47">
        <f>MG!$U$67</f>
        <v>603.58312703599222</v>
      </c>
      <c r="Q25" s="47">
        <f>MG!$U$68</f>
        <v>804429.13971454417</v>
      </c>
      <c r="R25" s="48">
        <f t="shared" si="18"/>
        <v>1082327</v>
      </c>
      <c r="T25" s="47">
        <f>MG!$X$56</f>
        <v>98099.72284158018</v>
      </c>
      <c r="U25" s="47">
        <f>MG!$X$57</f>
        <v>213.53249003493693</v>
      </c>
      <c r="V25" s="47">
        <f>MG!$X$58</f>
        <v>284586.7446683849</v>
      </c>
      <c r="W25" s="48">
        <f t="shared" si="19"/>
        <v>382900</v>
      </c>
      <c r="Y25" s="47">
        <f>MG!$X$60</f>
        <v>357062</v>
      </c>
      <c r="AA25" s="47">
        <f>MG!$X$61</f>
        <v>87131</v>
      </c>
      <c r="AC25" s="47">
        <f>MG!$X$63</f>
        <v>84527</v>
      </c>
      <c r="AE25" s="47">
        <f>MG!$X$64</f>
        <v>50066</v>
      </c>
      <c r="AG25" s="47">
        <f>MG!$X$66</f>
        <v>2721372</v>
      </c>
      <c r="AI25" s="47">
        <f>MG!$X$67</f>
        <v>327787</v>
      </c>
      <c r="AK25" s="47">
        <f t="shared" si="8"/>
        <v>11889078</v>
      </c>
      <c r="AM25" t="str">
        <f>IF((AK25=MG!$X$70),"ok","erro")</f>
        <v>ok</v>
      </c>
    </row>
    <row r="26" spans="1:39">
      <c r="A26" s="45" t="s">
        <v>41</v>
      </c>
      <c r="C26" s="47">
        <f>RJ!$U$56</f>
        <v>37538.149349296567</v>
      </c>
      <c r="D26" s="47">
        <f>RJ!$U$57</f>
        <v>58.107866839709459</v>
      </c>
      <c r="E26" s="47">
        <f>RJ!$U$58</f>
        <v>43841.742783863723</v>
      </c>
      <c r="F26" s="48">
        <f t="shared" si="16"/>
        <v>81438</v>
      </c>
      <c r="H26" s="47">
        <f>RJ!$U$60</f>
        <v>2203792.8506507031</v>
      </c>
      <c r="I26" s="47">
        <f>RJ!$U$61</f>
        <v>308120</v>
      </c>
      <c r="J26" s="47">
        <f>RJ!$U$62</f>
        <v>1550669</v>
      </c>
      <c r="K26" s="47">
        <f>RJ!$U$63</f>
        <v>3411.4015668788925</v>
      </c>
      <c r="L26" s="47">
        <f>RJ!$U$64</f>
        <v>715075.74778241804</v>
      </c>
      <c r="M26" s="48">
        <f t="shared" si="17"/>
        <v>4781069</v>
      </c>
      <c r="O26" s="47">
        <f>RJ!$U$66</f>
        <v>67715.025618268774</v>
      </c>
      <c r="P26" s="47">
        <f>RJ!$U$67</f>
        <v>271.49184401845559</v>
      </c>
      <c r="Q26" s="47">
        <f>RJ!$U$68</f>
        <v>312508.48253771279</v>
      </c>
      <c r="R26" s="48">
        <f t="shared" si="18"/>
        <v>380495</v>
      </c>
      <c r="T26" s="47">
        <f>RJ!$X$56</f>
        <v>58612.974381731226</v>
      </c>
      <c r="U26" s="47">
        <f>RJ!$X$57</f>
        <v>234.99872226302978</v>
      </c>
      <c r="V26" s="47">
        <f>RJ!$X$58</f>
        <v>270502.02689600573</v>
      </c>
      <c r="W26" s="48">
        <f t="shared" si="19"/>
        <v>329350</v>
      </c>
      <c r="Y26" s="47">
        <f>RJ!$X$60</f>
        <v>147609</v>
      </c>
      <c r="AA26" s="47">
        <f>RJ!$X$61</f>
        <v>18564</v>
      </c>
      <c r="AC26" s="47">
        <f>RJ!$X$63</f>
        <v>43466</v>
      </c>
      <c r="AE26" s="47">
        <f>RJ!$X$64</f>
        <v>40570</v>
      </c>
      <c r="AG26" s="47">
        <f>RJ!$X$66</f>
        <v>1048258</v>
      </c>
      <c r="AI26" s="47">
        <f>RJ!$X$67</f>
        <v>194810</v>
      </c>
      <c r="AK26" s="47">
        <f t="shared" si="8"/>
        <v>7065629</v>
      </c>
      <c r="AM26" t="str">
        <f>IF((AK26=RJ!$X$70),"ok","erro")</f>
        <v>ok</v>
      </c>
    </row>
    <row r="27" spans="1:39">
      <c r="A27" s="45" t="s">
        <v>42</v>
      </c>
      <c r="C27" s="47">
        <f>SP!$U$56</f>
        <v>239118.35362534737</v>
      </c>
      <c r="D27" s="47">
        <f>SP!$U$57</f>
        <v>360.54510977794416</v>
      </c>
      <c r="E27" s="47">
        <f>SP!$U$58</f>
        <v>142412.10126487468</v>
      </c>
      <c r="F27" s="48">
        <f t="shared" si="16"/>
        <v>381891</v>
      </c>
      <c r="H27" s="47">
        <f>SP!$U$60</f>
        <v>12065328.646374654</v>
      </c>
      <c r="I27" s="47">
        <f>SP!$U$61</f>
        <v>1831866</v>
      </c>
      <c r="J27" s="47">
        <f>SP!$U$62</f>
        <v>285635</v>
      </c>
      <c r="K27" s="47">
        <f>SP!$U$63</f>
        <v>18192.22646593675</v>
      </c>
      <c r="L27" s="47">
        <f>SP!$U$64</f>
        <v>5068266.1271594092</v>
      </c>
      <c r="M27" s="48">
        <f t="shared" si="17"/>
        <v>19269288</v>
      </c>
      <c r="O27" s="47">
        <f>SP!$U$66</f>
        <v>468355.8390147037</v>
      </c>
      <c r="P27" s="47">
        <f>SP!$U$67</f>
        <v>2032.9653200982139</v>
      </c>
      <c r="Q27" s="47">
        <f>SP!$U$68</f>
        <v>1682937.1956651981</v>
      </c>
      <c r="R27" s="48">
        <f t="shared" si="18"/>
        <v>2153326</v>
      </c>
      <c r="T27" s="47">
        <f>SP!$X$56</f>
        <v>293335.16098529624</v>
      </c>
      <c r="U27" s="47">
        <f>SP!$X$57</f>
        <v>1273.263104188256</v>
      </c>
      <c r="V27" s="47">
        <f>SP!$X$58</f>
        <v>1054037.5759105156</v>
      </c>
      <c r="W27" s="48">
        <f t="shared" si="19"/>
        <v>1348646</v>
      </c>
      <c r="Y27" s="47">
        <f>SP!$X$60</f>
        <v>700757</v>
      </c>
      <c r="AA27" s="47">
        <f>SP!$X$61</f>
        <v>197735</v>
      </c>
      <c r="AC27" s="47">
        <f>SP!$X$63</f>
        <v>169174</v>
      </c>
      <c r="AE27" s="47">
        <f>SP!$X$64</f>
        <v>126220</v>
      </c>
      <c r="AG27" s="47">
        <f>SP!$X$66</f>
        <v>5037291</v>
      </c>
      <c r="AI27" s="47">
        <f>SP!$X$67</f>
        <v>1040670</v>
      </c>
      <c r="AK27" s="47">
        <f t="shared" si="8"/>
        <v>30424998</v>
      </c>
      <c r="AM27" t="str">
        <f>IF((AK27=SP!$X$70),"ok","erro")</f>
        <v>ok</v>
      </c>
    </row>
    <row r="28" spans="1:39">
      <c r="A28" s="44" t="s">
        <v>43</v>
      </c>
      <c r="C28" s="48">
        <f>SUM(C29:C31)</f>
        <v>169057.65945190826</v>
      </c>
      <c r="D28" s="48">
        <f t="shared" ref="D28:AI28" si="36">SUM(D29:D31)</f>
        <v>211.26536504419346</v>
      </c>
      <c r="E28" s="48">
        <f t="shared" ref="E28" si="37">SUM(E29:E31)</f>
        <v>95975.075183047549</v>
      </c>
      <c r="F28" s="48">
        <f t="shared" si="16"/>
        <v>265244</v>
      </c>
      <c r="H28" s="48">
        <f t="shared" si="36"/>
        <v>7852098.3405480925</v>
      </c>
      <c r="I28" s="48">
        <f t="shared" si="36"/>
        <v>747448</v>
      </c>
      <c r="J28" s="48">
        <f t="shared" si="36"/>
        <v>241141</v>
      </c>
      <c r="K28" s="48">
        <f t="shared" ref="K28:L28" si="38">SUM(K29:K31)</f>
        <v>9560.8598103090189</v>
      </c>
      <c r="L28" s="48">
        <f t="shared" si="38"/>
        <v>3684138.7996415989</v>
      </c>
      <c r="M28" s="48">
        <f t="shared" si="17"/>
        <v>12534387</v>
      </c>
      <c r="O28" s="48">
        <f t="shared" si="36"/>
        <v>574297.21778340824</v>
      </c>
      <c r="P28" s="48">
        <f t="shared" si="36"/>
        <v>1368.0506918016472</v>
      </c>
      <c r="Q28" s="48">
        <f t="shared" ref="Q28" si="39">SUM(Q29:Q31)</f>
        <v>1212602.7315247902</v>
      </c>
      <c r="R28" s="48">
        <f t="shared" si="18"/>
        <v>1788268</v>
      </c>
      <c r="T28" s="48">
        <f t="shared" si="36"/>
        <v>260892.78221659179</v>
      </c>
      <c r="U28" s="48">
        <f t="shared" si="36"/>
        <v>623.82413284579525</v>
      </c>
      <c r="V28" s="48">
        <f t="shared" ref="V28" si="40">SUM(V29:V31)</f>
        <v>549450.39365056239</v>
      </c>
      <c r="W28" s="48">
        <f t="shared" si="19"/>
        <v>810967</v>
      </c>
      <c r="Y28" s="48">
        <f t="shared" ref="Y28" si="41">SUM(Y29:Y31)</f>
        <v>691603</v>
      </c>
      <c r="AA28" s="48">
        <f t="shared" si="36"/>
        <v>233805</v>
      </c>
      <c r="AC28" s="48">
        <f t="shared" ref="AC28" si="42">SUM(AC29:AC31)</f>
        <v>111521</v>
      </c>
      <c r="AE28" s="48">
        <f t="shared" si="36"/>
        <v>60417</v>
      </c>
      <c r="AG28" s="48">
        <f t="shared" ref="AG28" si="43">SUM(AG29:AG31)</f>
        <v>3329606</v>
      </c>
      <c r="AI28" s="48">
        <f t="shared" si="36"/>
        <v>828467</v>
      </c>
      <c r="AK28" s="48">
        <f t="shared" si="8"/>
        <v>20654285</v>
      </c>
    </row>
    <row r="29" spans="1:39">
      <c r="A29" s="45" t="s">
        <v>44</v>
      </c>
      <c r="C29" s="47">
        <f>PR!$U$56</f>
        <v>53703.106213797502</v>
      </c>
      <c r="D29" s="47">
        <f>PR!$U$57</f>
        <v>61.324555752318702</v>
      </c>
      <c r="E29" s="47">
        <f>PR!$U$58</f>
        <v>31143.569230450179</v>
      </c>
      <c r="F29" s="48">
        <f t="shared" si="16"/>
        <v>84908</v>
      </c>
      <c r="H29" s="47">
        <f>PR!$U$60</f>
        <v>3010125.8937862022</v>
      </c>
      <c r="I29" s="47">
        <f>PR!$U$61</f>
        <v>418302</v>
      </c>
      <c r="J29" s="47">
        <f>PR!$U$62</f>
        <v>41460</v>
      </c>
      <c r="K29" s="47">
        <f>PR!$U$63</f>
        <v>3437.3176192101091</v>
      </c>
      <c r="L29" s="47">
        <f>PR!$U$64</f>
        <v>1285873.7885945877</v>
      </c>
      <c r="M29" s="48">
        <f t="shared" si="17"/>
        <v>4759199</v>
      </c>
      <c r="O29" s="47">
        <f>PR!$U$66</f>
        <v>232970.72439321931</v>
      </c>
      <c r="P29" s="47">
        <f>PR!$U$67</f>
        <v>531.53991119319107</v>
      </c>
      <c r="Q29" s="47">
        <f>PR!$U$68</f>
        <v>502450.73569558747</v>
      </c>
      <c r="R29" s="48">
        <f t="shared" si="18"/>
        <v>735953</v>
      </c>
      <c r="T29" s="47">
        <f>PR!$X$56</f>
        <v>88017.275606780691</v>
      </c>
      <c r="U29" s="47">
        <f>PR!$X$57</f>
        <v>200.81791384448297</v>
      </c>
      <c r="V29" s="47">
        <f>PR!$X$58</f>
        <v>189827.90647937483</v>
      </c>
      <c r="W29" s="48">
        <f t="shared" si="19"/>
        <v>278046</v>
      </c>
      <c r="Y29" s="47">
        <f>PR!$X$60</f>
        <v>286261</v>
      </c>
      <c r="AA29" s="47">
        <f>PR!$X$61</f>
        <v>103176</v>
      </c>
      <c r="AC29" s="47">
        <f>PR!$X$63</f>
        <v>47402</v>
      </c>
      <c r="AE29" s="47">
        <f>PR!$X$64</f>
        <v>24890</v>
      </c>
      <c r="AG29" s="47">
        <f>PR!$X$66</f>
        <v>1256032</v>
      </c>
      <c r="AI29" s="47">
        <f>PR!$X$67</f>
        <v>327473</v>
      </c>
      <c r="AK29" s="47">
        <f t="shared" si="8"/>
        <v>7903340</v>
      </c>
      <c r="AM29" t="str">
        <f>IF((AK29=PR!$X$70),"ok","erro")</f>
        <v>ok</v>
      </c>
    </row>
    <row r="30" spans="1:39">
      <c r="A30" s="45" t="s">
        <v>45</v>
      </c>
      <c r="C30" s="47">
        <f>RS!$U$56</f>
        <v>48200.744321556129</v>
      </c>
      <c r="D30" s="47">
        <f>RS!$U$57</f>
        <v>53.911213394923834</v>
      </c>
      <c r="E30" s="47">
        <f>RS!$U$58</f>
        <v>37661.344465048947</v>
      </c>
      <c r="F30" s="48">
        <f t="shared" si="16"/>
        <v>85916</v>
      </c>
      <c r="H30" s="47">
        <f>RS!$U$60</f>
        <v>2569490.2556784442</v>
      </c>
      <c r="I30" s="47">
        <f>RS!$U$61</f>
        <v>196191</v>
      </c>
      <c r="J30" s="47">
        <f>RS!$U$62</f>
        <v>87775</v>
      </c>
      <c r="K30" s="47">
        <f>RS!$U$63</f>
        <v>2873.9045307254419</v>
      </c>
      <c r="L30" s="47">
        <f>RS!$U$64</f>
        <v>1723688.8397908304</v>
      </c>
      <c r="M30" s="48">
        <f t="shared" si="17"/>
        <v>4580019</v>
      </c>
      <c r="O30" s="47">
        <f>RS!$U$66</f>
        <v>197586.1332492537</v>
      </c>
      <c r="P30" s="47">
        <f>RS!$U$67</f>
        <v>376.50440372002777</v>
      </c>
      <c r="Q30" s="47">
        <f>RS!$U$68</f>
        <v>402056.36234702624</v>
      </c>
      <c r="R30" s="48">
        <f t="shared" si="18"/>
        <v>600019</v>
      </c>
      <c r="T30" s="47">
        <f>RS!$X$56</f>
        <v>100591.8667507463</v>
      </c>
      <c r="U30" s="47">
        <f>RS!$X$57</f>
        <v>191.67985215992667</v>
      </c>
      <c r="V30" s="47">
        <f>RS!$X$58</f>
        <v>204688.45339709378</v>
      </c>
      <c r="W30" s="48">
        <f t="shared" si="19"/>
        <v>305472</v>
      </c>
      <c r="Y30" s="47">
        <f>RS!$X$60</f>
        <v>243004</v>
      </c>
      <c r="AA30" s="47">
        <f>RS!$X$61</f>
        <v>67887</v>
      </c>
      <c r="AC30" s="47">
        <f>RS!$X$63</f>
        <v>42636</v>
      </c>
      <c r="AE30" s="47">
        <f>RS!$X$64</f>
        <v>22139</v>
      </c>
      <c r="AG30" s="47">
        <f>RS!$X$66</f>
        <v>1140717</v>
      </c>
      <c r="AI30" s="47">
        <f>RS!$X$67</f>
        <v>204473</v>
      </c>
      <c r="AK30" s="47">
        <f t="shared" si="8"/>
        <v>7292282</v>
      </c>
      <c r="AM30" t="str">
        <f>IF((AK30=RS!$X$70),"ok","erro")</f>
        <v>ok</v>
      </c>
    </row>
    <row r="31" spans="1:39">
      <c r="A31" s="45" t="s">
        <v>46</v>
      </c>
      <c r="C31" s="47">
        <f>SC!$U$56</f>
        <v>67153.808916554626</v>
      </c>
      <c r="D31" s="47">
        <f>SC!$U$57</f>
        <v>96.029595896950923</v>
      </c>
      <c r="E31" s="47">
        <f>SC!$U$58</f>
        <v>27170.161487548423</v>
      </c>
      <c r="F31" s="48">
        <f t="shared" si="16"/>
        <v>94420</v>
      </c>
      <c r="H31" s="47">
        <f>SC!$U$60</f>
        <v>2272482.1910834457</v>
      </c>
      <c r="I31" s="47">
        <f>SC!$U$61</f>
        <v>132955</v>
      </c>
      <c r="J31" s="47">
        <f>SC!$U$62</f>
        <v>111906</v>
      </c>
      <c r="K31" s="47">
        <f>SC!$U$63</f>
        <v>3249.637660373468</v>
      </c>
      <c r="L31" s="47">
        <f>SC!$U$64</f>
        <v>674576.17125618085</v>
      </c>
      <c r="M31" s="48">
        <f t="shared" si="17"/>
        <v>3195169</v>
      </c>
      <c r="O31" s="47">
        <f>SC!$U$66</f>
        <v>143740.3601409352</v>
      </c>
      <c r="P31" s="47">
        <f>SC!$U$67</f>
        <v>460.00637688842835</v>
      </c>
      <c r="Q31" s="47">
        <f>SC!$U$68</f>
        <v>308095.63348217634</v>
      </c>
      <c r="R31" s="48">
        <f t="shared" si="18"/>
        <v>452296</v>
      </c>
      <c r="T31" s="47">
        <f>SC!$X$56</f>
        <v>72283.639859064802</v>
      </c>
      <c r="U31" s="47">
        <f>SC!$X$57</f>
        <v>231.32636684138561</v>
      </c>
      <c r="V31" s="47">
        <f>SC!$X$58</f>
        <v>154934.03377409381</v>
      </c>
      <c r="W31" s="48">
        <f t="shared" si="19"/>
        <v>227449</v>
      </c>
      <c r="Y31" s="47">
        <f>SC!$X$60</f>
        <v>162338</v>
      </c>
      <c r="AA31" s="47">
        <f>SC!$X$61</f>
        <v>62742</v>
      </c>
      <c r="AC31" s="47">
        <f>SC!$X$63</f>
        <v>21483</v>
      </c>
      <c r="AE31" s="47">
        <f>SC!$X$64</f>
        <v>13388</v>
      </c>
      <c r="AG31" s="47">
        <f>SC!$X$66</f>
        <v>932857</v>
      </c>
      <c r="AI31" s="47">
        <f>SC!$X$67</f>
        <v>296521</v>
      </c>
      <c r="AK31" s="47">
        <f t="shared" si="8"/>
        <v>5458663</v>
      </c>
      <c r="AM31" t="str">
        <f>IF((AK31=SC!$X$70),"ok","erro")</f>
        <v>ok</v>
      </c>
    </row>
    <row r="32" spans="1:39">
      <c r="A32" s="44" t="s">
        <v>47</v>
      </c>
      <c r="C32" s="48">
        <f>SUM(C33:C36)</f>
        <v>95798.413432489862</v>
      </c>
      <c r="D32" s="48">
        <f t="shared" ref="D32:AI32" si="44">SUM(D33:D36)</f>
        <v>126.86736906221995</v>
      </c>
      <c r="E32" s="48">
        <f t="shared" ref="E32" si="45">SUM(E33:E36)</f>
        <v>18717.719198447914</v>
      </c>
      <c r="F32" s="48">
        <f t="shared" si="16"/>
        <v>114643</v>
      </c>
      <c r="H32" s="48">
        <f t="shared" si="44"/>
        <v>4116355.4942449587</v>
      </c>
      <c r="I32" s="48">
        <f t="shared" si="44"/>
        <v>321153</v>
      </c>
      <c r="J32" s="48">
        <f t="shared" si="44"/>
        <v>13072</v>
      </c>
      <c r="K32" s="48">
        <f t="shared" ref="K32:L32" si="46">SUM(K33:K36)</f>
        <v>5269.5395839164266</v>
      </c>
      <c r="L32" s="48">
        <f t="shared" si="46"/>
        <v>542221.96617112483</v>
      </c>
      <c r="M32" s="48">
        <f t="shared" si="17"/>
        <v>4998072.0000000009</v>
      </c>
      <c r="O32" s="48">
        <f t="shared" si="44"/>
        <v>371395.68358433654</v>
      </c>
      <c r="P32" s="48">
        <f t="shared" si="44"/>
        <v>974.46398752072128</v>
      </c>
      <c r="Q32" s="48">
        <f t="shared" ref="Q32" si="47">SUM(Q33:Q36)</f>
        <v>617412.8524281428</v>
      </c>
      <c r="R32" s="48">
        <f t="shared" si="18"/>
        <v>989783</v>
      </c>
      <c r="T32" s="48">
        <f t="shared" si="44"/>
        <v>110337.31641566346</v>
      </c>
      <c r="U32" s="48">
        <f t="shared" si="44"/>
        <v>335.12905950077402</v>
      </c>
      <c r="V32" s="48">
        <f t="shared" ref="V32" si="48">SUM(V33:V36)</f>
        <v>195470.55452483578</v>
      </c>
      <c r="W32" s="48">
        <f t="shared" si="19"/>
        <v>306143</v>
      </c>
      <c r="Y32" s="48">
        <f t="shared" ref="Y32" si="49">SUM(Y33:Y36)</f>
        <v>284256</v>
      </c>
      <c r="AA32" s="48">
        <f t="shared" si="44"/>
        <v>104187</v>
      </c>
      <c r="AC32" s="48">
        <f t="shared" ref="AC32" si="50">SUM(AC33:AC36)</f>
        <v>61937</v>
      </c>
      <c r="AE32" s="48">
        <f t="shared" si="44"/>
        <v>25592</v>
      </c>
      <c r="AG32" s="48">
        <f t="shared" ref="AG32" si="51">SUM(AG33:AG36)</f>
        <v>2226877</v>
      </c>
      <c r="AI32" s="48">
        <f t="shared" si="44"/>
        <v>716108</v>
      </c>
      <c r="AK32" s="48">
        <f t="shared" si="8"/>
        <v>9827598</v>
      </c>
    </row>
    <row r="33" spans="1:39">
      <c r="A33" s="45" t="s">
        <v>48</v>
      </c>
      <c r="C33" s="47">
        <f>DF!$U$56</f>
        <v>27461.748048460275</v>
      </c>
      <c r="D33" s="47">
        <f>DF!$U$57</f>
        <v>59.351100154861342</v>
      </c>
      <c r="E33" s="47">
        <f>DF!$U$58</f>
        <v>8668.9008513848639</v>
      </c>
      <c r="F33" s="48">
        <f t="shared" si="16"/>
        <v>36190</v>
      </c>
      <c r="H33" s="47">
        <f>DF!$U$60</f>
        <v>1038327.2519515398</v>
      </c>
      <c r="I33" s="47">
        <f>DF!$U$61</f>
        <v>58036</v>
      </c>
      <c r="J33" s="47">
        <f>DF!$U$62</f>
        <v>1583</v>
      </c>
      <c r="K33" s="47">
        <f>DF!$U$63</f>
        <v>2244.0619808817282</v>
      </c>
      <c r="L33" s="47">
        <f>DF!$U$64</f>
        <v>268151.6860675785</v>
      </c>
      <c r="M33" s="48">
        <f t="shared" si="17"/>
        <v>1368342</v>
      </c>
      <c r="O33" s="47">
        <f>DF!$U$66</f>
        <v>44324.333800593544</v>
      </c>
      <c r="P33" s="47">
        <f>DF!$U$67</f>
        <v>232.33028335284325</v>
      </c>
      <c r="Q33" s="47">
        <f>DF!$U$68</f>
        <v>97109.33591605362</v>
      </c>
      <c r="R33" s="48">
        <f t="shared" si="18"/>
        <v>141666</v>
      </c>
      <c r="T33" s="47">
        <f>DF!$X$56</f>
        <v>30001.666199406453</v>
      </c>
      <c r="U33" s="47">
        <f>DF!$X$57</f>
        <v>157.25663561065448</v>
      </c>
      <c r="V33" s="47">
        <f>DF!$X$58</f>
        <v>65730.077164982897</v>
      </c>
      <c r="W33" s="48">
        <f t="shared" si="19"/>
        <v>95889</v>
      </c>
      <c r="Y33" s="47">
        <f>DF!$X$60</f>
        <v>25725</v>
      </c>
      <c r="AA33" s="47">
        <f>DF!$X$61</f>
        <v>3968</v>
      </c>
      <c r="AC33" s="47">
        <f>DF!$X$63</f>
        <v>13381</v>
      </c>
      <c r="AE33" s="47">
        <f>DF!$X$64</f>
        <v>6370</v>
      </c>
      <c r="AG33" s="47">
        <f>DF!$X$66</f>
        <v>211898</v>
      </c>
      <c r="AI33" s="47">
        <f>DF!$X$67</f>
        <v>22797</v>
      </c>
      <c r="AK33" s="47">
        <f t="shared" si="8"/>
        <v>1926226</v>
      </c>
      <c r="AM33" t="str">
        <f>IF((AK33=DF!$X$70),"ok","erro")</f>
        <v>ok</v>
      </c>
    </row>
    <row r="34" spans="1:39">
      <c r="A34" s="45" t="s">
        <v>49</v>
      </c>
      <c r="C34" s="47">
        <f>GO!$U$56</f>
        <v>32033.574623329718</v>
      </c>
      <c r="D34" s="47">
        <f>GO!$U$57</f>
        <v>26.230346983589698</v>
      </c>
      <c r="E34" s="47">
        <f>GO!$U$58</f>
        <v>6985.1950296866926</v>
      </c>
      <c r="F34" s="48">
        <f t="shared" si="16"/>
        <v>39045</v>
      </c>
      <c r="H34" s="47">
        <f>GO!$U$60</f>
        <v>1645814.4253766702</v>
      </c>
      <c r="I34" s="47">
        <f>GO!$U$61</f>
        <v>159761</v>
      </c>
      <c r="J34" s="47">
        <f>GO!$U$62</f>
        <v>5025</v>
      </c>
      <c r="K34" s="47">
        <f>GO!$U$63</f>
        <v>1347.6573862221558</v>
      </c>
      <c r="L34" s="47">
        <f>GO!$U$64</f>
        <v>194097.91723710764</v>
      </c>
      <c r="M34" s="48">
        <f t="shared" si="17"/>
        <v>2006046</v>
      </c>
      <c r="O34" s="47">
        <f>GO!$U$66</f>
        <v>142869.81709345637</v>
      </c>
      <c r="P34" s="47">
        <f>GO!$U$67</f>
        <v>271.17926300648833</v>
      </c>
      <c r="Q34" s="47">
        <f>GO!$U$68</f>
        <v>260521.00364353714</v>
      </c>
      <c r="R34" s="48">
        <f t="shared" si="18"/>
        <v>403662</v>
      </c>
      <c r="T34" s="47">
        <f>GO!$X$56</f>
        <v>39478.182906543632</v>
      </c>
      <c r="U34" s="47">
        <f>GO!$X$57</f>
        <v>74.93300378783897</v>
      </c>
      <c r="V34" s="47">
        <f>GO!$X$58</f>
        <v>71987.884089668529</v>
      </c>
      <c r="W34" s="48">
        <f t="shared" si="19"/>
        <v>111541</v>
      </c>
      <c r="Y34" s="47">
        <f>GO!$X$60</f>
        <v>118843</v>
      </c>
      <c r="AA34" s="47">
        <f>GO!$X$61</f>
        <v>36182</v>
      </c>
      <c r="AC34" s="47">
        <f>GO!$X$63</f>
        <v>24635</v>
      </c>
      <c r="AE34" s="47">
        <f>GO!$X$64</f>
        <v>10755</v>
      </c>
      <c r="AG34" s="47">
        <f>GO!$X$66</f>
        <v>939835</v>
      </c>
      <c r="AI34" s="47">
        <f>GO!$X$67</f>
        <v>306458</v>
      </c>
      <c r="AK34" s="47">
        <f t="shared" si="8"/>
        <v>3997002</v>
      </c>
      <c r="AM34" t="str">
        <f>IF((AK34=GO!$X$70),"ok","erro")</f>
        <v>ok</v>
      </c>
    </row>
    <row r="35" spans="1:39">
      <c r="A35" s="45" t="s">
        <v>50</v>
      </c>
      <c r="C35" s="47">
        <f>MT!$U$56</f>
        <v>21802.163889099309</v>
      </c>
      <c r="D35" s="47">
        <f>MT!$U$57</f>
        <v>25.836110900690983</v>
      </c>
      <c r="E35" s="47">
        <f>MT!$U$58</f>
        <v>0</v>
      </c>
      <c r="F35" s="48">
        <f t="shared" si="16"/>
        <v>21828</v>
      </c>
      <c r="H35" s="47">
        <f>MT!$U$60</f>
        <v>771860.74378834933</v>
      </c>
      <c r="I35" s="47">
        <f>MT!$U$61</f>
        <v>48918</v>
      </c>
      <c r="J35" s="47">
        <f>MT!$U$62</f>
        <v>1361</v>
      </c>
      <c r="K35" s="47">
        <f>MT!$U$63</f>
        <v>974.25621165067423</v>
      </c>
      <c r="L35" s="47">
        <f>MT!$U$64</f>
        <v>0</v>
      </c>
      <c r="M35" s="48">
        <f t="shared" si="17"/>
        <v>823114</v>
      </c>
      <c r="O35" s="47">
        <f>MT!$U$66</f>
        <v>110316.51683052036</v>
      </c>
      <c r="P35" s="47">
        <f>MT!$U$67</f>
        <v>312.04548897809582</v>
      </c>
      <c r="Q35" s="47">
        <f>MT!$U$68</f>
        <v>153007.43768050155</v>
      </c>
      <c r="R35" s="48">
        <f t="shared" si="18"/>
        <v>263636</v>
      </c>
      <c r="T35" s="47">
        <f>MT!$X$56</f>
        <v>22223.483169479645</v>
      </c>
      <c r="U35" s="47">
        <f>MT!$X$57</f>
        <v>62.862188470571709</v>
      </c>
      <c r="V35" s="47">
        <f>MT!$X$58</f>
        <v>30823.654642049783</v>
      </c>
      <c r="W35" s="48">
        <f t="shared" si="19"/>
        <v>53110</v>
      </c>
      <c r="Y35" s="47">
        <f>MT!$X$60</f>
        <v>82259</v>
      </c>
      <c r="AA35" s="47">
        <f>MT!$X$61</f>
        <v>42875</v>
      </c>
      <c r="AC35" s="47">
        <f>MT!$X$63</f>
        <v>13380</v>
      </c>
      <c r="AE35" s="47">
        <f>MT!$X$64</f>
        <v>4161</v>
      </c>
      <c r="AG35" s="47">
        <f>MT!$X$66</f>
        <v>679438</v>
      </c>
      <c r="AI35" s="47">
        <f>MT!$X$67</f>
        <v>263994</v>
      </c>
      <c r="AK35" s="47">
        <f t="shared" si="8"/>
        <v>2247795</v>
      </c>
      <c r="AM35" t="str">
        <f>IF((AK35=MT!$X$70),"ok","erro")</f>
        <v>ok</v>
      </c>
    </row>
    <row r="36" spans="1:39">
      <c r="A36" s="45" t="s">
        <v>51</v>
      </c>
      <c r="C36" s="47">
        <f>MS!$U$56</f>
        <v>14500.926871600563</v>
      </c>
      <c r="D36" s="47">
        <f>MS!$U$57</f>
        <v>15.449811023077928</v>
      </c>
      <c r="E36" s="47">
        <f>MS!$U$58</f>
        <v>3063.6233173763594</v>
      </c>
      <c r="F36" s="48">
        <f t="shared" si="16"/>
        <v>17580</v>
      </c>
      <c r="H36" s="47">
        <f>MS!$U$60</f>
        <v>660353.07312839944</v>
      </c>
      <c r="I36" s="47">
        <f>MS!$U$61</f>
        <v>54438</v>
      </c>
      <c r="J36" s="47">
        <f>MS!$U$62</f>
        <v>5103</v>
      </c>
      <c r="K36" s="47">
        <f>MS!$U$63</f>
        <v>703.56400516186841</v>
      </c>
      <c r="L36" s="47">
        <f>MS!$U$64</f>
        <v>79972.362866438692</v>
      </c>
      <c r="M36" s="48">
        <f t="shared" si="17"/>
        <v>800570</v>
      </c>
      <c r="O36" s="47">
        <f>MS!$U$66</f>
        <v>73885.015859766281</v>
      </c>
      <c r="P36" s="47">
        <f>MS!$U$67</f>
        <v>158.90895218329388</v>
      </c>
      <c r="Q36" s="47">
        <f>MS!$U$68</f>
        <v>106775.07518805042</v>
      </c>
      <c r="R36" s="48">
        <f t="shared" si="18"/>
        <v>180819</v>
      </c>
      <c r="T36" s="47">
        <f>MS!$X$56</f>
        <v>18633.984140233726</v>
      </c>
      <c r="U36" s="47">
        <f>MS!$X$57</f>
        <v>40.077231631708855</v>
      </c>
      <c r="V36" s="47">
        <f>MS!$X$58</f>
        <v>26928.938628134565</v>
      </c>
      <c r="W36" s="48">
        <f t="shared" si="19"/>
        <v>45603</v>
      </c>
      <c r="Y36" s="47">
        <f>MS!$X$60</f>
        <v>57429</v>
      </c>
      <c r="AA36" s="47">
        <f>MS!$X$61</f>
        <v>21162</v>
      </c>
      <c r="AC36" s="47">
        <f>MS!$X$63</f>
        <v>10541</v>
      </c>
      <c r="AE36" s="47">
        <f>MS!$X$64</f>
        <v>4306</v>
      </c>
      <c r="AG36" s="47">
        <f>MS!$X$66</f>
        <v>395706</v>
      </c>
      <c r="AI36" s="47">
        <f>MS!$X$67</f>
        <v>122859</v>
      </c>
      <c r="AK36" s="47">
        <f t="shared" si="8"/>
        <v>1656575</v>
      </c>
      <c r="AM36" t="str">
        <f>IF((AK36=MS!$X$70),"ok","erro")</f>
        <v>ok</v>
      </c>
    </row>
  </sheetData>
  <mergeCells count="6">
    <mergeCell ref="AK2:AK3"/>
    <mergeCell ref="A2:A3"/>
    <mergeCell ref="C2:F2"/>
    <mergeCell ref="H2:M2"/>
    <mergeCell ref="O2:R2"/>
    <mergeCell ref="T2:W2"/>
  </mergeCell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9" tint="0.39997558519241921"/>
  </sheetPr>
  <dimension ref="A1:X122"/>
  <sheetViews>
    <sheetView showGridLines="0" topLeftCell="A94" zoomScale="90" zoomScaleNormal="90" workbookViewId="0">
      <selection activeCell="A76" sqref="A76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3" customFormat="1" ht="15.75">
      <c r="A1" s="100" t="str">
        <f>"RIO DE GRANDE DO NORTE/"&amp;ONSV_AUX_2023!$A$1&amp;""</f>
        <v>RIO DE GRANDE DO NORTE/2023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ONSV_AUX_2023!U27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ONSV_AUX_2023!U28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ONSV_AUX_2023!U29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ONSV_AUX_2023!U30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ONSV_AUX_2023!U31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ONSV_AUX_2023!U32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ONSV_AUX_2023!U56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ONSV_AUX_2023!U57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ONSV_AUX_2023!U58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ONSV_AUX_2023!U59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ONSV_AUX_2023!U60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ONSV_AUX_2023!U61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ONSV_AUX_2023!U62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ONSV_AUX_2023!U63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ONSV_AUX_2023!U64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ONSV_AUX_2023!U65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6" customFormat="1" ht="15.75">
      <c r="A25" s="100" t="str">
        <f>"RIO DE GRANDE DO NORTE/"&amp;ONSV_AUX_2022!$A$1&amp;""</f>
        <v>RIO DE GRANDE DO NORTE/2022</v>
      </c>
      <c r="B25" s="101"/>
      <c r="C25" s="101"/>
      <c r="D25" s="101"/>
      <c r="E25" s="101"/>
      <c r="F25" s="10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5.75">
      <c r="A26" s="3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ONSV_AUX_2022!U27</f>
        <v>30220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ONSV_AUX_2022!U28</f>
        <v>585433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ONSV_AUX_2022!U29</f>
        <v>115808</v>
      </c>
      <c r="J31" s="9"/>
      <c r="K31" s="2" t="s">
        <v>122</v>
      </c>
      <c r="L31" s="63">
        <f>I38+I41+I42+I47</f>
        <v>785943</v>
      </c>
      <c r="N31" s="30" t="s">
        <v>123</v>
      </c>
      <c r="O31" s="63">
        <f>J38+J47</f>
        <v>645780.63798010792</v>
      </c>
      <c r="P31" s="67"/>
      <c r="Q31" s="68" t="s">
        <v>124</v>
      </c>
      <c r="R31" s="63">
        <f>J41+J42</f>
        <v>139143.36201989203</v>
      </c>
      <c r="S31" s="69"/>
      <c r="T31" s="68" t="s">
        <v>125</v>
      </c>
      <c r="U31" s="70">
        <f>O35</f>
        <v>22888.797998512262</v>
      </c>
      <c r="V31" s="51"/>
      <c r="W31" s="68" t="s">
        <v>126</v>
      </c>
      <c r="X31" s="71">
        <f>R37</f>
        <v>14956.005856851654</v>
      </c>
    </row>
    <row r="32" spans="1:24" ht="15.75">
      <c r="H32" s="38" t="s">
        <v>102</v>
      </c>
      <c r="I32" s="63">
        <f>ONSV_AUX_2022!U30</f>
        <v>1019</v>
      </c>
      <c r="J32" s="9"/>
      <c r="K32" s="29"/>
      <c r="L32" s="65"/>
      <c r="M32" s="22"/>
      <c r="N32" s="30" t="s">
        <v>127</v>
      </c>
      <c r="O32" s="72">
        <f>J38/O31</f>
        <v>0.96090278819521235</v>
      </c>
      <c r="P32" s="67"/>
      <c r="Q32" s="73" t="s">
        <v>128</v>
      </c>
      <c r="R32" s="66">
        <f>J41/R31</f>
        <v>0.7413798053458126</v>
      </c>
      <c r="S32" s="74"/>
      <c r="T32" s="68" t="s">
        <v>129</v>
      </c>
      <c r="U32" s="70">
        <f>I47-J47</f>
        <v>32.77761746080796</v>
      </c>
      <c r="V32" s="51"/>
      <c r="W32" s="68" t="s">
        <v>130</v>
      </c>
      <c r="X32" s="71">
        <f>I42-J42</f>
        <v>46.716629577465937</v>
      </c>
    </row>
    <row r="33" spans="8:24" ht="15.75">
      <c r="H33" s="38" t="s">
        <v>16</v>
      </c>
      <c r="I33" s="63">
        <f>ONSV_AUX_2022!U31</f>
        <v>54148</v>
      </c>
      <c r="J33" s="9"/>
      <c r="K33" s="2" t="s">
        <v>131</v>
      </c>
      <c r="L33" s="66">
        <f>I38/L31</f>
        <v>0.79056369227793877</v>
      </c>
      <c r="M33" s="22"/>
      <c r="N33" s="30" t="s">
        <v>132</v>
      </c>
      <c r="O33" s="72">
        <f>J47/O31</f>
        <v>3.9097211804787674E-2</v>
      </c>
      <c r="P33" s="67"/>
      <c r="Q33" s="73" t="s">
        <v>133</v>
      </c>
      <c r="R33" s="66">
        <f>J42/R31</f>
        <v>0.25862019465418734</v>
      </c>
      <c r="S33" s="74"/>
      <c r="T33" s="68" t="s">
        <v>134</v>
      </c>
      <c r="U33" s="75">
        <f>O37</f>
        <v>2359.4243840269301</v>
      </c>
      <c r="V33" s="76"/>
      <c r="W33" s="68" t="s">
        <v>135</v>
      </c>
      <c r="X33" s="75">
        <f>R40</f>
        <v>21029.27751357088</v>
      </c>
    </row>
    <row r="34" spans="8:24" ht="15.75">
      <c r="H34" s="38" t="s">
        <v>94</v>
      </c>
      <c r="I34" s="63">
        <f>ONSV_AUX_2022!U32</f>
        <v>648598</v>
      </c>
      <c r="J34" s="10"/>
      <c r="K34" s="2" t="s">
        <v>2</v>
      </c>
      <c r="L34" s="66">
        <f>I41/L31</f>
        <v>0.13142428903877254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4.5845563864046118E-2</v>
      </c>
      <c r="M35" s="22"/>
      <c r="N35" s="30" t="s">
        <v>136</v>
      </c>
      <c r="O35" s="63">
        <f>IF(O33*I30&gt;J47,J47,O33*I30)</f>
        <v>22888.797998512262</v>
      </c>
      <c r="P35" s="79"/>
      <c r="Q35" s="68" t="s">
        <v>137</v>
      </c>
      <c r="R35" s="63">
        <f>I31-I39-I40-I43-I46</f>
        <v>57830</v>
      </c>
      <c r="S35" s="80"/>
      <c r="T35" s="68" t="s">
        <v>138</v>
      </c>
      <c r="U35" s="70">
        <f>O43</f>
        <v>536164.41559756873</v>
      </c>
      <c r="V35" s="79"/>
      <c r="W35" s="68" t="s">
        <v>139</v>
      </c>
      <c r="X35" s="70">
        <f>I39</f>
        <v>39935</v>
      </c>
    </row>
    <row r="36" spans="8:24" ht="15.75">
      <c r="H36" s="26" t="s">
        <v>140</v>
      </c>
      <c r="K36" s="2" t="s">
        <v>0</v>
      </c>
      <c r="L36" s="66">
        <f>I47/L31</f>
        <v>3.2166454819242615E-2</v>
      </c>
      <c r="O36" s="51"/>
      <c r="P36" s="79"/>
      <c r="Q36" s="68" t="s">
        <v>141</v>
      </c>
      <c r="R36" s="63">
        <f>R32*R35</f>
        <v>42873.994143148346</v>
      </c>
      <c r="S36" s="51"/>
      <c r="T36" s="68" t="s">
        <v>142</v>
      </c>
      <c r="U36" s="70">
        <f>O41</f>
        <v>30220</v>
      </c>
      <c r="V36" s="69"/>
      <c r="W36" s="68" t="s">
        <v>143</v>
      </c>
      <c r="X36" s="70">
        <f>I40</f>
        <v>4408</v>
      </c>
    </row>
    <row r="37" spans="8:24" ht="15.75">
      <c r="K37" s="11"/>
      <c r="L37" s="11"/>
      <c r="M37" s="11"/>
      <c r="N37" s="30" t="s">
        <v>144</v>
      </c>
      <c r="O37" s="63">
        <f>J47-O35</f>
        <v>2359.4243840269301</v>
      </c>
      <c r="P37" s="79"/>
      <c r="Q37" s="68" t="s">
        <v>126</v>
      </c>
      <c r="R37" s="63">
        <f>R33*R35</f>
        <v>14956.005856851654</v>
      </c>
      <c r="S37" s="51"/>
      <c r="T37" s="68" t="s">
        <v>145</v>
      </c>
      <c r="U37" s="70">
        <f>O42</f>
        <v>54148</v>
      </c>
      <c r="V37" s="74"/>
      <c r="W37" s="51"/>
      <c r="X37" s="65"/>
    </row>
    <row r="38" spans="8:24" ht="15.75">
      <c r="H38" s="39" t="s">
        <v>104</v>
      </c>
      <c r="I38" s="63">
        <f>ONSV_AUX_2022!U56</f>
        <v>621338</v>
      </c>
      <c r="J38" s="64">
        <f>I38-(L33*I32)</f>
        <v>620532.41559756873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805.58440243126824</v>
      </c>
      <c r="V38" s="74"/>
      <c r="W38" s="68" t="s">
        <v>147</v>
      </c>
      <c r="X38" s="70">
        <f>I46</f>
        <v>7926</v>
      </c>
    </row>
    <row r="39" spans="8:24" ht="15.75">
      <c r="H39" s="39" t="s">
        <v>105</v>
      </c>
      <c r="I39" s="63">
        <f>ONSV_AUX_2022!U57</f>
        <v>39935</v>
      </c>
      <c r="J39" s="10">
        <f>I39</f>
        <v>39935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60284.084506321145</v>
      </c>
      <c r="S39" s="51"/>
      <c r="T39" s="68" t="s">
        <v>150</v>
      </c>
      <c r="U39" s="75">
        <f>O44</f>
        <v>0</v>
      </c>
      <c r="V39" s="51"/>
      <c r="W39" s="68" t="s">
        <v>151</v>
      </c>
      <c r="X39" s="70">
        <f>I43</f>
        <v>5709</v>
      </c>
    </row>
    <row r="40" spans="8:24" ht="15.75">
      <c r="H40" s="39" t="s">
        <v>106</v>
      </c>
      <c r="I40" s="63">
        <f>ONSV_AUX_2022!U58</f>
        <v>4408</v>
      </c>
      <c r="J40" s="10">
        <f>I40</f>
        <v>4408</v>
      </c>
      <c r="K40" s="11"/>
      <c r="L40" s="11"/>
      <c r="M40" s="11"/>
      <c r="O40" s="76"/>
      <c r="P40" s="79"/>
      <c r="Q40" s="68" t="s">
        <v>135</v>
      </c>
      <c r="R40" s="63">
        <f>J42-R37</f>
        <v>21029.27751357088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ONSV_AUX_2022!U59</f>
        <v>103292</v>
      </c>
      <c r="J41" s="64">
        <f>I41-(L34*I32)</f>
        <v>103158.07864946949</v>
      </c>
      <c r="K41" s="11"/>
      <c r="L41" s="11"/>
      <c r="M41" s="11"/>
      <c r="N41" s="30" t="s">
        <v>142</v>
      </c>
      <c r="O41" s="63">
        <f>I29</f>
        <v>30220</v>
      </c>
      <c r="P41" s="79"/>
      <c r="Q41" s="51"/>
      <c r="R41" s="51"/>
      <c r="S41" s="80"/>
      <c r="T41" s="68" t="s">
        <v>141</v>
      </c>
      <c r="U41" s="71">
        <f>R36</f>
        <v>42873.994143148346</v>
      </c>
      <c r="V41" s="51"/>
      <c r="W41" s="68" t="s">
        <v>152</v>
      </c>
      <c r="X41" s="70">
        <f>I44</f>
        <v>492126</v>
      </c>
    </row>
    <row r="42" spans="8:24" ht="15.75">
      <c r="H42" s="39" t="s">
        <v>108</v>
      </c>
      <c r="I42" s="63">
        <f>ONSV_AUX_2022!U60</f>
        <v>36032</v>
      </c>
      <c r="J42" s="64">
        <f>I42-(L35*I32)</f>
        <v>35985.283370422534</v>
      </c>
      <c r="K42" s="11"/>
      <c r="L42" s="11"/>
      <c r="M42" s="11"/>
      <c r="N42" s="30" t="s">
        <v>145</v>
      </c>
      <c r="O42" s="63">
        <f>I33</f>
        <v>54148</v>
      </c>
      <c r="P42" s="79"/>
      <c r="Q42" s="51"/>
      <c r="R42" s="51"/>
      <c r="S42" s="51"/>
      <c r="T42" s="68" t="s">
        <v>153</v>
      </c>
      <c r="U42" s="71">
        <f>I41-J41</f>
        <v>133.92135053050879</v>
      </c>
      <c r="V42" s="51"/>
      <c r="W42" s="68" t="s">
        <v>154</v>
      </c>
      <c r="X42" s="70">
        <f>I45</f>
        <v>74100</v>
      </c>
    </row>
    <row r="43" spans="8:24" ht="15.75">
      <c r="H43" s="39" t="s">
        <v>109</v>
      </c>
      <c r="I43" s="63">
        <f>ONSV_AUX_2022!U61</f>
        <v>5709</v>
      </c>
      <c r="J43" s="10">
        <f>I43</f>
        <v>5709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536164.41559756873</v>
      </c>
      <c r="P43" s="79"/>
      <c r="Q43" s="51"/>
      <c r="R43" s="81"/>
      <c r="S43" s="51"/>
      <c r="T43" s="68" t="s">
        <v>149</v>
      </c>
      <c r="U43" s="75">
        <f>R39</f>
        <v>60284.084506321145</v>
      </c>
      <c r="V43" s="51"/>
      <c r="W43" s="51"/>
      <c r="X43" s="51"/>
    </row>
    <row r="44" spans="8:24" ht="15.75">
      <c r="H44" s="39" t="s">
        <v>110</v>
      </c>
      <c r="I44" s="63">
        <f>ONSV_AUX_2022!U62</f>
        <v>492126</v>
      </c>
      <c r="J44" s="10">
        <f>I44</f>
        <v>492126</v>
      </c>
      <c r="K44" s="11"/>
      <c r="L44" s="11"/>
      <c r="M44" s="11"/>
      <c r="N44" s="30" t="s">
        <v>150</v>
      </c>
      <c r="O44" s="63">
        <f>IF((J38-O41-O43-O42)&lt;0,0,(J38-O41-O43-O42))</f>
        <v>0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ONSV_AUX_2022!U63</f>
        <v>74100</v>
      </c>
      <c r="J45" s="10">
        <f>I45</f>
        <v>74100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1410147</v>
      </c>
    </row>
    <row r="46" spans="8:24" ht="15.75">
      <c r="H46" s="39" t="s">
        <v>112</v>
      </c>
      <c r="I46" s="63">
        <f>ONSV_AUX_2022!U64</f>
        <v>7926</v>
      </c>
      <c r="J46" s="10">
        <f>I46</f>
        <v>7926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ONSV_AUX_2022!U65</f>
        <v>25281</v>
      </c>
      <c r="J47" s="64">
        <f>I47-(L36*I32)</f>
        <v>25248.222382539192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6" customFormat="1" ht="15.75">
      <c r="A50" s="100" t="str">
        <f>"RIO DE GRANDE DO NORTE/"&amp;ONSV_AUX_2021!$A$1&amp;""</f>
        <v>RIO DE GRANDE DO NORTE/2021</v>
      </c>
      <c r="B50" s="101"/>
      <c r="C50" s="101"/>
      <c r="D50" s="101"/>
      <c r="E50" s="101"/>
      <c r="F50" s="101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ONSV_AUX_2021!U27</f>
        <v>30191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ONSV_AUX_2021!U28</f>
        <v>555405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ONSV_AUX_2021!U29</f>
        <v>111081</v>
      </c>
      <c r="J56" s="9"/>
      <c r="K56" s="2" t="s">
        <v>122</v>
      </c>
      <c r="L56" s="63">
        <f>I63+I66+I67+I72</f>
        <v>762164</v>
      </c>
      <c r="N56" s="30" t="s">
        <v>123</v>
      </c>
      <c r="O56" s="63">
        <f>J63+J72</f>
        <v>628497.07813672652</v>
      </c>
      <c r="P56" s="67"/>
      <c r="Q56" s="68" t="s">
        <v>124</v>
      </c>
      <c r="R56" s="63">
        <f>J66+J67</f>
        <v>133145.92186327354</v>
      </c>
      <c r="S56" s="69"/>
      <c r="T56" s="68" t="s">
        <v>125</v>
      </c>
      <c r="U56" s="70">
        <f>O60</f>
        <v>20077.262822235331</v>
      </c>
      <c r="V56" s="51"/>
      <c r="W56" s="68" t="s">
        <v>126</v>
      </c>
      <c r="X56" s="71">
        <f>R62</f>
        <v>13944.103552316546</v>
      </c>
    </row>
    <row r="57" spans="1:24" ht="15.75">
      <c r="H57" s="38" t="s">
        <v>102</v>
      </c>
      <c r="I57" s="63">
        <f>ONSV_AUX_2021!U30</f>
        <v>521</v>
      </c>
      <c r="J57" s="9"/>
      <c r="K57" s="29"/>
      <c r="L57" s="65"/>
      <c r="M57" s="22"/>
      <c r="N57" s="30" t="s">
        <v>127</v>
      </c>
      <c r="O57" s="72">
        <f>J63/O56</f>
        <v>0.96385113057636251</v>
      </c>
      <c r="P57" s="67"/>
      <c r="Q57" s="73" t="s">
        <v>128</v>
      </c>
      <c r="R57" s="66">
        <f>J66/R56</f>
        <v>0.74440283104543026</v>
      </c>
      <c r="S57" s="74"/>
      <c r="T57" s="68" t="s">
        <v>129</v>
      </c>
      <c r="U57" s="70">
        <f>I72-J72</f>
        <v>15.541189297840901</v>
      </c>
      <c r="V57" s="51"/>
      <c r="W57" s="68" t="s">
        <v>130</v>
      </c>
      <c r="X57" s="71">
        <f>I67-J67</f>
        <v>23.279313900944544</v>
      </c>
    </row>
    <row r="58" spans="1:24" ht="15.75">
      <c r="H58" s="38" t="s">
        <v>16</v>
      </c>
      <c r="I58" s="63">
        <f>ONSV_AUX_2021!U31</f>
        <v>51842</v>
      </c>
      <c r="J58" s="9"/>
      <c r="K58" s="2" t="s">
        <v>131</v>
      </c>
      <c r="L58" s="66">
        <f>I63/L56</f>
        <v>0.79535637999170783</v>
      </c>
      <c r="M58" s="22"/>
      <c r="N58" s="30" t="s">
        <v>132</v>
      </c>
      <c r="O58" s="72">
        <f>J72/O56</f>
        <v>3.6148869423637403E-2</v>
      </c>
      <c r="P58" s="67"/>
      <c r="Q58" s="73" t="s">
        <v>133</v>
      </c>
      <c r="R58" s="66">
        <f>J67/R56</f>
        <v>0.25559716895456963</v>
      </c>
      <c r="S58" s="74"/>
      <c r="T58" s="68" t="s">
        <v>134</v>
      </c>
      <c r="U58" s="75">
        <f>O62</f>
        <v>2642.1959884668286</v>
      </c>
      <c r="V58" s="76"/>
      <c r="W58" s="68" t="s">
        <v>135</v>
      </c>
      <c r="X58" s="75">
        <f>R65</f>
        <v>20087.617133782507</v>
      </c>
    </row>
    <row r="59" spans="1:24" ht="15.75">
      <c r="H59" s="38" t="s">
        <v>94</v>
      </c>
      <c r="I59" s="63">
        <f>ONSV_AUX_2021!U32</f>
        <v>637901</v>
      </c>
      <c r="J59" s="10"/>
      <c r="K59" s="2" t="s">
        <v>2</v>
      </c>
      <c r="L59" s="66">
        <f>I66/L56</f>
        <v>0.13013209755380731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4.4681984454789256E-2</v>
      </c>
      <c r="M60" s="22"/>
      <c r="N60" s="30" t="s">
        <v>136</v>
      </c>
      <c r="O60" s="63">
        <f>IF(O58*I55&gt;J72,J72,O58*I55)</f>
        <v>20077.262822235331</v>
      </c>
      <c r="P60" s="79"/>
      <c r="Q60" s="68" t="s">
        <v>137</v>
      </c>
      <c r="R60" s="63">
        <f>I56-I64-I65-I68-I71</f>
        <v>54555</v>
      </c>
      <c r="S60" s="80"/>
      <c r="T60" s="68" t="s">
        <v>138</v>
      </c>
      <c r="U60" s="70">
        <f>O68</f>
        <v>523744.61932602432</v>
      </c>
      <c r="V60" s="79"/>
      <c r="W60" s="68" t="s">
        <v>139</v>
      </c>
      <c r="X60" s="70">
        <f>I64</f>
        <v>39032</v>
      </c>
    </row>
    <row r="61" spans="1:24" ht="15.75">
      <c r="H61" s="26" t="s">
        <v>140</v>
      </c>
      <c r="K61" s="2" t="s">
        <v>0</v>
      </c>
      <c r="L61" s="66">
        <f>I72/L56</f>
        <v>2.9829537999695604E-2</v>
      </c>
      <c r="O61" s="51"/>
      <c r="P61" s="79"/>
      <c r="Q61" s="68" t="s">
        <v>141</v>
      </c>
      <c r="R61" s="63">
        <f>R57*R60</f>
        <v>40610.896447683444</v>
      </c>
      <c r="S61" s="51"/>
      <c r="T61" s="68" t="s">
        <v>142</v>
      </c>
      <c r="U61" s="70">
        <f>O66</f>
        <v>30191</v>
      </c>
      <c r="V61" s="69"/>
      <c r="W61" s="68" t="s">
        <v>143</v>
      </c>
      <c r="X61" s="70">
        <f>I65</f>
        <v>4193</v>
      </c>
    </row>
    <row r="62" spans="1:24" ht="15.75">
      <c r="K62" s="11"/>
      <c r="L62" s="11"/>
      <c r="M62" s="11"/>
      <c r="N62" s="30" t="s">
        <v>144</v>
      </c>
      <c r="O62" s="63">
        <f>J72-O60</f>
        <v>2642.1959884668286</v>
      </c>
      <c r="P62" s="79"/>
      <c r="Q62" s="68" t="s">
        <v>126</v>
      </c>
      <c r="R62" s="63">
        <f>R58*R60</f>
        <v>13944.103552316546</v>
      </c>
      <c r="S62" s="51"/>
      <c r="T62" s="68" t="s">
        <v>145</v>
      </c>
      <c r="U62" s="70">
        <f>O67</f>
        <v>51842</v>
      </c>
      <c r="V62" s="74"/>
      <c r="W62" s="51"/>
      <c r="X62" s="65"/>
    </row>
    <row r="63" spans="1:24" ht="15.75">
      <c r="H63" s="39" t="s">
        <v>104</v>
      </c>
      <c r="I63" s="63">
        <f>ONSV_AUX_2021!U56</f>
        <v>606192</v>
      </c>
      <c r="J63" s="64">
        <f>I63-(L58*I57)</f>
        <v>605777.61932602432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414.38067397568375</v>
      </c>
      <c r="V63" s="74"/>
      <c r="W63" s="68" t="s">
        <v>147</v>
      </c>
      <c r="X63" s="70">
        <f>I71</f>
        <v>7754</v>
      </c>
    </row>
    <row r="64" spans="1:24" ht="15.75">
      <c r="H64" s="39" t="s">
        <v>105</v>
      </c>
      <c r="I64" s="63">
        <f>ONSV_AUX_2021!U57</f>
        <v>39032</v>
      </c>
      <c r="J64" s="10">
        <f>I64</f>
        <v>39032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58503.304729491028</v>
      </c>
      <c r="S64" s="51"/>
      <c r="T64" s="68" t="s">
        <v>150</v>
      </c>
      <c r="U64" s="75">
        <f>O69</f>
        <v>0</v>
      </c>
      <c r="V64" s="51"/>
      <c r="W64" s="68" t="s">
        <v>151</v>
      </c>
      <c r="X64" s="70">
        <f>I68</f>
        <v>5547</v>
      </c>
    </row>
    <row r="65" spans="1:24" ht="15.75">
      <c r="H65" s="39" t="s">
        <v>106</v>
      </c>
      <c r="I65" s="63">
        <f>ONSV_AUX_2021!U58</f>
        <v>4193</v>
      </c>
      <c r="J65" s="10">
        <f>I65</f>
        <v>4193</v>
      </c>
      <c r="K65" s="11"/>
      <c r="L65" s="11"/>
      <c r="M65" s="11"/>
      <c r="O65" s="76"/>
      <c r="P65" s="79"/>
      <c r="Q65" s="68" t="s">
        <v>135</v>
      </c>
      <c r="R65" s="63">
        <f>J67-R62</f>
        <v>20087.617133782507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ONSV_AUX_2021!U59</f>
        <v>99182</v>
      </c>
      <c r="J66" s="64">
        <f>I66-(L59*I57)</f>
        <v>99114.201177174473</v>
      </c>
      <c r="K66" s="11"/>
      <c r="L66" s="11"/>
      <c r="M66" s="11"/>
      <c r="N66" s="30" t="s">
        <v>142</v>
      </c>
      <c r="O66" s="63">
        <f>I54</f>
        <v>30191</v>
      </c>
      <c r="P66" s="79"/>
      <c r="Q66" s="51"/>
      <c r="R66" s="51"/>
      <c r="S66" s="80"/>
      <c r="T66" s="68" t="s">
        <v>141</v>
      </c>
      <c r="U66" s="71">
        <f>R61</f>
        <v>40610.896447683444</v>
      </c>
      <c r="V66" s="51"/>
      <c r="W66" s="68" t="s">
        <v>152</v>
      </c>
      <c r="X66" s="70">
        <f>I69</f>
        <v>473966</v>
      </c>
    </row>
    <row r="67" spans="1:24" ht="15.75">
      <c r="H67" s="39" t="s">
        <v>108</v>
      </c>
      <c r="I67" s="63">
        <f>ONSV_AUX_2021!U60</f>
        <v>34055</v>
      </c>
      <c r="J67" s="64">
        <f>I67-(L60*I57)</f>
        <v>34031.720686099055</v>
      </c>
      <c r="K67" s="11"/>
      <c r="L67" s="11"/>
      <c r="M67" s="11"/>
      <c r="N67" s="30" t="s">
        <v>145</v>
      </c>
      <c r="O67" s="63">
        <f>I58</f>
        <v>51842</v>
      </c>
      <c r="P67" s="79"/>
      <c r="Q67" s="51"/>
      <c r="R67" s="51"/>
      <c r="S67" s="51"/>
      <c r="T67" s="68" t="s">
        <v>153</v>
      </c>
      <c r="U67" s="71">
        <f>I66-J66</f>
        <v>67.798822825527168</v>
      </c>
      <c r="V67" s="51"/>
      <c r="W67" s="68" t="s">
        <v>154</v>
      </c>
      <c r="X67" s="70">
        <f>I70</f>
        <v>69769</v>
      </c>
    </row>
    <row r="68" spans="1:24" ht="15.75">
      <c r="H68" s="39" t="s">
        <v>109</v>
      </c>
      <c r="I68" s="63">
        <f>ONSV_AUX_2021!U61</f>
        <v>5547</v>
      </c>
      <c r="J68" s="10">
        <f>I68</f>
        <v>5547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523744.61932602432</v>
      </c>
      <c r="P68" s="79"/>
      <c r="Q68" s="51"/>
      <c r="R68" s="81"/>
      <c r="S68" s="51"/>
      <c r="T68" s="68" t="s">
        <v>149</v>
      </c>
      <c r="U68" s="75">
        <f>R64</f>
        <v>58503.304729491028</v>
      </c>
      <c r="V68" s="51"/>
      <c r="W68" s="51"/>
      <c r="X68" s="51"/>
    </row>
    <row r="69" spans="1:24" ht="15.75">
      <c r="H69" s="39" t="s">
        <v>110</v>
      </c>
      <c r="I69" s="63">
        <f>ONSV_AUX_2021!U62</f>
        <v>473966</v>
      </c>
      <c r="J69" s="10">
        <f>I69</f>
        <v>473966</v>
      </c>
      <c r="K69" s="11"/>
      <c r="L69" s="11"/>
      <c r="M69" s="11"/>
      <c r="N69" s="30" t="s">
        <v>150</v>
      </c>
      <c r="O69" s="63">
        <f>IF((J63-O66-O68-O67)&lt;0,0,(J63-O66-O68-O67))</f>
        <v>0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ONSV_AUX_2021!U63</f>
        <v>69769</v>
      </c>
      <c r="J70" s="10">
        <f>I70</f>
        <v>69769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1362425</v>
      </c>
    </row>
    <row r="71" spans="1:24" ht="15.75">
      <c r="H71" s="39" t="s">
        <v>112</v>
      </c>
      <c r="I71" s="63">
        <f>ONSV_AUX_2021!U64</f>
        <v>7754</v>
      </c>
      <c r="J71" s="10">
        <f>I71</f>
        <v>7754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ONSV_AUX_2021!U65</f>
        <v>22735</v>
      </c>
      <c r="J72" s="64">
        <f>I72-(L61*I57)</f>
        <v>22719.458810702159</v>
      </c>
      <c r="K72" s="12"/>
      <c r="L72" s="12"/>
      <c r="M72" s="12"/>
      <c r="N72" s="12"/>
      <c r="O72" s="12"/>
      <c r="P72" s="12"/>
      <c r="Q72" s="4"/>
      <c r="R72" s="4"/>
    </row>
    <row r="75" spans="1:24" s="36" customFormat="1" ht="15.75">
      <c r="A75" s="100" t="str">
        <f>"RIO DE GRANDE DO NORTE/"&amp;ONSV_AUX_2020!$A$1&amp;""</f>
        <v>RIO DE GRANDE DO NORTE/2020</v>
      </c>
      <c r="B75" s="101"/>
      <c r="C75" s="101"/>
      <c r="D75" s="101"/>
      <c r="E75" s="101"/>
      <c r="F75" s="10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ONSV_AUX_2020!U27</f>
        <v>30182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ONSV_AUX_2020!U28</f>
        <v>519541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ONSV_AUX_2020!U29</f>
        <v>104155</v>
      </c>
      <c r="J81" s="9"/>
      <c r="K81" s="2" t="s">
        <v>122</v>
      </c>
      <c r="L81" s="63">
        <f>I88+I91+I92+I97</f>
        <v>731324</v>
      </c>
      <c r="N81" s="30" t="s">
        <v>123</v>
      </c>
      <c r="O81" s="63">
        <f>J88+J97</f>
        <v>604964.70764804655</v>
      </c>
      <c r="P81" s="67"/>
      <c r="Q81" s="68" t="s">
        <v>124</v>
      </c>
      <c r="R81" s="63">
        <f>J91+J92</f>
        <v>126094.29235195345</v>
      </c>
      <c r="S81" s="69"/>
      <c r="T81" s="68" t="s">
        <v>125</v>
      </c>
      <c r="U81" s="70">
        <f>O85</f>
        <v>16807.406834946065</v>
      </c>
      <c r="V81" s="51"/>
      <c r="W81" s="68" t="s">
        <v>126</v>
      </c>
      <c r="X81" s="71">
        <f>R87</f>
        <v>12831.455351197081</v>
      </c>
    </row>
    <row r="82" spans="8:24" ht="15.75">
      <c r="H82" s="38" t="s">
        <v>102</v>
      </c>
      <c r="I82" s="63">
        <f>ONSV_AUX_2020!U30</f>
        <v>265</v>
      </c>
      <c r="J82" s="9"/>
      <c r="K82" s="29"/>
      <c r="L82" s="65"/>
      <c r="M82" s="22"/>
      <c r="N82" s="30" t="s">
        <v>127</v>
      </c>
      <c r="O82" s="72">
        <f>J88/O81</f>
        <v>0.96764950824873097</v>
      </c>
      <c r="P82" s="67"/>
      <c r="Q82" s="73" t="s">
        <v>128</v>
      </c>
      <c r="R82" s="66">
        <f>J91/R81</f>
        <v>0.74547328365308385</v>
      </c>
      <c r="S82" s="74"/>
      <c r="T82" s="68" t="s">
        <v>129</v>
      </c>
      <c r="U82" s="70">
        <f>I97-J97</f>
        <v>7.094215422985144</v>
      </c>
      <c r="V82" s="51"/>
      <c r="W82" s="68" t="s">
        <v>130</v>
      </c>
      <c r="X82" s="71">
        <f>I92-J92</f>
        <v>11.633817569228995</v>
      </c>
    </row>
    <row r="83" spans="8:24" ht="15.75">
      <c r="H83" s="38" t="s">
        <v>16</v>
      </c>
      <c r="I83" s="63">
        <f>ONSV_AUX_2020!U31</f>
        <v>51678</v>
      </c>
      <c r="J83" s="9"/>
      <c r="K83" s="2" t="s">
        <v>131</v>
      </c>
      <c r="L83" s="66">
        <f>I88/L81</f>
        <v>0.80074768502059279</v>
      </c>
      <c r="M83" s="22"/>
      <c r="N83" s="30" t="s">
        <v>132</v>
      </c>
      <c r="O83" s="72">
        <f>J97/O81</f>
        <v>3.2350491751269035E-2</v>
      </c>
      <c r="P83" s="67"/>
      <c r="Q83" s="73" t="s">
        <v>133</v>
      </c>
      <c r="R83" s="66">
        <f>J92/R81</f>
        <v>0.25452671634691609</v>
      </c>
      <c r="S83" s="74"/>
      <c r="T83" s="68" t="s">
        <v>134</v>
      </c>
      <c r="U83" s="75">
        <f>O87</f>
        <v>2763.4989496309499</v>
      </c>
      <c r="V83" s="76"/>
      <c r="W83" s="68" t="s">
        <v>135</v>
      </c>
      <c r="X83" s="75">
        <f>R90</f>
        <v>19262.91083123369</v>
      </c>
    </row>
    <row r="84" spans="8:24" ht="15.75">
      <c r="H84" s="38" t="s">
        <v>94</v>
      </c>
      <c r="I84" s="63">
        <f>ONSV_AUX_2020!U32</f>
        <v>628814</v>
      </c>
      <c r="J84" s="10"/>
      <c r="K84" s="2" t="s">
        <v>2</v>
      </c>
      <c r="L84" s="66">
        <f>I91/L81</f>
        <v>0.12858049236726812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4.3901198374455101E-2</v>
      </c>
      <c r="M85" s="22"/>
      <c r="N85" s="30" t="s">
        <v>136</v>
      </c>
      <c r="O85" s="63">
        <f>IF(O83*I80&gt;J97,J97,O83*I80)</f>
        <v>16807.406834946065</v>
      </c>
      <c r="P85" s="79"/>
      <c r="Q85" s="68" t="s">
        <v>137</v>
      </c>
      <c r="R85" s="63">
        <f>I81-I89-I90-I93-I96</f>
        <v>50413</v>
      </c>
      <c r="S85" s="80"/>
      <c r="T85" s="68" t="s">
        <v>138</v>
      </c>
      <c r="U85" s="70">
        <f>O93</f>
        <v>502733.59316505393</v>
      </c>
      <c r="V85" s="79"/>
      <c r="W85" s="68" t="s">
        <v>139</v>
      </c>
      <c r="X85" s="70">
        <f>I89</f>
        <v>36801</v>
      </c>
    </row>
    <row r="86" spans="8:24" ht="15.75">
      <c r="H86" s="26" t="s">
        <v>140</v>
      </c>
      <c r="K86" s="2" t="s">
        <v>0</v>
      </c>
      <c r="L86" s="66">
        <f>I97/L81</f>
        <v>2.677062423768398E-2</v>
      </c>
      <c r="O86" s="51"/>
      <c r="P86" s="79"/>
      <c r="Q86" s="68" t="s">
        <v>141</v>
      </c>
      <c r="R86" s="63">
        <f>R82*R85</f>
        <v>37581.544648802919</v>
      </c>
      <c r="S86" s="51"/>
      <c r="T86" s="68" t="s">
        <v>142</v>
      </c>
      <c r="U86" s="70">
        <f>O91</f>
        <v>30182</v>
      </c>
      <c r="V86" s="69"/>
      <c r="W86" s="68" t="s">
        <v>143</v>
      </c>
      <c r="X86" s="70">
        <f>I90</f>
        <v>3924</v>
      </c>
    </row>
    <row r="87" spans="8:24" ht="15.75">
      <c r="K87" s="11"/>
      <c r="L87" s="11"/>
      <c r="M87" s="11"/>
      <c r="N87" s="30" t="s">
        <v>144</v>
      </c>
      <c r="O87" s="63">
        <f>J97-O85</f>
        <v>2763.4989496309499</v>
      </c>
      <c r="P87" s="79"/>
      <c r="Q87" s="68" t="s">
        <v>126</v>
      </c>
      <c r="R87" s="63">
        <f>R83*R85</f>
        <v>12831.455351197081</v>
      </c>
      <c r="S87" s="51"/>
      <c r="T87" s="68" t="s">
        <v>145</v>
      </c>
      <c r="U87" s="70">
        <f>O92</f>
        <v>51678</v>
      </c>
      <c r="V87" s="74"/>
      <c r="W87" s="51"/>
      <c r="X87" s="65"/>
    </row>
    <row r="88" spans="8:24" ht="15.75">
      <c r="H88" s="39" t="s">
        <v>104</v>
      </c>
      <c r="I88" s="63">
        <f>ONSV_AUX_2020!U56</f>
        <v>585606</v>
      </c>
      <c r="J88" s="64">
        <f>I88-(L83*I82)</f>
        <v>585393.80186346953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212.19813653046731</v>
      </c>
      <c r="V88" s="74"/>
      <c r="W88" s="68" t="s">
        <v>147</v>
      </c>
      <c r="X88" s="70">
        <f>I96</f>
        <v>7608</v>
      </c>
    </row>
    <row r="89" spans="8:24" ht="15.75">
      <c r="H89" s="39" t="s">
        <v>105</v>
      </c>
      <c r="I89" s="63">
        <f>ONSV_AUX_2020!U57</f>
        <v>36801</v>
      </c>
      <c r="J89" s="10">
        <f>I89</f>
        <v>36801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56418.381520719755</v>
      </c>
      <c r="S89" s="51"/>
      <c r="T89" s="68" t="s">
        <v>150</v>
      </c>
      <c r="U89" s="75">
        <f>O94</f>
        <v>800.20869841560489</v>
      </c>
      <c r="V89" s="51"/>
      <c r="W89" s="68" t="s">
        <v>151</v>
      </c>
      <c r="X89" s="70">
        <f>I93</f>
        <v>5409</v>
      </c>
    </row>
    <row r="90" spans="8:24" ht="15.75">
      <c r="H90" s="39" t="s">
        <v>106</v>
      </c>
      <c r="I90" s="63">
        <f>ONSV_AUX_2020!U58</f>
        <v>3924</v>
      </c>
      <c r="J90" s="10">
        <f>I90</f>
        <v>3924</v>
      </c>
      <c r="K90" s="11"/>
      <c r="L90" s="11"/>
      <c r="M90" s="11"/>
      <c r="O90" s="76"/>
      <c r="P90" s="79"/>
      <c r="Q90" s="68" t="s">
        <v>135</v>
      </c>
      <c r="R90" s="63">
        <f>J92-R87</f>
        <v>19262.91083123369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ONSV_AUX_2020!U59</f>
        <v>94034</v>
      </c>
      <c r="J91" s="64">
        <f>I91-(L84*I82)</f>
        <v>93999.926169522674</v>
      </c>
      <c r="K91" s="11"/>
      <c r="L91" s="11"/>
      <c r="M91" s="11"/>
      <c r="N91" s="30" t="s">
        <v>142</v>
      </c>
      <c r="O91" s="63">
        <f>I79</f>
        <v>30182</v>
      </c>
      <c r="P91" s="79"/>
      <c r="Q91" s="51"/>
      <c r="R91" s="51"/>
      <c r="S91" s="80"/>
      <c r="T91" s="68" t="s">
        <v>141</v>
      </c>
      <c r="U91" s="71">
        <f>R86</f>
        <v>37581.544648802919</v>
      </c>
      <c r="V91" s="51"/>
      <c r="W91" s="68" t="s">
        <v>152</v>
      </c>
      <c r="X91" s="70">
        <f>I94</f>
        <v>458977</v>
      </c>
    </row>
    <row r="92" spans="8:24" ht="15.75">
      <c r="H92" s="39" t="s">
        <v>108</v>
      </c>
      <c r="I92" s="63">
        <f>ONSV_AUX_2020!U60</f>
        <v>32106</v>
      </c>
      <c r="J92" s="64">
        <f>I92-(L85*I82)</f>
        <v>32094.366182430771</v>
      </c>
      <c r="K92" s="11"/>
      <c r="L92" s="11"/>
      <c r="M92" s="11"/>
      <c r="N92" s="30" t="s">
        <v>145</v>
      </c>
      <c r="O92" s="63">
        <f>I83</f>
        <v>51678</v>
      </c>
      <c r="P92" s="79"/>
      <c r="Q92" s="51"/>
      <c r="R92" s="51"/>
      <c r="S92" s="51"/>
      <c r="T92" s="68" t="s">
        <v>153</v>
      </c>
      <c r="U92" s="71">
        <f>I91-J91</f>
        <v>34.073830477325828</v>
      </c>
      <c r="V92" s="51"/>
      <c r="W92" s="68" t="s">
        <v>154</v>
      </c>
      <c r="X92" s="70">
        <f>I95</f>
        <v>66400</v>
      </c>
    </row>
    <row r="93" spans="8:24" ht="15.75">
      <c r="H93" s="39" t="s">
        <v>109</v>
      </c>
      <c r="I93" s="63">
        <f>ONSV_AUX_2020!U61</f>
        <v>5409</v>
      </c>
      <c r="J93" s="10">
        <f>I93</f>
        <v>5409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502733.59316505393</v>
      </c>
      <c r="P93" s="79"/>
      <c r="Q93" s="51"/>
      <c r="R93" s="81"/>
      <c r="S93" s="51"/>
      <c r="T93" s="68" t="s">
        <v>149</v>
      </c>
      <c r="U93" s="75">
        <f>R89</f>
        <v>56418.381520719755</v>
      </c>
      <c r="V93" s="51"/>
      <c r="W93" s="51"/>
      <c r="X93" s="51"/>
    </row>
    <row r="94" spans="8:24" ht="15.75">
      <c r="H94" s="39" t="s">
        <v>110</v>
      </c>
      <c r="I94" s="63">
        <f>ONSV_AUX_2020!U62</f>
        <v>458977</v>
      </c>
      <c r="J94" s="10">
        <f>I94</f>
        <v>458977</v>
      </c>
      <c r="K94" s="11"/>
      <c r="L94" s="11"/>
      <c r="M94" s="11"/>
      <c r="N94" s="30" t="s">
        <v>150</v>
      </c>
      <c r="O94" s="63">
        <f>IF((J88-O91-O93-O92)&lt;0,0,(J88-O91-O93-O92))</f>
        <v>800.20869841560489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ONSV_AUX_2020!U63</f>
        <v>66400</v>
      </c>
      <c r="J95" s="10">
        <f>I95</f>
        <v>66400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1310443</v>
      </c>
    </row>
    <row r="96" spans="8:24" ht="15.75">
      <c r="H96" s="39" t="s">
        <v>112</v>
      </c>
      <c r="I96" s="63">
        <f>ONSV_AUX_2020!U64</f>
        <v>7608</v>
      </c>
      <c r="J96" s="10">
        <f>I96</f>
        <v>7608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ONSV_AUX_2020!U65</f>
        <v>19578</v>
      </c>
      <c r="J97" s="64">
        <f>I97-(L86*I82)</f>
        <v>19570.905784577015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6" customFormat="1" ht="15.75">
      <c r="A100" s="100" t="str">
        <f>"RIO DE GRANDE DO NORTE/"&amp;ONSV_AUX_2019!$A$1&amp;""</f>
        <v>RIO DE GRANDE DO NORTE/2019</v>
      </c>
      <c r="B100" s="101"/>
      <c r="C100" s="101"/>
      <c r="D100" s="101"/>
      <c r="E100" s="101"/>
      <c r="F100" s="101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ONSV_AUX_2019!U27</f>
        <v>30155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ONSV_AUX_2019!U28</f>
        <v>492217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ONSV_AUX_2019!U29</f>
        <v>99053</v>
      </c>
      <c r="J106" s="9"/>
      <c r="K106" s="2" t="s">
        <v>122</v>
      </c>
      <c r="L106" s="63">
        <f>I113+I116+I117+I122</f>
        <v>707616</v>
      </c>
      <c r="N106" s="30" t="s">
        <v>123</v>
      </c>
      <c r="O106" s="63">
        <f>J113+J122</f>
        <v>586452.25609794015</v>
      </c>
      <c r="P106" s="67"/>
      <c r="Q106" s="68" t="s">
        <v>124</v>
      </c>
      <c r="R106" s="63">
        <f>J116+J117</f>
        <v>121068.74390205987</v>
      </c>
      <c r="S106" s="69"/>
      <c r="T106" s="68" t="s">
        <v>125</v>
      </c>
      <c r="U106" s="70">
        <f>O110</f>
        <v>15053.575251776974</v>
      </c>
      <c r="V106" s="51"/>
      <c r="W106" s="68" t="s">
        <v>126</v>
      </c>
      <c r="X106" s="71">
        <f>R112</f>
        <v>12241.552421852419</v>
      </c>
    </row>
    <row r="107" spans="1:24" ht="15.75">
      <c r="H107" s="38" t="s">
        <v>102</v>
      </c>
      <c r="I107" s="63">
        <f>ONSV_AUX_2019!U30</f>
        <v>95</v>
      </c>
      <c r="J107" s="9"/>
      <c r="K107" s="29"/>
      <c r="L107" s="65"/>
      <c r="M107" s="22"/>
      <c r="N107" s="30" t="s">
        <v>127</v>
      </c>
      <c r="O107" s="72">
        <f>J113/O106</f>
        <v>0.96941679126934466</v>
      </c>
      <c r="P107" s="67"/>
      <c r="Q107" s="73" t="s">
        <v>128</v>
      </c>
      <c r="R107" s="66">
        <f>J116/R106</f>
        <v>0.74187554197464589</v>
      </c>
      <c r="S107" s="74"/>
      <c r="T107" s="68" t="s">
        <v>129</v>
      </c>
      <c r="U107" s="70">
        <f>I122-J122</f>
        <v>2.4082411929630325</v>
      </c>
      <c r="V107" s="51"/>
      <c r="W107" s="68" t="s">
        <v>130</v>
      </c>
      <c r="X107" s="71">
        <f>I117-J117</f>
        <v>4.196096470401244</v>
      </c>
    </row>
    <row r="108" spans="1:24" ht="15.75">
      <c r="H108" s="38" t="s">
        <v>16</v>
      </c>
      <c r="I108" s="63">
        <f>ONSV_AUX_2019!U31</f>
        <v>50777</v>
      </c>
      <c r="J108" s="9"/>
      <c r="K108" s="2" t="s">
        <v>131</v>
      </c>
      <c r="L108" s="66">
        <f>I113/L106</f>
        <v>0.80353327228327232</v>
      </c>
      <c r="M108" s="22"/>
      <c r="N108" s="30" t="s">
        <v>132</v>
      </c>
      <c r="O108" s="72">
        <f>J122/O106</f>
        <v>3.0583208730655329E-2</v>
      </c>
      <c r="P108" s="67"/>
      <c r="Q108" s="73" t="s">
        <v>133</v>
      </c>
      <c r="R108" s="66">
        <f>J117/R106</f>
        <v>0.25812445802535411</v>
      </c>
      <c r="S108" s="74"/>
      <c r="T108" s="68" t="s">
        <v>134</v>
      </c>
      <c r="U108" s="75">
        <f>O112</f>
        <v>2882.0165070300627</v>
      </c>
      <c r="V108" s="76"/>
      <c r="W108" s="68" t="s">
        <v>135</v>
      </c>
      <c r="X108" s="75">
        <f>R115</f>
        <v>19009.25148167718</v>
      </c>
    </row>
    <row r="109" spans="1:24" ht="15.75">
      <c r="H109" s="38" t="s">
        <v>94</v>
      </c>
      <c r="I109" s="63">
        <f>ONSV_AUX_2019!U32</f>
        <v>620625</v>
      </c>
      <c r="J109" s="10"/>
      <c r="K109" s="2" t="s">
        <v>2</v>
      </c>
      <c r="L109" s="66">
        <f>I116/L106</f>
        <v>0.12694738389182833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4.416943653054764E-2</v>
      </c>
      <c r="M110" s="22"/>
      <c r="N110" s="30" t="s">
        <v>136</v>
      </c>
      <c r="O110" s="63">
        <f>IF(O108*I105&gt;J122,J122,O108*I105)</f>
        <v>15053.575251776974</v>
      </c>
      <c r="P110" s="79"/>
      <c r="Q110" s="68" t="s">
        <v>137</v>
      </c>
      <c r="R110" s="63">
        <f>I106-I114-I115-I118-I121</f>
        <v>47425</v>
      </c>
      <c r="S110" s="80"/>
      <c r="T110" s="68" t="s">
        <v>138</v>
      </c>
      <c r="U110" s="70">
        <f>O118</f>
        <v>477163.42474822304</v>
      </c>
      <c r="V110" s="79"/>
      <c r="W110" s="68" t="s">
        <v>139</v>
      </c>
      <c r="X110" s="70">
        <f>I114</f>
        <v>35296</v>
      </c>
    </row>
    <row r="111" spans="1:24" ht="15.75">
      <c r="H111" s="26" t="s">
        <v>140</v>
      </c>
      <c r="K111" s="2" t="s">
        <v>0</v>
      </c>
      <c r="L111" s="66">
        <f>I122/L106</f>
        <v>2.5349907294351739E-2</v>
      </c>
      <c r="O111" s="51"/>
      <c r="P111" s="79"/>
      <c r="Q111" s="68" t="s">
        <v>141</v>
      </c>
      <c r="R111" s="63">
        <f>R107*R110</f>
        <v>35183.447578147585</v>
      </c>
      <c r="S111" s="51"/>
      <c r="T111" s="68" t="s">
        <v>142</v>
      </c>
      <c r="U111" s="70">
        <f>O116</f>
        <v>30155</v>
      </c>
      <c r="V111" s="69"/>
      <c r="W111" s="68" t="s">
        <v>143</v>
      </c>
      <c r="X111" s="70">
        <f>I115</f>
        <v>3675</v>
      </c>
    </row>
    <row r="112" spans="1:24" ht="15.75">
      <c r="K112" s="11"/>
      <c r="L112" s="11"/>
      <c r="M112" s="11"/>
      <c r="N112" s="30" t="s">
        <v>144</v>
      </c>
      <c r="O112" s="63">
        <f>J122-O110</f>
        <v>2882.0165070300627</v>
      </c>
      <c r="P112" s="79"/>
      <c r="Q112" s="68" t="s">
        <v>126</v>
      </c>
      <c r="R112" s="63">
        <f>R108*R110</f>
        <v>12241.552421852419</v>
      </c>
      <c r="S112" s="51"/>
      <c r="T112" s="68" t="s">
        <v>145</v>
      </c>
      <c r="U112" s="70">
        <f>O117</f>
        <v>50777</v>
      </c>
      <c r="V112" s="74"/>
      <c r="W112" s="51"/>
      <c r="X112" s="65"/>
    </row>
    <row r="113" spans="8:24" ht="15.75">
      <c r="H113" s="39" t="s">
        <v>104</v>
      </c>
      <c r="I113" s="63">
        <f>ONSV_AUX_2019!U56</f>
        <v>568593</v>
      </c>
      <c r="J113" s="64">
        <f>I113-(L108*I107)</f>
        <v>568516.66433913307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76.335660866927356</v>
      </c>
      <c r="V113" s="74"/>
      <c r="W113" s="68" t="s">
        <v>147</v>
      </c>
      <c r="X113" s="70">
        <f>I121</f>
        <v>7403</v>
      </c>
    </row>
    <row r="114" spans="8:24" ht="15.75">
      <c r="H114" s="39" t="s">
        <v>105</v>
      </c>
      <c r="I114" s="63">
        <f>ONSV_AUX_2019!U57</f>
        <v>35296</v>
      </c>
      <c r="J114" s="10">
        <f>I114</f>
        <v>35296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54634.492420382689</v>
      </c>
      <c r="S114" s="51"/>
      <c r="T114" s="68" t="s">
        <v>150</v>
      </c>
      <c r="U114" s="75">
        <f>O119</f>
        <v>10421.239590910031</v>
      </c>
      <c r="V114" s="51"/>
      <c r="W114" s="68" t="s">
        <v>151</v>
      </c>
      <c r="X114" s="70">
        <f>I118</f>
        <v>5254</v>
      </c>
    </row>
    <row r="115" spans="8:24" ht="15.75">
      <c r="H115" s="39" t="s">
        <v>106</v>
      </c>
      <c r="I115" s="63">
        <f>ONSV_AUX_2019!U58</f>
        <v>3675</v>
      </c>
      <c r="J115" s="10">
        <f>I115</f>
        <v>3675</v>
      </c>
      <c r="K115" s="11"/>
      <c r="L115" s="11"/>
      <c r="M115" s="11"/>
      <c r="O115" s="76"/>
      <c r="P115" s="79"/>
      <c r="Q115" s="68" t="s">
        <v>135</v>
      </c>
      <c r="R115" s="63">
        <f>J117-R112</f>
        <v>19009.25148167718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ONSV_AUX_2019!U59</f>
        <v>89830</v>
      </c>
      <c r="J116" s="64">
        <f>I116-(L109*I107)</f>
        <v>89817.939998530273</v>
      </c>
      <c r="K116" s="11"/>
      <c r="L116" s="11"/>
      <c r="M116" s="11"/>
      <c r="N116" s="30" t="s">
        <v>142</v>
      </c>
      <c r="O116" s="63">
        <f>I104</f>
        <v>30155</v>
      </c>
      <c r="P116" s="79"/>
      <c r="Q116" s="51"/>
      <c r="R116" s="51"/>
      <c r="S116" s="80"/>
      <c r="T116" s="68" t="s">
        <v>141</v>
      </c>
      <c r="U116" s="71">
        <f>R111</f>
        <v>35183.447578147585</v>
      </c>
      <c r="V116" s="51"/>
      <c r="W116" s="68" t="s">
        <v>152</v>
      </c>
      <c r="X116" s="70">
        <f>I119</f>
        <v>446501</v>
      </c>
    </row>
    <row r="117" spans="8:24" ht="15.75">
      <c r="H117" s="39" t="s">
        <v>108</v>
      </c>
      <c r="I117" s="63">
        <f>ONSV_AUX_2019!U60</f>
        <v>31255</v>
      </c>
      <c r="J117" s="64">
        <f>I117-(L110*I107)</f>
        <v>31250.803903529599</v>
      </c>
      <c r="K117" s="11"/>
      <c r="L117" s="11"/>
      <c r="M117" s="11"/>
      <c r="N117" s="30" t="s">
        <v>145</v>
      </c>
      <c r="O117" s="63">
        <f>I108</f>
        <v>50777</v>
      </c>
      <c r="P117" s="79"/>
      <c r="Q117" s="51"/>
      <c r="R117" s="51"/>
      <c r="S117" s="51"/>
      <c r="T117" s="68" t="s">
        <v>153</v>
      </c>
      <c r="U117" s="71">
        <f>I116-J116</f>
        <v>12.060001469726558</v>
      </c>
      <c r="V117" s="51"/>
      <c r="W117" s="68" t="s">
        <v>154</v>
      </c>
      <c r="X117" s="70">
        <f>I120</f>
        <v>63621</v>
      </c>
    </row>
    <row r="118" spans="8:24" ht="15.75">
      <c r="H118" s="39" t="s">
        <v>109</v>
      </c>
      <c r="I118" s="63">
        <f>ONSV_AUX_2019!U61</f>
        <v>5254</v>
      </c>
      <c r="J118" s="10">
        <f>I118</f>
        <v>5254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477163.42474822304</v>
      </c>
      <c r="P118" s="79"/>
      <c r="Q118" s="51"/>
      <c r="R118" s="81"/>
      <c r="S118" s="51"/>
      <c r="T118" s="68" t="s">
        <v>149</v>
      </c>
      <c r="U118" s="75">
        <f>R114</f>
        <v>54634.492420382689</v>
      </c>
      <c r="V118" s="51"/>
      <c r="W118" s="51"/>
      <c r="X118" s="51"/>
    </row>
    <row r="119" spans="8:24" ht="15.75">
      <c r="H119" s="39" t="s">
        <v>110</v>
      </c>
      <c r="I119" s="63">
        <f>ONSV_AUX_2019!U62</f>
        <v>446501</v>
      </c>
      <c r="J119" s="10">
        <f>I119</f>
        <v>446501</v>
      </c>
      <c r="K119" s="11"/>
      <c r="L119" s="11"/>
      <c r="M119" s="11"/>
      <c r="N119" s="30" t="s">
        <v>150</v>
      </c>
      <c r="O119" s="63">
        <f>IF((J113-O116-O118-O117)&lt;0,0,(J113-O116-O118-O117))</f>
        <v>10421.239590910031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ONSV_AUX_2019!U63</f>
        <v>63621</v>
      </c>
      <c r="J120" s="10">
        <f>I120</f>
        <v>63621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1269366</v>
      </c>
    </row>
    <row r="121" spans="8:24" ht="15.75">
      <c r="H121" s="39" t="s">
        <v>112</v>
      </c>
      <c r="I121" s="63">
        <f>ONSV_AUX_2019!U64</f>
        <v>7403</v>
      </c>
      <c r="J121" s="10">
        <f>I121</f>
        <v>7403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ONSV_AUX_2019!U65</f>
        <v>17938</v>
      </c>
      <c r="J122" s="64">
        <f>I122-(L111*I107)</f>
        <v>17935.591758807037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X122"/>
  <sheetViews>
    <sheetView showGridLines="0" topLeftCell="A88" zoomScale="90" zoomScaleNormal="90" workbookViewId="0">
      <selection activeCell="G27" sqref="G27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3" customFormat="1" ht="15.75">
      <c r="A1" s="100" t="str">
        <f>"RIO GRANDE DO SUL/"&amp;ONSV_AUX_2023!$A$1&amp;""</f>
        <v>RIO GRANDE DO SUL/2023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ONSV_AUX_2023!V27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ONSV_AUX_2023!V28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ONSV_AUX_2023!V29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ONSV_AUX_2023!V30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ONSV_AUX_2023!V31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ONSV_AUX_2023!V32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ONSV_AUX_2023!V56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ONSV_AUX_2023!V57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ONSV_AUX_2023!V58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ONSV_AUX_2023!V59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ONSV_AUX_2023!V60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ONSV_AUX_2023!V61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ONSV_AUX_2023!V62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ONSV_AUX_2023!V63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ONSV_AUX_2023!V64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ONSV_AUX_2023!V65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6" customFormat="1" ht="15.75">
      <c r="A25" s="100" t="str">
        <f>"RIO GRANDE DO SUL/"&amp;ONSV_AUX_2022!$A$1&amp;""</f>
        <v>RIO GRANDE DO SUL/2022</v>
      </c>
      <c r="B25" s="101"/>
      <c r="C25" s="101"/>
      <c r="D25" s="101"/>
      <c r="E25" s="101"/>
      <c r="F25" s="10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5.75">
      <c r="A26" s="3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ONSV_AUX_2022!V27</f>
        <v>196007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ONSV_AUX_2022!V28</f>
        <v>2728336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ONSV_AUX_2022!V29</f>
        <v>706403</v>
      </c>
      <c r="J31" s="9"/>
      <c r="K31" s="2" t="s">
        <v>122</v>
      </c>
      <c r="L31" s="63">
        <f>I38+I41+I42+I47</f>
        <v>5691826</v>
      </c>
      <c r="N31" s="30" t="s">
        <v>123</v>
      </c>
      <c r="O31" s="63">
        <f>J38+J47</f>
        <v>4742647.2400878035</v>
      </c>
      <c r="P31" s="67"/>
      <c r="Q31" s="68" t="s">
        <v>124</v>
      </c>
      <c r="R31" s="63">
        <f>J41+J42</f>
        <v>943348.7599121969</v>
      </c>
      <c r="S31" s="69"/>
      <c r="T31" s="68" t="s">
        <v>125</v>
      </c>
      <c r="U31" s="70">
        <f>O35</f>
        <v>55676.327172770565</v>
      </c>
      <c r="V31" s="51"/>
      <c r="W31" s="68" t="s">
        <v>126</v>
      </c>
      <c r="X31" s="71">
        <f>R37</f>
        <v>108057.86951719552</v>
      </c>
    </row>
    <row r="32" spans="1:24" ht="15.75">
      <c r="H32" s="38" t="s">
        <v>102</v>
      </c>
      <c r="I32" s="63">
        <f>ONSV_AUX_2022!V30</f>
        <v>5830</v>
      </c>
      <c r="J32" s="9"/>
      <c r="K32" s="29"/>
      <c r="L32" s="65"/>
      <c r="M32" s="22"/>
      <c r="N32" s="30" t="s">
        <v>127</v>
      </c>
      <c r="O32" s="72">
        <f>J38/O31</f>
        <v>0.97959330259441268</v>
      </c>
      <c r="P32" s="67"/>
      <c r="Q32" s="73" t="s">
        <v>128</v>
      </c>
      <c r="R32" s="66">
        <f>J41/R31</f>
        <v>0.66059348777316063</v>
      </c>
      <c r="S32" s="74"/>
      <c r="T32" s="68" t="s">
        <v>129</v>
      </c>
      <c r="U32" s="70">
        <f>I47-J47</f>
        <v>99.23287008421903</v>
      </c>
      <c r="V32" s="51"/>
      <c r="W32" s="68" t="s">
        <v>130</v>
      </c>
      <c r="X32" s="71">
        <f>I42-J42</f>
        <v>328.2875846872339</v>
      </c>
    </row>
    <row r="33" spans="8:24" ht="15.75">
      <c r="H33" s="38" t="s">
        <v>16</v>
      </c>
      <c r="I33" s="63">
        <f>ONSV_AUX_2022!V31</f>
        <v>92151</v>
      </c>
      <c r="J33" s="9"/>
      <c r="K33" s="2" t="s">
        <v>131</v>
      </c>
      <c r="L33" s="66">
        <f>I38/L31</f>
        <v>0.81707153381006381</v>
      </c>
      <c r="M33" s="22"/>
      <c r="N33" s="30" t="s">
        <v>132</v>
      </c>
      <c r="O33" s="72">
        <f>J47/O31</f>
        <v>2.040669740558735E-2</v>
      </c>
      <c r="P33" s="67"/>
      <c r="Q33" s="73" t="s">
        <v>133</v>
      </c>
      <c r="R33" s="66">
        <f>J42/R31</f>
        <v>0.33940651222683932</v>
      </c>
      <c r="S33" s="74"/>
      <c r="T33" s="68" t="s">
        <v>134</v>
      </c>
      <c r="U33" s="75">
        <f>O37</f>
        <v>41105.439957145216</v>
      </c>
      <c r="V33" s="76"/>
      <c r="W33" s="68" t="s">
        <v>135</v>
      </c>
      <c r="X33" s="75">
        <f>R40</f>
        <v>212120.84289811726</v>
      </c>
    </row>
    <row r="34" spans="8:24" ht="15.75">
      <c r="H34" s="38" t="s">
        <v>94</v>
      </c>
      <c r="I34" s="63">
        <f>ONSV_AUX_2022!V32</f>
        <v>3699646</v>
      </c>
      <c r="J34" s="10"/>
      <c r="K34" s="2" t="s">
        <v>2</v>
      </c>
      <c r="L34" s="66">
        <f>I41/L31</f>
        <v>0.10959734187236223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5.6310048831429489E-2</v>
      </c>
      <c r="M35" s="22"/>
      <c r="N35" s="30" t="s">
        <v>136</v>
      </c>
      <c r="O35" s="63">
        <f>IF(O33*I30&gt;J47,J47,O33*I30)</f>
        <v>55676.327172770565</v>
      </c>
      <c r="P35" s="79"/>
      <c r="Q35" s="68" t="s">
        <v>137</v>
      </c>
      <c r="R35" s="63">
        <f>I31-I39-I40-I43-I46</f>
        <v>318373</v>
      </c>
      <c r="S35" s="80"/>
      <c r="T35" s="68" t="s">
        <v>138</v>
      </c>
      <c r="U35" s="70">
        <f>O43</f>
        <v>2672659.6728272294</v>
      </c>
      <c r="V35" s="79"/>
      <c r="W35" s="68" t="s">
        <v>139</v>
      </c>
      <c r="X35" s="70">
        <f>I39</f>
        <v>249540</v>
      </c>
    </row>
    <row r="36" spans="8:24" ht="15.75">
      <c r="H36" s="26" t="s">
        <v>140</v>
      </c>
      <c r="K36" s="2" t="s">
        <v>0</v>
      </c>
      <c r="L36" s="66">
        <f>I47/L31</f>
        <v>1.7021075486144517E-2</v>
      </c>
      <c r="O36" s="51"/>
      <c r="P36" s="79"/>
      <c r="Q36" s="68" t="s">
        <v>141</v>
      </c>
      <c r="R36" s="63">
        <f>R32*R35</f>
        <v>210315.13048280447</v>
      </c>
      <c r="S36" s="51"/>
      <c r="T36" s="68" t="s">
        <v>142</v>
      </c>
      <c r="U36" s="70">
        <f>O41</f>
        <v>196007</v>
      </c>
      <c r="V36" s="69"/>
      <c r="W36" s="68" t="s">
        <v>143</v>
      </c>
      <c r="X36" s="70">
        <f>I40</f>
        <v>73081</v>
      </c>
    </row>
    <row r="37" spans="8:24" ht="15.75">
      <c r="K37" s="11"/>
      <c r="L37" s="11"/>
      <c r="M37" s="11"/>
      <c r="N37" s="30" t="s">
        <v>144</v>
      </c>
      <c r="O37" s="63">
        <f>J47-O35</f>
        <v>41105.439957145216</v>
      </c>
      <c r="P37" s="79"/>
      <c r="Q37" s="68" t="s">
        <v>126</v>
      </c>
      <c r="R37" s="63">
        <f>R33*R35</f>
        <v>108057.86951719552</v>
      </c>
      <c r="S37" s="51"/>
      <c r="T37" s="68" t="s">
        <v>145</v>
      </c>
      <c r="U37" s="70">
        <f>O42</f>
        <v>92151</v>
      </c>
      <c r="V37" s="74"/>
      <c r="W37" s="51"/>
      <c r="X37" s="65"/>
    </row>
    <row r="38" spans="8:24" ht="15.75">
      <c r="H38" s="39" t="s">
        <v>104</v>
      </c>
      <c r="I38" s="63">
        <f>ONSV_AUX_2022!V56</f>
        <v>4650629</v>
      </c>
      <c r="J38" s="64">
        <f>I38-(L33*I32)</f>
        <v>4645865.4729578877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4763.5270421123132</v>
      </c>
      <c r="V38" s="74"/>
      <c r="W38" s="68" t="s">
        <v>147</v>
      </c>
      <c r="X38" s="70">
        <f>I46</f>
        <v>42825</v>
      </c>
    </row>
    <row r="39" spans="8:24" ht="15.75">
      <c r="H39" s="39" t="s">
        <v>105</v>
      </c>
      <c r="I39" s="63">
        <f>ONSV_AUX_2022!V57</f>
        <v>249540</v>
      </c>
      <c r="J39" s="10">
        <f>I39</f>
        <v>249540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412854.91701407963</v>
      </c>
      <c r="S39" s="51"/>
      <c r="T39" s="68" t="s">
        <v>150</v>
      </c>
      <c r="U39" s="75">
        <f>O44</f>
        <v>1685047.8001306583</v>
      </c>
      <c r="V39" s="51"/>
      <c r="W39" s="68" t="s">
        <v>151</v>
      </c>
      <c r="X39" s="70">
        <f>I43</f>
        <v>22584</v>
      </c>
    </row>
    <row r="40" spans="8:24" ht="15.75">
      <c r="H40" s="39" t="s">
        <v>106</v>
      </c>
      <c r="I40" s="63">
        <f>ONSV_AUX_2022!V58</f>
        <v>73081</v>
      </c>
      <c r="J40" s="10">
        <f>I40</f>
        <v>73081</v>
      </c>
      <c r="K40" s="11"/>
      <c r="L40" s="11"/>
      <c r="M40" s="11"/>
      <c r="O40" s="76"/>
      <c r="P40" s="79"/>
      <c r="Q40" s="68" t="s">
        <v>135</v>
      </c>
      <c r="R40" s="63">
        <f>J42-R37</f>
        <v>212120.84289811726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ONSV_AUX_2022!V59</f>
        <v>623809</v>
      </c>
      <c r="J41" s="64">
        <f>I41-(L34*I32)</f>
        <v>623170.04749688413</v>
      </c>
      <c r="K41" s="11"/>
      <c r="L41" s="11"/>
      <c r="M41" s="11"/>
      <c r="N41" s="30" t="s">
        <v>142</v>
      </c>
      <c r="O41" s="63">
        <f>I29</f>
        <v>196007</v>
      </c>
      <c r="P41" s="79"/>
      <c r="Q41" s="51"/>
      <c r="R41" s="51"/>
      <c r="S41" s="80"/>
      <c r="T41" s="68" t="s">
        <v>141</v>
      </c>
      <c r="U41" s="71">
        <f>R36</f>
        <v>210315.13048280447</v>
      </c>
      <c r="V41" s="51"/>
      <c r="W41" s="68" t="s">
        <v>152</v>
      </c>
      <c r="X41" s="70">
        <f>I44</f>
        <v>1167384</v>
      </c>
    </row>
    <row r="42" spans="8:24" ht="15.75">
      <c r="H42" s="39" t="s">
        <v>108</v>
      </c>
      <c r="I42" s="63">
        <f>ONSV_AUX_2022!V60</f>
        <v>320507</v>
      </c>
      <c r="J42" s="64">
        <f>I42-(L35*I32)</f>
        <v>320178.71241531277</v>
      </c>
      <c r="K42" s="11"/>
      <c r="L42" s="11"/>
      <c r="M42" s="11"/>
      <c r="N42" s="30" t="s">
        <v>145</v>
      </c>
      <c r="O42" s="63">
        <f>I33</f>
        <v>92151</v>
      </c>
      <c r="P42" s="79"/>
      <c r="Q42" s="51"/>
      <c r="R42" s="51"/>
      <c r="S42" s="51"/>
      <c r="T42" s="68" t="s">
        <v>153</v>
      </c>
      <c r="U42" s="71">
        <f>I41-J41</f>
        <v>638.95250311587006</v>
      </c>
      <c r="V42" s="51"/>
      <c r="W42" s="68" t="s">
        <v>154</v>
      </c>
      <c r="X42" s="70">
        <f>I45</f>
        <v>211603</v>
      </c>
    </row>
    <row r="43" spans="8:24" ht="15.75">
      <c r="H43" s="39" t="s">
        <v>109</v>
      </c>
      <c r="I43" s="63">
        <f>ONSV_AUX_2022!V61</f>
        <v>22584</v>
      </c>
      <c r="J43" s="10">
        <f>I43</f>
        <v>22584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2672659.6728272294</v>
      </c>
      <c r="P43" s="79"/>
      <c r="Q43" s="51"/>
      <c r="R43" s="81"/>
      <c r="S43" s="51"/>
      <c r="T43" s="68" t="s">
        <v>149</v>
      </c>
      <c r="U43" s="75">
        <f>R39</f>
        <v>412854.91701407963</v>
      </c>
      <c r="V43" s="51"/>
      <c r="W43" s="51"/>
      <c r="X43" s="51"/>
    </row>
    <row r="44" spans="8:24" ht="15.75">
      <c r="H44" s="39" t="s">
        <v>110</v>
      </c>
      <c r="I44" s="63">
        <f>ONSV_AUX_2022!V62</f>
        <v>1167384</v>
      </c>
      <c r="J44" s="10">
        <f>I44</f>
        <v>1167384</v>
      </c>
      <c r="K44" s="11"/>
      <c r="L44" s="11"/>
      <c r="M44" s="11"/>
      <c r="N44" s="30" t="s">
        <v>150</v>
      </c>
      <c r="O44" s="63">
        <f>IF((J38-O41-O43-O42)&lt;0,0,(J38-O41-O43-O42))</f>
        <v>1685047.8001306583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ONSV_AUX_2022!V63</f>
        <v>211603</v>
      </c>
      <c r="J45" s="10">
        <f>I45</f>
        <v>211603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7458843.0000000009</v>
      </c>
    </row>
    <row r="46" spans="8:24" ht="15.75">
      <c r="H46" s="39" t="s">
        <v>112</v>
      </c>
      <c r="I46" s="63">
        <f>ONSV_AUX_2022!V64</f>
        <v>42825</v>
      </c>
      <c r="J46" s="10">
        <f>I46</f>
        <v>42825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ONSV_AUX_2022!V65</f>
        <v>96881</v>
      </c>
      <c r="J47" s="64">
        <f>I47-(L36*I32)</f>
        <v>96781.767129915781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4.25" customHeight="1">
      <c r="J49" s="11"/>
    </row>
    <row r="50" spans="1:24" s="36" customFormat="1" ht="15.75">
      <c r="A50" s="100" t="str">
        <f>"RIO GRANDE DO SUL/"&amp;ONSV_AUX_2021!$A$1&amp;""</f>
        <v>RIO GRANDE DO SUL/2021</v>
      </c>
      <c r="B50" s="101"/>
      <c r="C50" s="101"/>
      <c r="D50" s="101"/>
      <c r="E50" s="101"/>
      <c r="F50" s="101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ONSV_AUX_2021!V27</f>
        <v>196191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ONSV_AUX_2021!V28</f>
        <v>2617691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ONSV_AUX_2021!V29</f>
        <v>673844</v>
      </c>
      <c r="J56" s="9"/>
      <c r="K56" s="2" t="s">
        <v>122</v>
      </c>
      <c r="L56" s="63">
        <f>I63+I66+I67+I72</f>
        <v>5571426</v>
      </c>
      <c r="N56" s="30" t="s">
        <v>123</v>
      </c>
      <c r="O56" s="63">
        <f>J63+J72</f>
        <v>4663007.1842558794</v>
      </c>
      <c r="P56" s="67"/>
      <c r="Q56" s="68" t="s">
        <v>124</v>
      </c>
      <c r="R56" s="63">
        <f>J66+J67</f>
        <v>904922.81574412005</v>
      </c>
      <c r="S56" s="69"/>
      <c r="T56" s="68" t="s">
        <v>125</v>
      </c>
      <c r="U56" s="70">
        <f>O60</f>
        <v>48200.744321556129</v>
      </c>
      <c r="V56" s="51"/>
      <c r="W56" s="68" t="s">
        <v>126</v>
      </c>
      <c r="X56" s="71">
        <f>R62</f>
        <v>100591.8667507463</v>
      </c>
    </row>
    <row r="57" spans="1:24" ht="15.75">
      <c r="H57" s="38" t="s">
        <v>102</v>
      </c>
      <c r="I57" s="63">
        <f>ONSV_AUX_2021!V30</f>
        <v>3496</v>
      </c>
      <c r="J57" s="9"/>
      <c r="K57" s="29"/>
      <c r="L57" s="65"/>
      <c r="M57" s="22"/>
      <c r="N57" s="30" t="s">
        <v>127</v>
      </c>
      <c r="O57" s="72">
        <f>J63/O56</f>
        <v>0.98158654160420156</v>
      </c>
      <c r="P57" s="67"/>
      <c r="Q57" s="73" t="s">
        <v>128</v>
      </c>
      <c r="R57" s="66">
        <f>J66/R56</f>
        <v>0.66264490756948435</v>
      </c>
      <c r="S57" s="74"/>
      <c r="T57" s="68" t="s">
        <v>129</v>
      </c>
      <c r="U57" s="70">
        <f>I72-J72</f>
        <v>53.911213394923834</v>
      </c>
      <c r="V57" s="51"/>
      <c r="W57" s="68" t="s">
        <v>130</v>
      </c>
      <c r="X57" s="71">
        <f>I67-J67</f>
        <v>191.67985215992667</v>
      </c>
    </row>
    <row r="58" spans="1:24" ht="15.75">
      <c r="H58" s="38" t="s">
        <v>16</v>
      </c>
      <c r="I58" s="63">
        <f>ONSV_AUX_2021!V31</f>
        <v>87775</v>
      </c>
      <c r="J58" s="9"/>
      <c r="K58" s="2" t="s">
        <v>131</v>
      </c>
      <c r="L58" s="66">
        <f>I63/L56</f>
        <v>0.82205507171772541</v>
      </c>
      <c r="M58" s="22"/>
      <c r="N58" s="30" t="s">
        <v>132</v>
      </c>
      <c r="O58" s="72">
        <f>J72/O56</f>
        <v>1.8413458395798485E-2</v>
      </c>
      <c r="P58" s="67"/>
      <c r="Q58" s="73" t="s">
        <v>133</v>
      </c>
      <c r="R58" s="66">
        <f>J67/R56</f>
        <v>0.33735509243051565</v>
      </c>
      <c r="S58" s="74"/>
      <c r="T58" s="68" t="s">
        <v>134</v>
      </c>
      <c r="U58" s="75">
        <f>O62</f>
        <v>37661.344465048947</v>
      </c>
      <c r="V58" s="76"/>
      <c r="W58" s="68" t="s">
        <v>135</v>
      </c>
      <c r="X58" s="75">
        <f>R65</f>
        <v>204688.45339709378</v>
      </c>
    </row>
    <row r="59" spans="1:24" ht="15.75">
      <c r="H59" s="38" t="s">
        <v>94</v>
      </c>
      <c r="I59" s="63">
        <f>ONSV_AUX_2021!V32</f>
        <v>3682424</v>
      </c>
      <c r="J59" s="10"/>
      <c r="K59" s="2" t="s">
        <v>2</v>
      </c>
      <c r="L59" s="66">
        <f>I66/L56</f>
        <v>0.10769576765445686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5.4828332997692152E-2</v>
      </c>
      <c r="M60" s="22"/>
      <c r="N60" s="30" t="s">
        <v>136</v>
      </c>
      <c r="O60" s="63">
        <f>IF(O58*I55&gt;J72,J72,O58*I55)</f>
        <v>48200.744321556129</v>
      </c>
      <c r="P60" s="79"/>
      <c r="Q60" s="68" t="s">
        <v>137</v>
      </c>
      <c r="R60" s="63">
        <f>I56-I64-I65-I68-I71</f>
        <v>298178</v>
      </c>
      <c r="S60" s="80"/>
      <c r="T60" s="68" t="s">
        <v>138</v>
      </c>
      <c r="U60" s="70">
        <f>O68</f>
        <v>2569490.2556784442</v>
      </c>
      <c r="V60" s="79"/>
      <c r="W60" s="68" t="s">
        <v>139</v>
      </c>
      <c r="X60" s="70">
        <f>I64</f>
        <v>243004</v>
      </c>
    </row>
    <row r="61" spans="1:24" ht="15.75">
      <c r="H61" s="26" t="s">
        <v>140</v>
      </c>
      <c r="K61" s="2" t="s">
        <v>0</v>
      </c>
      <c r="L61" s="66">
        <f>I72/L56</f>
        <v>1.5420827630125573E-2</v>
      </c>
      <c r="O61" s="51"/>
      <c r="P61" s="79"/>
      <c r="Q61" s="68" t="s">
        <v>141</v>
      </c>
      <c r="R61" s="63">
        <f>R57*R60</f>
        <v>197586.1332492537</v>
      </c>
      <c r="S61" s="51"/>
      <c r="T61" s="68" t="s">
        <v>142</v>
      </c>
      <c r="U61" s="70">
        <f>O66</f>
        <v>196191</v>
      </c>
      <c r="V61" s="69"/>
      <c r="W61" s="68" t="s">
        <v>143</v>
      </c>
      <c r="X61" s="70">
        <f>I65</f>
        <v>67887</v>
      </c>
    </row>
    <row r="62" spans="1:24" ht="15.75">
      <c r="K62" s="11"/>
      <c r="L62" s="11"/>
      <c r="M62" s="11"/>
      <c r="N62" s="30" t="s">
        <v>144</v>
      </c>
      <c r="O62" s="63">
        <f>J72-O60</f>
        <v>37661.344465048947</v>
      </c>
      <c r="P62" s="79"/>
      <c r="Q62" s="68" t="s">
        <v>126</v>
      </c>
      <c r="R62" s="63">
        <f>R58*R60</f>
        <v>100591.8667507463</v>
      </c>
      <c r="S62" s="51"/>
      <c r="T62" s="68" t="s">
        <v>145</v>
      </c>
      <c r="U62" s="70">
        <f>O67</f>
        <v>87775</v>
      </c>
      <c r="V62" s="74"/>
      <c r="W62" s="51"/>
      <c r="X62" s="65"/>
    </row>
    <row r="63" spans="1:24" ht="15.75">
      <c r="H63" s="39" t="s">
        <v>104</v>
      </c>
      <c r="I63" s="63">
        <f>ONSV_AUX_2021!V56</f>
        <v>4580019</v>
      </c>
      <c r="J63" s="64">
        <f>I63-(L58*I57)</f>
        <v>4577145.0954692746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2873.9045307254419</v>
      </c>
      <c r="V63" s="74"/>
      <c r="W63" s="68" t="s">
        <v>147</v>
      </c>
      <c r="X63" s="70">
        <f>I71</f>
        <v>42636</v>
      </c>
    </row>
    <row r="64" spans="1:24" ht="15.75">
      <c r="H64" s="39" t="s">
        <v>105</v>
      </c>
      <c r="I64" s="63">
        <f>ONSV_AUX_2021!V57</f>
        <v>243004</v>
      </c>
      <c r="J64" s="10">
        <f>I64</f>
        <v>243004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402056.36234702624</v>
      </c>
      <c r="S64" s="51"/>
      <c r="T64" s="68" t="s">
        <v>150</v>
      </c>
      <c r="U64" s="75">
        <f>O69</f>
        <v>1723688.8397908304</v>
      </c>
      <c r="V64" s="51"/>
      <c r="W64" s="68" t="s">
        <v>151</v>
      </c>
      <c r="X64" s="70">
        <f>I68</f>
        <v>22139</v>
      </c>
    </row>
    <row r="65" spans="1:24" ht="15.75">
      <c r="H65" s="39" t="s">
        <v>106</v>
      </c>
      <c r="I65" s="63">
        <f>ONSV_AUX_2021!V58</f>
        <v>67887</v>
      </c>
      <c r="J65" s="10">
        <f>I65</f>
        <v>67887</v>
      </c>
      <c r="K65" s="11"/>
      <c r="L65" s="11"/>
      <c r="M65" s="11"/>
      <c r="O65" s="76"/>
      <c r="P65" s="79"/>
      <c r="Q65" s="68" t="s">
        <v>135</v>
      </c>
      <c r="R65" s="63">
        <f>J67-R62</f>
        <v>204688.45339709378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ONSV_AUX_2021!V59</f>
        <v>600019</v>
      </c>
      <c r="J66" s="64">
        <f>I66-(L59*I57)</f>
        <v>599642.49559627997</v>
      </c>
      <c r="K66" s="11"/>
      <c r="L66" s="11"/>
      <c r="M66" s="11"/>
      <c r="N66" s="30" t="s">
        <v>142</v>
      </c>
      <c r="O66" s="63">
        <f>I54</f>
        <v>196191</v>
      </c>
      <c r="P66" s="79"/>
      <c r="Q66" s="51"/>
      <c r="R66" s="51"/>
      <c r="S66" s="80"/>
      <c r="T66" s="68" t="s">
        <v>141</v>
      </c>
      <c r="U66" s="71">
        <f>R61</f>
        <v>197586.1332492537</v>
      </c>
      <c r="V66" s="51"/>
      <c r="W66" s="68" t="s">
        <v>152</v>
      </c>
      <c r="X66" s="70">
        <f>I69</f>
        <v>1140717</v>
      </c>
    </row>
    <row r="67" spans="1:24" ht="15.75">
      <c r="H67" s="39" t="s">
        <v>108</v>
      </c>
      <c r="I67" s="63">
        <f>ONSV_AUX_2021!V60</f>
        <v>305472</v>
      </c>
      <c r="J67" s="64">
        <f>I67-(L60*I57)</f>
        <v>305280.32014784007</v>
      </c>
      <c r="K67" s="11"/>
      <c r="L67" s="11"/>
      <c r="M67" s="11"/>
      <c r="N67" s="30" t="s">
        <v>145</v>
      </c>
      <c r="O67" s="63">
        <f>I58</f>
        <v>87775</v>
      </c>
      <c r="P67" s="79"/>
      <c r="Q67" s="51"/>
      <c r="R67" s="51"/>
      <c r="S67" s="51"/>
      <c r="T67" s="68" t="s">
        <v>153</v>
      </c>
      <c r="U67" s="71">
        <f>I66-J66</f>
        <v>376.50440372002777</v>
      </c>
      <c r="V67" s="51"/>
      <c r="W67" s="68" t="s">
        <v>154</v>
      </c>
      <c r="X67" s="70">
        <f>I70</f>
        <v>204473</v>
      </c>
    </row>
    <row r="68" spans="1:24" ht="15.75">
      <c r="H68" s="39" t="s">
        <v>109</v>
      </c>
      <c r="I68" s="63">
        <f>ONSV_AUX_2021!V61</f>
        <v>22139</v>
      </c>
      <c r="J68" s="10">
        <f>I68</f>
        <v>22139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2569490.2556784442</v>
      </c>
      <c r="P68" s="79"/>
      <c r="Q68" s="51"/>
      <c r="R68" s="81"/>
      <c r="S68" s="51"/>
      <c r="T68" s="68" t="s">
        <v>149</v>
      </c>
      <c r="U68" s="75">
        <f>R64</f>
        <v>402056.36234702624</v>
      </c>
      <c r="V68" s="51"/>
      <c r="W68" s="51"/>
      <c r="X68" s="51"/>
    </row>
    <row r="69" spans="1:24" ht="15.75">
      <c r="H69" s="39" t="s">
        <v>110</v>
      </c>
      <c r="I69" s="63">
        <f>ONSV_AUX_2021!V62</f>
        <v>1140717</v>
      </c>
      <c r="J69" s="10">
        <f>I69</f>
        <v>1140717</v>
      </c>
      <c r="K69" s="11"/>
      <c r="L69" s="11"/>
      <c r="M69" s="11"/>
      <c r="N69" s="30" t="s">
        <v>150</v>
      </c>
      <c r="O69" s="63">
        <f>IF((J63-O66-O68-O67)&lt;0,0,(J63-O66-O68-O67))</f>
        <v>1723688.8397908304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ONSV_AUX_2021!V63</f>
        <v>204473</v>
      </c>
      <c r="J70" s="10">
        <f>I70</f>
        <v>204473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7292281.9999999991</v>
      </c>
    </row>
    <row r="71" spans="1:24" ht="15.75">
      <c r="H71" s="39" t="s">
        <v>112</v>
      </c>
      <c r="I71" s="63">
        <f>ONSV_AUX_2021!V64</f>
        <v>42636</v>
      </c>
      <c r="J71" s="10">
        <f>I71</f>
        <v>42636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ONSV_AUX_2021!V65</f>
        <v>85916</v>
      </c>
      <c r="J72" s="64">
        <f>I72-(L61*I57)</f>
        <v>85862.088786605076</v>
      </c>
      <c r="K72" s="12"/>
      <c r="L72" s="12"/>
      <c r="M72" s="12"/>
      <c r="N72" s="12"/>
      <c r="O72" s="12"/>
      <c r="P72" s="12"/>
      <c r="Q72" s="4"/>
      <c r="R72" s="4"/>
    </row>
    <row r="75" spans="1:24" s="36" customFormat="1" ht="15.75">
      <c r="A75" s="100" t="str">
        <f>"RIO GRANDE DO SUL/"&amp;ONSV_AUX_2020!$A$1&amp;""</f>
        <v>RIO GRANDE DO SUL/2020</v>
      </c>
      <c r="B75" s="101"/>
      <c r="C75" s="101"/>
      <c r="D75" s="101"/>
      <c r="E75" s="101"/>
      <c r="F75" s="10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ONSV_AUX_2020!V27</f>
        <v>196395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ONSV_AUX_2020!V28</f>
        <v>2482472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ONSV_AUX_2020!V29</f>
        <v>645554</v>
      </c>
      <c r="J81" s="9"/>
      <c r="K81" s="2" t="s">
        <v>122</v>
      </c>
      <c r="L81" s="63">
        <f>I88+I91+I92+I97</f>
        <v>5423995</v>
      </c>
      <c r="N81" s="30" t="s">
        <v>123</v>
      </c>
      <c r="O81" s="63">
        <f>J88+J97</f>
        <v>4555688.2223781552</v>
      </c>
      <c r="P81" s="67"/>
      <c r="Q81" s="68" t="s">
        <v>124</v>
      </c>
      <c r="R81" s="63">
        <f>J91+J92</f>
        <v>866214.77762184525</v>
      </c>
      <c r="S81" s="69"/>
      <c r="T81" s="68" t="s">
        <v>125</v>
      </c>
      <c r="U81" s="70">
        <f>O85</f>
        <v>40836.126937762943</v>
      </c>
      <c r="V81" s="51"/>
      <c r="W81" s="68" t="s">
        <v>126</v>
      </c>
      <c r="X81" s="71">
        <f>R87</f>
        <v>94225.732333659122</v>
      </c>
    </row>
    <row r="82" spans="8:24" ht="15.75">
      <c r="H82" s="38" t="s">
        <v>102</v>
      </c>
      <c r="I82" s="63">
        <f>ONSV_AUX_2020!V30</f>
        <v>2092</v>
      </c>
      <c r="J82" s="9"/>
      <c r="K82" s="29"/>
      <c r="L82" s="65"/>
      <c r="M82" s="22"/>
      <c r="N82" s="30" t="s">
        <v>127</v>
      </c>
      <c r="O82" s="72">
        <f>J88/O81</f>
        <v>0.98355021650283958</v>
      </c>
      <c r="P82" s="67"/>
      <c r="Q82" s="73" t="s">
        <v>128</v>
      </c>
      <c r="R82" s="66">
        <f>J91/R81</f>
        <v>0.66254187587776336</v>
      </c>
      <c r="S82" s="74"/>
      <c r="T82" s="68" t="s">
        <v>129</v>
      </c>
      <c r="U82" s="70">
        <f>I97-J97</f>
        <v>28.915061315507046</v>
      </c>
      <c r="V82" s="51"/>
      <c r="W82" s="68" t="s">
        <v>130</v>
      </c>
      <c r="X82" s="71">
        <f>I92-J92</f>
        <v>112.78605677181622</v>
      </c>
    </row>
    <row r="83" spans="8:24" ht="15.75">
      <c r="H83" s="38" t="s">
        <v>16</v>
      </c>
      <c r="I83" s="63">
        <f>ONSV_AUX_2020!V31</f>
        <v>84102</v>
      </c>
      <c r="J83" s="9"/>
      <c r="K83" s="2" t="s">
        <v>131</v>
      </c>
      <c r="L83" s="66">
        <f>I88/L81</f>
        <v>0.82641613792048108</v>
      </c>
      <c r="M83" s="22"/>
      <c r="N83" s="30" t="s">
        <v>132</v>
      </c>
      <c r="O83" s="72">
        <f>J97/O81</f>
        <v>1.6449783497160468E-2</v>
      </c>
      <c r="P83" s="67"/>
      <c r="Q83" s="73" t="s">
        <v>133</v>
      </c>
      <c r="R83" s="66">
        <f>J92/R81</f>
        <v>0.33745812412223652</v>
      </c>
      <c r="S83" s="74"/>
      <c r="T83" s="68" t="s">
        <v>134</v>
      </c>
      <c r="U83" s="75">
        <f>O87</f>
        <v>34103.95800092155</v>
      </c>
      <c r="V83" s="76"/>
      <c r="W83" s="68" t="s">
        <v>135</v>
      </c>
      <c r="X83" s="75">
        <f>R90</f>
        <v>198085.48160956905</v>
      </c>
    </row>
    <row r="84" spans="8:24" ht="15.75">
      <c r="H84" s="38" t="s">
        <v>94</v>
      </c>
      <c r="I84" s="63">
        <f>ONSV_AUX_2020!V32</f>
        <v>3665311</v>
      </c>
      <c r="J84" s="10"/>
      <c r="K84" s="2" t="s">
        <v>2</v>
      </c>
      <c r="L84" s="66">
        <f>I91/L81</f>
        <v>0.10584910199954092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5.3913029049621176E-2</v>
      </c>
      <c r="M85" s="22"/>
      <c r="N85" s="30" t="s">
        <v>136</v>
      </c>
      <c r="O85" s="63">
        <f>IF(O83*I80&gt;J97,J97,O83*I80)</f>
        <v>40836.126937762943</v>
      </c>
      <c r="P85" s="79"/>
      <c r="Q85" s="68" t="s">
        <v>137</v>
      </c>
      <c r="R85" s="63">
        <f>I81-I89-I90-I93-I96</f>
        <v>279222</v>
      </c>
      <c r="S85" s="80"/>
      <c r="T85" s="68" t="s">
        <v>138</v>
      </c>
      <c r="U85" s="70">
        <f>O93</f>
        <v>2441635.8730622372</v>
      </c>
      <c r="V85" s="79"/>
      <c r="W85" s="68" t="s">
        <v>139</v>
      </c>
      <c r="X85" s="70">
        <f>I89</f>
        <v>238548</v>
      </c>
    </row>
    <row r="86" spans="8:24" ht="15.75">
      <c r="H86" s="26" t="s">
        <v>140</v>
      </c>
      <c r="K86" s="2" t="s">
        <v>0</v>
      </c>
      <c r="L86" s="66">
        <f>I97/L81</f>
        <v>1.3821731030356776E-2</v>
      </c>
      <c r="O86" s="51"/>
      <c r="P86" s="79"/>
      <c r="Q86" s="68" t="s">
        <v>141</v>
      </c>
      <c r="R86" s="63">
        <f>R82*R85</f>
        <v>184996.26766634083</v>
      </c>
      <c r="S86" s="51"/>
      <c r="T86" s="68" t="s">
        <v>142</v>
      </c>
      <c r="U86" s="70">
        <f>O91</f>
        <v>196395</v>
      </c>
      <c r="V86" s="69"/>
      <c r="W86" s="68" t="s">
        <v>143</v>
      </c>
      <c r="X86" s="70">
        <f>I90</f>
        <v>63221</v>
      </c>
    </row>
    <row r="87" spans="8:24" ht="15.75">
      <c r="K87" s="11"/>
      <c r="L87" s="11"/>
      <c r="M87" s="11"/>
      <c r="N87" s="30" t="s">
        <v>144</v>
      </c>
      <c r="O87" s="63">
        <f>J97-O85</f>
        <v>34103.95800092155</v>
      </c>
      <c r="P87" s="79"/>
      <c r="Q87" s="68" t="s">
        <v>126</v>
      </c>
      <c r="R87" s="63">
        <f>R83*R85</f>
        <v>94225.732333659122</v>
      </c>
      <c r="S87" s="51"/>
      <c r="T87" s="68" t="s">
        <v>145</v>
      </c>
      <c r="U87" s="70">
        <f>O92</f>
        <v>84102</v>
      </c>
      <c r="V87" s="74"/>
      <c r="W87" s="51"/>
      <c r="X87" s="65"/>
    </row>
    <row r="88" spans="8:24" ht="15.75">
      <c r="H88" s="39" t="s">
        <v>104</v>
      </c>
      <c r="I88" s="63">
        <f>ONSV_AUX_2020!V56</f>
        <v>4482477</v>
      </c>
      <c r="J88" s="64">
        <f>I88-(L83*I82)</f>
        <v>4480748.1374394707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1728.8625605292618</v>
      </c>
      <c r="V88" s="74"/>
      <c r="W88" s="68" t="s">
        <v>147</v>
      </c>
      <c r="X88" s="70">
        <f>I96</f>
        <v>42529</v>
      </c>
    </row>
    <row r="89" spans="8:24" ht="15.75">
      <c r="H89" s="39" t="s">
        <v>105</v>
      </c>
      <c r="I89" s="63">
        <f>ONSV_AUX_2020!V57</f>
        <v>238548</v>
      </c>
      <c r="J89" s="10">
        <f>I89</f>
        <v>238548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388907.2960122762</v>
      </c>
      <c r="S89" s="51"/>
      <c r="T89" s="68" t="s">
        <v>150</v>
      </c>
      <c r="U89" s="75">
        <f>O94</f>
        <v>1758615.2643772336</v>
      </c>
      <c r="V89" s="51"/>
      <c r="W89" s="68" t="s">
        <v>151</v>
      </c>
      <c r="X89" s="70">
        <f>I93</f>
        <v>22034</v>
      </c>
    </row>
    <row r="90" spans="8:24" ht="15.75">
      <c r="H90" s="39" t="s">
        <v>106</v>
      </c>
      <c r="I90" s="63">
        <f>ONSV_AUX_2020!V58</f>
        <v>63221</v>
      </c>
      <c r="J90" s="10">
        <f>I90</f>
        <v>63221</v>
      </c>
      <c r="K90" s="11"/>
      <c r="L90" s="11"/>
      <c r="M90" s="11"/>
      <c r="O90" s="76"/>
      <c r="P90" s="79"/>
      <c r="Q90" s="68" t="s">
        <v>135</v>
      </c>
      <c r="R90" s="63">
        <f>J92-R87</f>
        <v>198085.48160956905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ONSV_AUX_2020!V59</f>
        <v>574125</v>
      </c>
      <c r="J91" s="64">
        <f>I91-(L84*I82)</f>
        <v>573903.56367861701</v>
      </c>
      <c r="K91" s="11"/>
      <c r="L91" s="11"/>
      <c r="M91" s="11"/>
      <c r="N91" s="30" t="s">
        <v>142</v>
      </c>
      <c r="O91" s="63">
        <f>I79</f>
        <v>196395</v>
      </c>
      <c r="P91" s="79"/>
      <c r="Q91" s="51"/>
      <c r="R91" s="51"/>
      <c r="S91" s="80"/>
      <c r="T91" s="68" t="s">
        <v>141</v>
      </c>
      <c r="U91" s="71">
        <f>R86</f>
        <v>184996.26766634083</v>
      </c>
      <c r="V91" s="51"/>
      <c r="W91" s="68" t="s">
        <v>152</v>
      </c>
      <c r="X91" s="70">
        <f>I94</f>
        <v>1118054</v>
      </c>
    </row>
    <row r="92" spans="8:24" ht="15.75">
      <c r="H92" s="39" t="s">
        <v>108</v>
      </c>
      <c r="I92" s="63">
        <f>ONSV_AUX_2020!V60</f>
        <v>292424</v>
      </c>
      <c r="J92" s="64">
        <f>I92-(L85*I82)</f>
        <v>292311.21394322818</v>
      </c>
      <c r="K92" s="11"/>
      <c r="L92" s="11"/>
      <c r="M92" s="11"/>
      <c r="N92" s="30" t="s">
        <v>145</v>
      </c>
      <c r="O92" s="63">
        <f>I83</f>
        <v>84102</v>
      </c>
      <c r="P92" s="79"/>
      <c r="Q92" s="51"/>
      <c r="R92" s="51"/>
      <c r="S92" s="51"/>
      <c r="T92" s="68" t="s">
        <v>153</v>
      </c>
      <c r="U92" s="71">
        <f>I91-J91</f>
        <v>221.4363213829929</v>
      </c>
      <c r="V92" s="51"/>
      <c r="W92" s="68" t="s">
        <v>154</v>
      </c>
      <c r="X92" s="70">
        <f>I95</f>
        <v>198753</v>
      </c>
    </row>
    <row r="93" spans="8:24" ht="15.75">
      <c r="H93" s="39" t="s">
        <v>109</v>
      </c>
      <c r="I93" s="63">
        <f>ONSV_AUX_2020!V61</f>
        <v>22034</v>
      </c>
      <c r="J93" s="10">
        <f>I93</f>
        <v>22034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2441635.8730622372</v>
      </c>
      <c r="P93" s="79"/>
      <c r="Q93" s="51"/>
      <c r="R93" s="81"/>
      <c r="S93" s="51"/>
      <c r="T93" s="68" t="s">
        <v>149</v>
      </c>
      <c r="U93" s="75">
        <f>R89</f>
        <v>388907.2960122762</v>
      </c>
      <c r="V93" s="51"/>
      <c r="W93" s="51"/>
      <c r="X93" s="51"/>
    </row>
    <row r="94" spans="8:24" ht="15.75">
      <c r="H94" s="39" t="s">
        <v>110</v>
      </c>
      <c r="I94" s="63">
        <f>ONSV_AUX_2020!V62</f>
        <v>1118054</v>
      </c>
      <c r="J94" s="10">
        <f>I94</f>
        <v>1118054</v>
      </c>
      <c r="K94" s="11"/>
      <c r="L94" s="11"/>
      <c r="M94" s="11"/>
      <c r="N94" s="30" t="s">
        <v>150</v>
      </c>
      <c r="O94" s="63">
        <f>IF((J88-O91-O93-O92)&lt;0,0,(J88-O91-O93-O92))</f>
        <v>1758615.2643772336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ONSV_AUX_2020!V63</f>
        <v>198753</v>
      </c>
      <c r="J95" s="10">
        <f>I95</f>
        <v>198753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7107134</v>
      </c>
    </row>
    <row r="96" spans="8:24" ht="15.75">
      <c r="H96" s="39" t="s">
        <v>112</v>
      </c>
      <c r="I96" s="63">
        <f>ONSV_AUX_2020!V64</f>
        <v>42529</v>
      </c>
      <c r="J96" s="10">
        <f>I96</f>
        <v>42529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ONSV_AUX_2020!V65</f>
        <v>74969</v>
      </c>
      <c r="J97" s="64">
        <f>I97-(L86*I82)</f>
        <v>74940.084938684493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6" customFormat="1" ht="15.75">
      <c r="A100" s="100" t="str">
        <f>"RIO GRANDE DO SUL/"&amp;ONSV_AUX_2019!$A$1&amp;""</f>
        <v>RIO GRANDE DO SUL/2019</v>
      </c>
      <c r="B100" s="101"/>
      <c r="C100" s="101"/>
      <c r="D100" s="101"/>
      <c r="E100" s="101"/>
      <c r="F100" s="101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ONSV_AUX_2019!V27</f>
        <v>196571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ONSV_AUX_2019!V28</f>
        <v>2345377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ONSV_AUX_2019!V29</f>
        <v>618065</v>
      </c>
      <c r="J106" s="9"/>
      <c r="K106" s="2" t="s">
        <v>122</v>
      </c>
      <c r="L106" s="63">
        <f>I113+I116+I117+I122</f>
        <v>5270391</v>
      </c>
      <c r="N106" s="30" t="s">
        <v>123</v>
      </c>
      <c r="O106" s="63">
        <f>J113+J122</f>
        <v>4442764.3951395638</v>
      </c>
      <c r="P106" s="67"/>
      <c r="Q106" s="68" t="s">
        <v>124</v>
      </c>
      <c r="R106" s="63">
        <f>J116+J117</f>
        <v>826578.6048604364</v>
      </c>
      <c r="S106" s="69"/>
      <c r="T106" s="68" t="s">
        <v>125</v>
      </c>
      <c r="U106" s="70">
        <f>O110</f>
        <v>35391.924548254043</v>
      </c>
      <c r="V106" s="51"/>
      <c r="W106" s="68" t="s">
        <v>126</v>
      </c>
      <c r="X106" s="71">
        <f>R112</f>
        <v>87433.13045529263</v>
      </c>
    </row>
    <row r="107" spans="1:24" ht="15.75">
      <c r="H107" s="38" t="s">
        <v>102</v>
      </c>
      <c r="I107" s="63">
        <f>ONSV_AUX_2019!V30</f>
        <v>1048</v>
      </c>
      <c r="J107" s="9"/>
      <c r="K107" s="29"/>
      <c r="L107" s="65"/>
      <c r="M107" s="22"/>
      <c r="N107" s="30" t="s">
        <v>127</v>
      </c>
      <c r="O107" s="72">
        <f>J113/O106</f>
        <v>0.98490992085781781</v>
      </c>
      <c r="P107" s="67"/>
      <c r="Q107" s="73" t="s">
        <v>128</v>
      </c>
      <c r="R107" s="66">
        <f>J116/R106</f>
        <v>0.66392941942054551</v>
      </c>
      <c r="S107" s="74"/>
      <c r="T107" s="68" t="s">
        <v>129</v>
      </c>
      <c r="U107" s="70">
        <f>I122-J122</f>
        <v>13.333667274404434</v>
      </c>
      <c r="V107" s="51"/>
      <c r="W107" s="68" t="s">
        <v>130</v>
      </c>
      <c r="X107" s="71">
        <f>I117-J117</f>
        <v>55.248369997600093</v>
      </c>
    </row>
    <row r="108" spans="1:24" ht="15.75">
      <c r="H108" s="38" t="s">
        <v>16</v>
      </c>
      <c r="I108" s="63">
        <f>ONSV_AUX_2019!V31</f>
        <v>78554</v>
      </c>
      <c r="J108" s="9"/>
      <c r="K108" s="2" t="s">
        <v>131</v>
      </c>
      <c r="L108" s="66">
        <f>I113/L106</f>
        <v>0.83041144385682197</v>
      </c>
      <c r="M108" s="22"/>
      <c r="N108" s="30" t="s">
        <v>132</v>
      </c>
      <c r="O108" s="72">
        <f>J122/O106</f>
        <v>1.5090079142182277E-2</v>
      </c>
      <c r="P108" s="67"/>
      <c r="Q108" s="73" t="s">
        <v>133</v>
      </c>
      <c r="R108" s="66">
        <f>J117/R106</f>
        <v>0.33607058057945455</v>
      </c>
      <c r="S108" s="74"/>
      <c r="T108" s="68" t="s">
        <v>134</v>
      </c>
      <c r="U108" s="75">
        <f>O112</f>
        <v>31649.741784471553</v>
      </c>
      <c r="V108" s="76"/>
      <c r="W108" s="68" t="s">
        <v>135</v>
      </c>
      <c r="X108" s="75">
        <f>R115</f>
        <v>190355.62117470975</v>
      </c>
    </row>
    <row r="109" spans="1:24" ht="15.75">
      <c r="H109" s="38" t="s">
        <v>94</v>
      </c>
      <c r="I109" s="63">
        <f>ONSV_AUX_2019!V32</f>
        <v>3647427</v>
      </c>
      <c r="J109" s="10"/>
      <c r="K109" s="2" t="s">
        <v>2</v>
      </c>
      <c r="L109" s="66">
        <f>I116/L106</f>
        <v>0.10414768088363842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5.271791030304962E-2</v>
      </c>
      <c r="M110" s="22"/>
      <c r="N110" s="30" t="s">
        <v>136</v>
      </c>
      <c r="O110" s="63">
        <f>IF(O108*I105&gt;J122,J122,O108*I105)</f>
        <v>35391.924548254043</v>
      </c>
      <c r="P110" s="79"/>
      <c r="Q110" s="68" t="s">
        <v>137</v>
      </c>
      <c r="R110" s="63">
        <f>I106-I114-I115-I118-I121</f>
        <v>260163</v>
      </c>
      <c r="S110" s="80"/>
      <c r="T110" s="68" t="s">
        <v>138</v>
      </c>
      <c r="U110" s="70">
        <f>O118</f>
        <v>2309985.0754517461</v>
      </c>
      <c r="V110" s="79"/>
      <c r="W110" s="68" t="s">
        <v>139</v>
      </c>
      <c r="X110" s="70">
        <f>I114</f>
        <v>234063</v>
      </c>
    </row>
    <row r="111" spans="1:24" ht="15.75">
      <c r="H111" s="26" t="s">
        <v>140</v>
      </c>
      <c r="K111" s="2" t="s">
        <v>0</v>
      </c>
      <c r="L111" s="66">
        <f>I122/L106</f>
        <v>1.2722964956489946E-2</v>
      </c>
      <c r="O111" s="51"/>
      <c r="P111" s="79"/>
      <c r="Q111" s="68" t="s">
        <v>141</v>
      </c>
      <c r="R111" s="63">
        <f>R107*R110</f>
        <v>172729.86954470738</v>
      </c>
      <c r="S111" s="51"/>
      <c r="T111" s="68" t="s">
        <v>142</v>
      </c>
      <c r="U111" s="70">
        <f>O116</f>
        <v>196571</v>
      </c>
      <c r="V111" s="69"/>
      <c r="W111" s="68" t="s">
        <v>143</v>
      </c>
      <c r="X111" s="70">
        <f>I115</f>
        <v>60353</v>
      </c>
    </row>
    <row r="112" spans="1:24" ht="15.75">
      <c r="K112" s="11"/>
      <c r="L112" s="11"/>
      <c r="M112" s="11"/>
      <c r="N112" s="30" t="s">
        <v>144</v>
      </c>
      <c r="O112" s="63">
        <f>J122-O110</f>
        <v>31649.741784471553</v>
      </c>
      <c r="P112" s="79"/>
      <c r="Q112" s="68" t="s">
        <v>126</v>
      </c>
      <c r="R112" s="63">
        <f>R108*R110</f>
        <v>87433.13045529263</v>
      </c>
      <c r="S112" s="51"/>
      <c r="T112" s="68" t="s">
        <v>145</v>
      </c>
      <c r="U112" s="70">
        <f>O117</f>
        <v>78554</v>
      </c>
      <c r="V112" s="74"/>
      <c r="W112" s="51"/>
      <c r="X112" s="65"/>
    </row>
    <row r="113" spans="8:24" ht="15.75">
      <c r="H113" s="39" t="s">
        <v>104</v>
      </c>
      <c r="I113" s="63">
        <f>ONSV_AUX_2019!V56</f>
        <v>4376593</v>
      </c>
      <c r="J113" s="64">
        <f>I113-(L108*I107)</f>
        <v>4375722.7288068384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870.27119316160679</v>
      </c>
      <c r="V113" s="74"/>
      <c r="W113" s="68" t="s">
        <v>147</v>
      </c>
      <c r="X113" s="70">
        <f>I121</f>
        <v>41915</v>
      </c>
    </row>
    <row r="114" spans="8:24" ht="15.75">
      <c r="H114" s="39" t="s">
        <v>105</v>
      </c>
      <c r="I114" s="63">
        <f>ONSV_AUX_2019!V57</f>
        <v>234063</v>
      </c>
      <c r="J114" s="10">
        <f>I114</f>
        <v>234063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376059.98368572665</v>
      </c>
      <c r="S114" s="51"/>
      <c r="T114" s="68" t="s">
        <v>150</v>
      </c>
      <c r="U114" s="75">
        <f>O119</f>
        <v>1790612.6533550923</v>
      </c>
      <c r="V114" s="51"/>
      <c r="W114" s="68" t="s">
        <v>151</v>
      </c>
      <c r="X114" s="70">
        <f>I118</f>
        <v>21571</v>
      </c>
    </row>
    <row r="115" spans="8:24" ht="15.75">
      <c r="H115" s="39" t="s">
        <v>106</v>
      </c>
      <c r="I115" s="63">
        <f>ONSV_AUX_2019!V58</f>
        <v>60353</v>
      </c>
      <c r="J115" s="10">
        <f>I115</f>
        <v>60353</v>
      </c>
      <c r="K115" s="11"/>
      <c r="L115" s="11"/>
      <c r="M115" s="11"/>
      <c r="O115" s="76"/>
      <c r="P115" s="79"/>
      <c r="Q115" s="68" t="s">
        <v>135</v>
      </c>
      <c r="R115" s="63">
        <f>J117-R112</f>
        <v>190355.62117470975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ONSV_AUX_2019!V59</f>
        <v>548899</v>
      </c>
      <c r="J116" s="64">
        <f>I116-(L109*I107)</f>
        <v>548789.853230434</v>
      </c>
      <c r="K116" s="11"/>
      <c r="L116" s="11"/>
      <c r="M116" s="11"/>
      <c r="N116" s="30" t="s">
        <v>142</v>
      </c>
      <c r="O116" s="63">
        <f>I104</f>
        <v>196571</v>
      </c>
      <c r="P116" s="79"/>
      <c r="Q116" s="51"/>
      <c r="R116" s="51"/>
      <c r="S116" s="80"/>
      <c r="T116" s="68" t="s">
        <v>141</v>
      </c>
      <c r="U116" s="71">
        <f>R111</f>
        <v>172729.86954470738</v>
      </c>
      <c r="V116" s="51"/>
      <c r="W116" s="68" t="s">
        <v>152</v>
      </c>
      <c r="X116" s="70">
        <f>I119</f>
        <v>1096779</v>
      </c>
    </row>
    <row r="117" spans="8:24" ht="15.75">
      <c r="H117" s="39" t="s">
        <v>108</v>
      </c>
      <c r="I117" s="63">
        <f>ONSV_AUX_2019!V60</f>
        <v>277844</v>
      </c>
      <c r="J117" s="64">
        <f>I117-(L110*I107)</f>
        <v>277788.7516300024</v>
      </c>
      <c r="K117" s="11"/>
      <c r="L117" s="11"/>
      <c r="M117" s="11"/>
      <c r="N117" s="30" t="s">
        <v>145</v>
      </c>
      <c r="O117" s="63">
        <f>I108</f>
        <v>78554</v>
      </c>
      <c r="P117" s="79"/>
      <c r="Q117" s="51"/>
      <c r="R117" s="51"/>
      <c r="S117" s="51"/>
      <c r="T117" s="68" t="s">
        <v>153</v>
      </c>
      <c r="U117" s="71">
        <f>I116-J116</f>
        <v>109.14676956599578</v>
      </c>
      <c r="V117" s="51"/>
      <c r="W117" s="68" t="s">
        <v>154</v>
      </c>
      <c r="X117" s="70">
        <f>I120</f>
        <v>193521</v>
      </c>
    </row>
    <row r="118" spans="8:24" ht="15.75">
      <c r="H118" s="39" t="s">
        <v>109</v>
      </c>
      <c r="I118" s="63">
        <f>ONSV_AUX_2019!V61</f>
        <v>21571</v>
      </c>
      <c r="J118" s="10">
        <f>I118</f>
        <v>21571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2309985.0754517461</v>
      </c>
      <c r="P118" s="79"/>
      <c r="Q118" s="51"/>
      <c r="R118" s="81"/>
      <c r="S118" s="51"/>
      <c r="T118" s="68" t="s">
        <v>149</v>
      </c>
      <c r="U118" s="75">
        <f>R114</f>
        <v>376059.98368572665</v>
      </c>
      <c r="V118" s="51"/>
      <c r="W118" s="51"/>
      <c r="X118" s="51"/>
    </row>
    <row r="119" spans="8:24" ht="15.75">
      <c r="H119" s="39" t="s">
        <v>110</v>
      </c>
      <c r="I119" s="63">
        <f>ONSV_AUX_2019!V62</f>
        <v>1096779</v>
      </c>
      <c r="J119" s="10">
        <f>I119</f>
        <v>1096779</v>
      </c>
      <c r="K119" s="11"/>
      <c r="L119" s="11"/>
      <c r="M119" s="11"/>
      <c r="N119" s="30" t="s">
        <v>150</v>
      </c>
      <c r="O119" s="63">
        <f>IF((J113-O116-O118-O117)&lt;0,0,(J113-O116-O118-O117))</f>
        <v>1790612.6533550923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ONSV_AUX_2019!V63</f>
        <v>193521</v>
      </c>
      <c r="J120" s="10">
        <f>I120</f>
        <v>193521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6918593</v>
      </c>
    </row>
    <row r="121" spans="8:24" ht="15.75">
      <c r="H121" s="39" t="s">
        <v>112</v>
      </c>
      <c r="I121" s="63">
        <f>ONSV_AUX_2019!V64</f>
        <v>41915</v>
      </c>
      <c r="J121" s="10">
        <f>I121</f>
        <v>41915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ONSV_AUX_2019!V65</f>
        <v>67055</v>
      </c>
      <c r="J122" s="64">
        <f>I122-(L111*I107)</f>
        <v>67041.666332725596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9" tint="0.39997558519241921"/>
  </sheetPr>
  <dimension ref="A1:X122"/>
  <sheetViews>
    <sheetView showGridLines="0" topLeftCell="A87" zoomScale="90" zoomScaleNormal="90" workbookViewId="0">
      <selection activeCell="A76" sqref="A76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3" customFormat="1" ht="15.75">
      <c r="A1" s="100" t="str">
        <f>"RONDÔNIA/"&amp;ONSV_AUX_2023!$A$1&amp;""</f>
        <v>RONDÔNIA/2023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ONSV_AUX_2023!W27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ONSV_AUX_2023!W28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ONSV_AUX_2023!W29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ONSV_AUX_2023!W30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ONSV_AUX_2023!W31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ONSV_AUX_2023!W32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ONSV_AUX_2023!W56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ONSV_AUX_2023!W57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ONSV_AUX_2023!W58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ONSV_AUX_2023!W59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ONSV_AUX_2023!W60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ONSV_AUX_2023!W61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ONSV_AUX_2023!W62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ONSV_AUX_2023!W63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ONSV_AUX_2023!W64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ONSV_AUX_2023!W65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6" customFormat="1" ht="15.75">
      <c r="A25" s="100" t="str">
        <f>"RONDÔNIA/"&amp;ONSV_AUX_2022!$A$1&amp;""</f>
        <v>RONDÔNIA/2022</v>
      </c>
      <c r="B25" s="101"/>
      <c r="C25" s="101"/>
      <c r="D25" s="101"/>
      <c r="E25" s="101"/>
      <c r="F25" s="10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5.75">
      <c r="A26" s="3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ONSV_AUX_2022!W27</f>
        <v>10492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ONSV_AUX_2022!W28</f>
        <v>464450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ONSV_AUX_2022!W29</f>
        <v>112558</v>
      </c>
      <c r="J31" s="9"/>
      <c r="K31" s="2" t="s">
        <v>122</v>
      </c>
      <c r="L31" s="63">
        <f>I38+I41+I42+I47</f>
        <v>467894</v>
      </c>
      <c r="N31" s="30" t="s">
        <v>123</v>
      </c>
      <c r="O31" s="63">
        <f>J38+J47</f>
        <v>333371.2303000252</v>
      </c>
      <c r="P31" s="67"/>
      <c r="Q31" s="68" t="s">
        <v>124</v>
      </c>
      <c r="R31" s="63">
        <f>J41+J42</f>
        <v>134019.76969997477</v>
      </c>
      <c r="S31" s="69"/>
      <c r="T31" s="68" t="s">
        <v>125</v>
      </c>
      <c r="U31" s="70">
        <f>O35</f>
        <v>6839.6392708604944</v>
      </c>
      <c r="V31" s="51"/>
      <c r="W31" s="68" t="s">
        <v>126</v>
      </c>
      <c r="X31" s="71">
        <f>R37</f>
        <v>7449.3821889627625</v>
      </c>
    </row>
    <row r="32" spans="1:24" ht="15.75">
      <c r="H32" s="38" t="s">
        <v>102</v>
      </c>
      <c r="I32" s="63">
        <f>ONSV_AUX_2022!W30</f>
        <v>503</v>
      </c>
      <c r="J32" s="9"/>
      <c r="K32" s="29"/>
      <c r="L32" s="65"/>
      <c r="M32" s="22"/>
      <c r="N32" s="30" t="s">
        <v>127</v>
      </c>
      <c r="O32" s="72">
        <f>J38/O31</f>
        <v>0.97948341473646372</v>
      </c>
      <c r="P32" s="67"/>
      <c r="Q32" s="73" t="s">
        <v>128</v>
      </c>
      <c r="R32" s="66">
        <f>J41/R31</f>
        <v>0.88189082019021503</v>
      </c>
      <c r="S32" s="74"/>
      <c r="T32" s="68" t="s">
        <v>129</v>
      </c>
      <c r="U32" s="70">
        <f>I47-J47</f>
        <v>7.3607291395055654</v>
      </c>
      <c r="V32" s="51"/>
      <c r="W32" s="68" t="s">
        <v>130</v>
      </c>
      <c r="X32" s="71">
        <f>I42-J42</f>
        <v>17.034922439697766</v>
      </c>
    </row>
    <row r="33" spans="8:24" ht="15.75">
      <c r="H33" s="38" t="s">
        <v>16</v>
      </c>
      <c r="I33" s="63">
        <f>ONSV_AUX_2022!W31</f>
        <v>100</v>
      </c>
      <c r="J33" s="9"/>
      <c r="K33" s="2" t="s">
        <v>131</v>
      </c>
      <c r="L33" s="66">
        <f>I38/L31</f>
        <v>0.69862618456317027</v>
      </c>
      <c r="M33" s="22"/>
      <c r="N33" s="30" t="s">
        <v>132</v>
      </c>
      <c r="O33" s="72">
        <f>J47/O31</f>
        <v>2.0516585263536394E-2</v>
      </c>
      <c r="P33" s="67"/>
      <c r="Q33" s="73" t="s">
        <v>133</v>
      </c>
      <c r="R33" s="66">
        <f>J42/R31</f>
        <v>0.11810917980978505</v>
      </c>
      <c r="S33" s="74"/>
      <c r="T33" s="68" t="s">
        <v>134</v>
      </c>
      <c r="U33" s="75">
        <f>O37</f>
        <v>0</v>
      </c>
      <c r="V33" s="76"/>
      <c r="W33" s="68" t="s">
        <v>135</v>
      </c>
      <c r="X33" s="75">
        <f>R40</f>
        <v>8379.5828885975388</v>
      </c>
    </row>
    <row r="34" spans="8:24" ht="15.75">
      <c r="H34" s="38" t="s">
        <v>94</v>
      </c>
      <c r="I34" s="63">
        <f>ONSV_AUX_2022!W32</f>
        <v>508112</v>
      </c>
      <c r="J34" s="10"/>
      <c r="K34" s="2" t="s">
        <v>2</v>
      </c>
      <c r="L34" s="66">
        <f>I41/L31</f>
        <v>0.25287351408652387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3.3866645009339724E-2</v>
      </c>
      <c r="M35" s="22"/>
      <c r="N35" s="30" t="s">
        <v>136</v>
      </c>
      <c r="O35" s="63">
        <f>IF(O33*I30&gt;J47,J47,O33*I30)</f>
        <v>6839.6392708604944</v>
      </c>
      <c r="P35" s="79"/>
      <c r="Q35" s="68" t="s">
        <v>137</v>
      </c>
      <c r="R35" s="63">
        <f>I31-I39-I40-I43-I46</f>
        <v>63072</v>
      </c>
      <c r="S35" s="80"/>
      <c r="T35" s="68" t="s">
        <v>138</v>
      </c>
      <c r="U35" s="70">
        <f>O43</f>
        <v>315939.59102916473</v>
      </c>
      <c r="V35" s="79"/>
      <c r="W35" s="68" t="s">
        <v>139</v>
      </c>
      <c r="X35" s="70">
        <f>I39</f>
        <v>32566</v>
      </c>
    </row>
    <row r="36" spans="8:24" ht="15.75">
      <c r="H36" s="26" t="s">
        <v>140</v>
      </c>
      <c r="K36" s="2" t="s">
        <v>0</v>
      </c>
      <c r="L36" s="66">
        <f>I47/L31</f>
        <v>1.4633656340966117E-2</v>
      </c>
      <c r="O36" s="51"/>
      <c r="P36" s="79"/>
      <c r="Q36" s="68" t="s">
        <v>141</v>
      </c>
      <c r="R36" s="63">
        <f>R32*R35</f>
        <v>55622.617811037242</v>
      </c>
      <c r="S36" s="51"/>
      <c r="T36" s="68" t="s">
        <v>142</v>
      </c>
      <c r="U36" s="70">
        <f>O41</f>
        <v>10492</v>
      </c>
      <c r="V36" s="69"/>
      <c r="W36" s="68" t="s">
        <v>143</v>
      </c>
      <c r="X36" s="70">
        <f>I40</f>
        <v>8493</v>
      </c>
    </row>
    <row r="37" spans="8:24" ht="15.75">
      <c r="K37" s="11"/>
      <c r="L37" s="11"/>
      <c r="M37" s="11"/>
      <c r="N37" s="30" t="s">
        <v>144</v>
      </c>
      <c r="O37" s="63">
        <f>J47-O35</f>
        <v>0</v>
      </c>
      <c r="P37" s="79"/>
      <c r="Q37" s="68" t="s">
        <v>126</v>
      </c>
      <c r="R37" s="63">
        <f>R33*R35</f>
        <v>7449.3821889627625</v>
      </c>
      <c r="S37" s="51"/>
      <c r="T37" s="68" t="s">
        <v>145</v>
      </c>
      <c r="U37" s="70">
        <f>O42</f>
        <v>100</v>
      </c>
      <c r="V37" s="74"/>
      <c r="W37" s="51"/>
      <c r="X37" s="65"/>
    </row>
    <row r="38" spans="8:24" ht="15.75">
      <c r="H38" s="39" t="s">
        <v>104</v>
      </c>
      <c r="I38" s="63">
        <f>ONSV_AUX_2022!W56</f>
        <v>326883</v>
      </c>
      <c r="J38" s="64">
        <f>I38-(L33*I32)</f>
        <v>326531.59102916473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351.40897083526943</v>
      </c>
      <c r="V38" s="74"/>
      <c r="W38" s="68" t="s">
        <v>147</v>
      </c>
      <c r="X38" s="70">
        <f>I46</f>
        <v>6941</v>
      </c>
    </row>
    <row r="39" spans="8:24" ht="15.75">
      <c r="H39" s="39" t="s">
        <v>105</v>
      </c>
      <c r="I39" s="63">
        <f>ONSV_AUX_2022!W57</f>
        <v>32566</v>
      </c>
      <c r="J39" s="10">
        <f>I39</f>
        <v>32566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62568.186811377236</v>
      </c>
      <c r="S39" s="51"/>
      <c r="T39" s="68" t="s">
        <v>150</v>
      </c>
      <c r="U39" s="75">
        <f>O44</f>
        <v>0</v>
      </c>
      <c r="V39" s="51"/>
      <c r="W39" s="68" t="s">
        <v>151</v>
      </c>
      <c r="X39" s="70">
        <f>I43</f>
        <v>1486</v>
      </c>
    </row>
    <row r="40" spans="8:24" ht="15.75">
      <c r="H40" s="39" t="s">
        <v>106</v>
      </c>
      <c r="I40" s="63">
        <f>ONSV_AUX_2022!W58</f>
        <v>8493</v>
      </c>
      <c r="J40" s="10">
        <f>I40</f>
        <v>8493</v>
      </c>
      <c r="K40" s="11"/>
      <c r="L40" s="11"/>
      <c r="M40" s="11"/>
      <c r="O40" s="76"/>
      <c r="P40" s="79"/>
      <c r="Q40" s="68" t="s">
        <v>135</v>
      </c>
      <c r="R40" s="63">
        <f>J42-R37</f>
        <v>8379.5828885975388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ONSV_AUX_2022!W59</f>
        <v>118318</v>
      </c>
      <c r="J41" s="64">
        <f>I41-(L34*I32)</f>
        <v>118190.80462241448</v>
      </c>
      <c r="K41" s="11"/>
      <c r="L41" s="11"/>
      <c r="M41" s="11"/>
      <c r="N41" s="30" t="s">
        <v>142</v>
      </c>
      <c r="O41" s="63">
        <f>I29</f>
        <v>10492</v>
      </c>
      <c r="P41" s="79"/>
      <c r="Q41" s="51"/>
      <c r="R41" s="51"/>
      <c r="S41" s="80"/>
      <c r="T41" s="68" t="s">
        <v>141</v>
      </c>
      <c r="U41" s="71">
        <f>R36</f>
        <v>55622.617811037242</v>
      </c>
      <c r="V41" s="51"/>
      <c r="W41" s="68" t="s">
        <v>152</v>
      </c>
      <c r="X41" s="70">
        <f>I44</f>
        <v>437760</v>
      </c>
    </row>
    <row r="42" spans="8:24" ht="15.75">
      <c r="H42" s="39" t="s">
        <v>108</v>
      </c>
      <c r="I42" s="63">
        <f>ONSV_AUX_2022!W60</f>
        <v>15846</v>
      </c>
      <c r="J42" s="64">
        <f>I42-(L35*I32)</f>
        <v>15828.965077560302</v>
      </c>
      <c r="K42" s="11"/>
      <c r="L42" s="11"/>
      <c r="M42" s="11"/>
      <c r="N42" s="30" t="s">
        <v>145</v>
      </c>
      <c r="O42" s="63">
        <f>I33</f>
        <v>100</v>
      </c>
      <c r="P42" s="79"/>
      <c r="Q42" s="51"/>
      <c r="R42" s="51"/>
      <c r="S42" s="51"/>
      <c r="T42" s="68" t="s">
        <v>153</v>
      </c>
      <c r="U42" s="71">
        <f>I41-J41</f>
        <v>127.19537758552178</v>
      </c>
      <c r="V42" s="51"/>
      <c r="W42" s="68" t="s">
        <v>154</v>
      </c>
      <c r="X42" s="70">
        <f>I45</f>
        <v>141119</v>
      </c>
    </row>
    <row r="43" spans="8:24" ht="15.75">
      <c r="H43" s="39" t="s">
        <v>109</v>
      </c>
      <c r="I43" s="63">
        <f>ONSV_AUX_2022!W61</f>
        <v>1486</v>
      </c>
      <c r="J43" s="10">
        <f>I43</f>
        <v>1486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315939.59102916473</v>
      </c>
      <c r="P43" s="79"/>
      <c r="Q43" s="51"/>
      <c r="R43" s="81"/>
      <c r="S43" s="51"/>
      <c r="T43" s="68" t="s">
        <v>149</v>
      </c>
      <c r="U43" s="75">
        <f>R39</f>
        <v>62568.186811377236</v>
      </c>
      <c r="V43" s="51"/>
      <c r="W43" s="51"/>
      <c r="X43" s="51"/>
    </row>
    <row r="44" spans="8:24" ht="15.75">
      <c r="H44" s="39" t="s">
        <v>110</v>
      </c>
      <c r="I44" s="63">
        <f>ONSV_AUX_2022!W62</f>
        <v>437760</v>
      </c>
      <c r="J44" s="10">
        <f>I44</f>
        <v>437760</v>
      </c>
      <c r="K44" s="11"/>
      <c r="L44" s="11"/>
      <c r="M44" s="11"/>
      <c r="N44" s="30" t="s">
        <v>150</v>
      </c>
      <c r="O44" s="63">
        <f>IF((J38-O41-O43-O42)&lt;0,0,(J38-O41-O43-O42))</f>
        <v>0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ONSV_AUX_2022!W63</f>
        <v>141119</v>
      </c>
      <c r="J45" s="10">
        <f>I45</f>
        <v>141119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1096259</v>
      </c>
    </row>
    <row r="46" spans="8:24" ht="15.75">
      <c r="H46" s="39" t="s">
        <v>112</v>
      </c>
      <c r="I46" s="63">
        <f>ONSV_AUX_2022!W64</f>
        <v>6941</v>
      </c>
      <c r="J46" s="10">
        <f>I46</f>
        <v>6941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ONSV_AUX_2022!W65</f>
        <v>6847</v>
      </c>
      <c r="J47" s="64">
        <f>I47-(L36*I32)</f>
        <v>6839.6392708604944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6" customFormat="1" ht="15.75">
      <c r="A50" s="100" t="str">
        <f>"RONDÔNIA/"&amp;ONSV_AUX_2021!$A$1&amp;""</f>
        <v>RONDÔNIA/2021</v>
      </c>
      <c r="B50" s="101"/>
      <c r="C50" s="101"/>
      <c r="D50" s="101"/>
      <c r="E50" s="101"/>
      <c r="F50" s="101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ONSV_AUX_2021!W27</f>
        <v>10467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ONSV_AUX_2021!W28</f>
        <v>438096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ONSV_AUX_2021!W29</f>
        <v>106899</v>
      </c>
      <c r="J56" s="9"/>
      <c r="K56" s="2" t="s">
        <v>122</v>
      </c>
      <c r="L56" s="63">
        <f>I63+I66+I67+I72</f>
        <v>448467</v>
      </c>
      <c r="N56" s="30" t="s">
        <v>123</v>
      </c>
      <c r="O56" s="63">
        <f>J63+J72</f>
        <v>322622.08131701994</v>
      </c>
      <c r="P56" s="67"/>
      <c r="Q56" s="68" t="s">
        <v>124</v>
      </c>
      <c r="R56" s="63">
        <f>J66+J67</f>
        <v>125551.91868298002</v>
      </c>
      <c r="S56" s="69"/>
      <c r="T56" s="68" t="s">
        <v>125</v>
      </c>
      <c r="U56" s="70">
        <f>O60</f>
        <v>5601.33804716958</v>
      </c>
      <c r="V56" s="51"/>
      <c r="W56" s="68" t="s">
        <v>126</v>
      </c>
      <c r="X56" s="71">
        <f>R62</f>
        <v>6914.4702707865699</v>
      </c>
    </row>
    <row r="57" spans="1:24" ht="15.75">
      <c r="H57" s="38" t="s">
        <v>102</v>
      </c>
      <c r="I57" s="63">
        <f>ONSV_AUX_2021!W30</f>
        <v>293</v>
      </c>
      <c r="J57" s="9"/>
      <c r="K57" s="29"/>
      <c r="L57" s="65"/>
      <c r="M57" s="22"/>
      <c r="N57" s="30" t="s">
        <v>127</v>
      </c>
      <c r="O57" s="72">
        <f>J63/O56</f>
        <v>0.98263808222827287</v>
      </c>
      <c r="P57" s="67"/>
      <c r="Q57" s="73" t="s">
        <v>128</v>
      </c>
      <c r="R57" s="66">
        <f>J66/R56</f>
        <v>0.88177563398443104</v>
      </c>
      <c r="S57" s="74"/>
      <c r="T57" s="68" t="s">
        <v>129</v>
      </c>
      <c r="U57" s="70">
        <f>I72-J72</f>
        <v>3.6619528304199775</v>
      </c>
      <c r="V57" s="51"/>
      <c r="W57" s="68" t="s">
        <v>130</v>
      </c>
      <c r="X57" s="71">
        <f>I67-J67</f>
        <v>9.7040116664102243</v>
      </c>
    </row>
    <row r="58" spans="1:24" ht="15.75">
      <c r="H58" s="38" t="s">
        <v>16</v>
      </c>
      <c r="I58" s="63">
        <f>ONSV_AUX_2021!W31</f>
        <v>96</v>
      </c>
      <c r="J58" s="9"/>
      <c r="K58" s="2" t="s">
        <v>131</v>
      </c>
      <c r="L58" s="66">
        <f>I63/L56</f>
        <v>0.70736085375289592</v>
      </c>
      <c r="M58" s="22"/>
      <c r="N58" s="30" t="s">
        <v>132</v>
      </c>
      <c r="O58" s="72">
        <f>J72/O56</f>
        <v>1.736191777172718E-2</v>
      </c>
      <c r="P58" s="67"/>
      <c r="Q58" s="73" t="s">
        <v>133</v>
      </c>
      <c r="R58" s="66">
        <f>J67/R56</f>
        <v>0.11822436601556903</v>
      </c>
      <c r="S58" s="74"/>
      <c r="T58" s="68" t="s">
        <v>134</v>
      </c>
      <c r="U58" s="75">
        <f>O62</f>
        <v>0</v>
      </c>
      <c r="V58" s="76"/>
      <c r="W58" s="68" t="s">
        <v>135</v>
      </c>
      <c r="X58" s="75">
        <f>R65</f>
        <v>7928.8257175470198</v>
      </c>
    </row>
    <row r="59" spans="1:24" ht="15.75">
      <c r="H59" s="38" t="s">
        <v>94</v>
      </c>
      <c r="I59" s="63">
        <f>ONSV_AUX_2021!W32</f>
        <v>500639</v>
      </c>
      <c r="J59" s="10"/>
      <c r="K59" s="2" t="s">
        <v>2</v>
      </c>
      <c r="L59" s="66">
        <f>I66/L56</f>
        <v>0.24702151997805857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3.3119493742014464E-2</v>
      </c>
      <c r="M60" s="22"/>
      <c r="N60" s="30" t="s">
        <v>136</v>
      </c>
      <c r="O60" s="63">
        <f>IF(O58*I55&gt;J72,J72,O58*I55)</f>
        <v>5601.33804716958</v>
      </c>
      <c r="P60" s="79"/>
      <c r="Q60" s="68" t="s">
        <v>137</v>
      </c>
      <c r="R60" s="63">
        <f>I56-I64-I65-I68-I71</f>
        <v>58486</v>
      </c>
      <c r="S60" s="80"/>
      <c r="T60" s="68" t="s">
        <v>138</v>
      </c>
      <c r="U60" s="70">
        <f>O68</f>
        <v>306457.74326985038</v>
      </c>
      <c r="V60" s="79"/>
      <c r="W60" s="68" t="s">
        <v>139</v>
      </c>
      <c r="X60" s="70">
        <f>I64</f>
        <v>32107</v>
      </c>
    </row>
    <row r="61" spans="1:24" ht="15.75">
      <c r="H61" s="26" t="s">
        <v>140</v>
      </c>
      <c r="K61" s="2" t="s">
        <v>0</v>
      </c>
      <c r="L61" s="66">
        <f>I72/L56</f>
        <v>1.2498132527030975E-2</v>
      </c>
      <c r="O61" s="51"/>
      <c r="P61" s="79"/>
      <c r="Q61" s="68" t="s">
        <v>141</v>
      </c>
      <c r="R61" s="63">
        <f>R57*R60</f>
        <v>51571.529729213435</v>
      </c>
      <c r="S61" s="51"/>
      <c r="T61" s="68" t="s">
        <v>142</v>
      </c>
      <c r="U61" s="70">
        <f>O66</f>
        <v>10467</v>
      </c>
      <c r="V61" s="69"/>
      <c r="W61" s="68" t="s">
        <v>143</v>
      </c>
      <c r="X61" s="70">
        <f>I65</f>
        <v>8072</v>
      </c>
    </row>
    <row r="62" spans="1:24" ht="15.75">
      <c r="K62" s="11"/>
      <c r="L62" s="11"/>
      <c r="M62" s="11"/>
      <c r="N62" s="30" t="s">
        <v>144</v>
      </c>
      <c r="O62" s="63">
        <f>J72-O60</f>
        <v>0</v>
      </c>
      <c r="P62" s="79"/>
      <c r="Q62" s="68" t="s">
        <v>126</v>
      </c>
      <c r="R62" s="63">
        <f>R58*R60</f>
        <v>6914.4702707865699</v>
      </c>
      <c r="S62" s="51"/>
      <c r="T62" s="68" t="s">
        <v>145</v>
      </c>
      <c r="U62" s="70">
        <f>O67</f>
        <v>96</v>
      </c>
      <c r="V62" s="74"/>
      <c r="W62" s="51"/>
      <c r="X62" s="65"/>
    </row>
    <row r="63" spans="1:24" ht="15.75">
      <c r="H63" s="39" t="s">
        <v>104</v>
      </c>
      <c r="I63" s="63">
        <f>ONSV_AUX_2021!W56</f>
        <v>317228</v>
      </c>
      <c r="J63" s="64">
        <f>I63-(L58*I57)</f>
        <v>317020.74326985038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207.25673014961649</v>
      </c>
      <c r="V63" s="74"/>
      <c r="W63" s="68" t="s">
        <v>147</v>
      </c>
      <c r="X63" s="70">
        <f>I71</f>
        <v>6791</v>
      </c>
    </row>
    <row r="64" spans="1:24" ht="15.75">
      <c r="H64" s="39" t="s">
        <v>105</v>
      </c>
      <c r="I64" s="63">
        <f>ONSV_AUX_2021!W57</f>
        <v>32107</v>
      </c>
      <c r="J64" s="10">
        <f>I64</f>
        <v>32107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59137.092965432996</v>
      </c>
      <c r="S64" s="51"/>
      <c r="T64" s="68" t="s">
        <v>150</v>
      </c>
      <c r="U64" s="75">
        <f>O69</f>
        <v>0</v>
      </c>
      <c r="V64" s="51"/>
      <c r="W64" s="68" t="s">
        <v>151</v>
      </c>
      <c r="X64" s="70">
        <f>I68</f>
        <v>1443</v>
      </c>
    </row>
    <row r="65" spans="1:24" ht="15.75">
      <c r="H65" s="39" t="s">
        <v>106</v>
      </c>
      <c r="I65" s="63">
        <f>ONSV_AUX_2021!W58</f>
        <v>8072</v>
      </c>
      <c r="J65" s="10">
        <f>I65</f>
        <v>8072</v>
      </c>
      <c r="K65" s="11"/>
      <c r="L65" s="11"/>
      <c r="M65" s="11"/>
      <c r="O65" s="76"/>
      <c r="P65" s="79"/>
      <c r="Q65" s="68" t="s">
        <v>135</v>
      </c>
      <c r="R65" s="63">
        <f>J67-R62</f>
        <v>7928.8257175470198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ONSV_AUX_2021!W59</f>
        <v>110781</v>
      </c>
      <c r="J66" s="64">
        <f>I66-(L59*I57)</f>
        <v>110708.62269464643</v>
      </c>
      <c r="K66" s="11"/>
      <c r="L66" s="11"/>
      <c r="M66" s="11"/>
      <c r="N66" s="30" t="s">
        <v>142</v>
      </c>
      <c r="O66" s="63">
        <f>I54</f>
        <v>10467</v>
      </c>
      <c r="P66" s="79"/>
      <c r="Q66" s="51"/>
      <c r="R66" s="51"/>
      <c r="S66" s="80"/>
      <c r="T66" s="68" t="s">
        <v>141</v>
      </c>
      <c r="U66" s="71">
        <f>R61</f>
        <v>51571.529729213435</v>
      </c>
      <c r="V66" s="51"/>
      <c r="W66" s="68" t="s">
        <v>152</v>
      </c>
      <c r="X66" s="70">
        <f>I69</f>
        <v>424377</v>
      </c>
    </row>
    <row r="67" spans="1:24" ht="15.75">
      <c r="H67" s="39" t="s">
        <v>108</v>
      </c>
      <c r="I67" s="63">
        <f>ONSV_AUX_2021!W60</f>
        <v>14853</v>
      </c>
      <c r="J67" s="64">
        <f>I67-(L60*I57)</f>
        <v>14843.29598833359</v>
      </c>
      <c r="K67" s="11"/>
      <c r="L67" s="11"/>
      <c r="M67" s="11"/>
      <c r="N67" s="30" t="s">
        <v>145</v>
      </c>
      <c r="O67" s="63">
        <f>I58</f>
        <v>96</v>
      </c>
      <c r="P67" s="79"/>
      <c r="Q67" s="51"/>
      <c r="R67" s="51"/>
      <c r="S67" s="51"/>
      <c r="T67" s="68" t="s">
        <v>153</v>
      </c>
      <c r="U67" s="71">
        <f>I66-J66</f>
        <v>72.377305353569682</v>
      </c>
      <c r="V67" s="51"/>
      <c r="W67" s="68" t="s">
        <v>154</v>
      </c>
      <c r="X67" s="70">
        <f>I70</f>
        <v>135150</v>
      </c>
    </row>
    <row r="68" spans="1:24" ht="15.75">
      <c r="H68" s="39" t="s">
        <v>109</v>
      </c>
      <c r="I68" s="63">
        <f>ONSV_AUX_2021!W61</f>
        <v>1443</v>
      </c>
      <c r="J68" s="10">
        <f>I68</f>
        <v>1443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306457.74326985038</v>
      </c>
      <c r="P68" s="79"/>
      <c r="Q68" s="51"/>
      <c r="R68" s="81"/>
      <c r="S68" s="51"/>
      <c r="T68" s="68" t="s">
        <v>149</v>
      </c>
      <c r="U68" s="75">
        <f>R64</f>
        <v>59137.092965432996</v>
      </c>
      <c r="V68" s="51"/>
      <c r="W68" s="51"/>
      <c r="X68" s="51"/>
    </row>
    <row r="69" spans="1:24" ht="15.75">
      <c r="H69" s="39" t="s">
        <v>110</v>
      </c>
      <c r="I69" s="63">
        <f>ONSV_AUX_2021!W62</f>
        <v>424377</v>
      </c>
      <c r="J69" s="10">
        <f>I69</f>
        <v>424377</v>
      </c>
      <c r="K69" s="11"/>
      <c r="L69" s="11"/>
      <c r="M69" s="11"/>
      <c r="N69" s="30" t="s">
        <v>150</v>
      </c>
      <c r="O69" s="63">
        <f>IF((J63-O66-O68-O67)&lt;0,0,(J63-O66-O68-O67))</f>
        <v>0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ONSV_AUX_2021!W63</f>
        <v>135150</v>
      </c>
      <c r="J70" s="10">
        <f>I70</f>
        <v>135150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1056407</v>
      </c>
    </row>
    <row r="71" spans="1:24" ht="15.75">
      <c r="H71" s="39" t="s">
        <v>112</v>
      </c>
      <c r="I71" s="63">
        <f>ONSV_AUX_2021!W64</f>
        <v>6791</v>
      </c>
      <c r="J71" s="10">
        <f>I71</f>
        <v>6791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ONSV_AUX_2021!W65</f>
        <v>5605</v>
      </c>
      <c r="J72" s="64">
        <f>I72-(L61*I57)</f>
        <v>5601.33804716958</v>
      </c>
      <c r="K72" s="12"/>
      <c r="L72" s="12"/>
      <c r="M72" s="12"/>
      <c r="N72" s="12"/>
      <c r="O72" s="12"/>
      <c r="P72" s="12"/>
      <c r="Q72" s="4"/>
      <c r="R72" s="4"/>
    </row>
    <row r="75" spans="1:24" s="36" customFormat="1" ht="15.75">
      <c r="A75" s="100" t="str">
        <f>"RONDÔNIA/"&amp;ONSV_AUX_2020!$A$1&amp;""</f>
        <v>RONDÔNIA/2020</v>
      </c>
      <c r="B75" s="101"/>
      <c r="C75" s="101"/>
      <c r="D75" s="101"/>
      <c r="E75" s="101"/>
      <c r="F75" s="10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ONSV_AUX_2020!W27</f>
        <v>10451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ONSV_AUX_2020!W28</f>
        <v>409556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ONSV_AUX_2020!W29</f>
        <v>101415</v>
      </c>
      <c r="J81" s="9"/>
      <c r="K81" s="2" t="s">
        <v>122</v>
      </c>
      <c r="L81" s="63">
        <f>I88+I91+I92+I97</f>
        <v>425430</v>
      </c>
      <c r="N81" s="30" t="s">
        <v>123</v>
      </c>
      <c r="O81" s="63">
        <f>J88+J97</f>
        <v>308032.58692381822</v>
      </c>
      <c r="P81" s="67"/>
      <c r="Q81" s="68" t="s">
        <v>124</v>
      </c>
      <c r="R81" s="63">
        <f>J91+J92</f>
        <v>117228.41307618174</v>
      </c>
      <c r="S81" s="69"/>
      <c r="T81" s="68" t="s">
        <v>125</v>
      </c>
      <c r="U81" s="70">
        <f>O85</f>
        <v>4697.1333450861484</v>
      </c>
      <c r="V81" s="51"/>
      <c r="W81" s="68" t="s">
        <v>126</v>
      </c>
      <c r="X81" s="71">
        <f>R87</f>
        <v>6484.6952035813256</v>
      </c>
    </row>
    <row r="82" spans="8:24" ht="15.75">
      <c r="H82" s="38" t="s">
        <v>102</v>
      </c>
      <c r="I82" s="63">
        <f>ONSV_AUX_2020!W30</f>
        <v>169</v>
      </c>
      <c r="J82" s="9"/>
      <c r="K82" s="29"/>
      <c r="L82" s="65"/>
      <c r="M82" s="22"/>
      <c r="N82" s="30" t="s">
        <v>127</v>
      </c>
      <c r="O82" s="72">
        <f>J88/O81</f>
        <v>0.9847511804124548</v>
      </c>
      <c r="P82" s="67"/>
      <c r="Q82" s="73" t="s">
        <v>128</v>
      </c>
      <c r="R82" s="66">
        <f>J91/R81</f>
        <v>0.88028991686207636</v>
      </c>
      <c r="S82" s="74"/>
      <c r="T82" s="68" t="s">
        <v>129</v>
      </c>
      <c r="U82" s="70">
        <f>I97-J97</f>
        <v>1.866654913851562</v>
      </c>
      <c r="V82" s="51"/>
      <c r="W82" s="68" t="s">
        <v>130</v>
      </c>
      <c r="X82" s="71">
        <f>I92-J92</f>
        <v>5.576924523424168</v>
      </c>
    </row>
    <row r="83" spans="8:24" ht="15.75">
      <c r="H83" s="38" t="s">
        <v>16</v>
      </c>
      <c r="I83" s="63">
        <f>ONSV_AUX_2020!W31</f>
        <v>86</v>
      </c>
      <c r="J83" s="9"/>
      <c r="K83" s="2" t="s">
        <v>131</v>
      </c>
      <c r="L83" s="66">
        <f>I88/L81</f>
        <v>0.71329243353783234</v>
      </c>
      <c r="M83" s="22"/>
      <c r="N83" s="30" t="s">
        <v>132</v>
      </c>
      <c r="O83" s="72">
        <f>J97/O81</f>
        <v>1.5248819587545231E-2</v>
      </c>
      <c r="P83" s="67"/>
      <c r="Q83" s="73" t="s">
        <v>133</v>
      </c>
      <c r="R83" s="66">
        <f>J92/R81</f>
        <v>0.11971008313792368</v>
      </c>
      <c r="S83" s="74"/>
      <c r="T83" s="68" t="s">
        <v>134</v>
      </c>
      <c r="U83" s="75">
        <f>O87</f>
        <v>0</v>
      </c>
      <c r="V83" s="76"/>
      <c r="W83" s="68" t="s">
        <v>135</v>
      </c>
      <c r="X83" s="75">
        <f>R90</f>
        <v>7548.7278718952502</v>
      </c>
    </row>
    <row r="84" spans="8:24" ht="15.75">
      <c r="H84" s="38" t="s">
        <v>94</v>
      </c>
      <c r="I84" s="63">
        <f>ONSV_AUX_2020!W32</f>
        <v>493441</v>
      </c>
      <c r="J84" s="10"/>
      <c r="K84" s="2" t="s">
        <v>2</v>
      </c>
      <c r="L84" s="66">
        <f>I91/L81</f>
        <v>0.24266271772089415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3.2999553393037631E-2</v>
      </c>
      <c r="M85" s="22"/>
      <c r="N85" s="30" t="s">
        <v>136</v>
      </c>
      <c r="O85" s="63">
        <f>IF(O83*I80&gt;J97,J97,O83*I80)</f>
        <v>4697.1333450861484</v>
      </c>
      <c r="P85" s="79"/>
      <c r="Q85" s="68" t="s">
        <v>137</v>
      </c>
      <c r="R85" s="63">
        <f>I81-I89-I90-I93-I96</f>
        <v>54170</v>
      </c>
      <c r="S85" s="80"/>
      <c r="T85" s="68" t="s">
        <v>138</v>
      </c>
      <c r="U85" s="70">
        <f>O93</f>
        <v>292798.45357873209</v>
      </c>
      <c r="V85" s="79"/>
      <c r="W85" s="68" t="s">
        <v>139</v>
      </c>
      <c r="X85" s="70">
        <f>I89</f>
        <v>31722</v>
      </c>
    </row>
    <row r="86" spans="8:24" ht="15.75">
      <c r="H86" s="26" t="s">
        <v>140</v>
      </c>
      <c r="K86" s="2" t="s">
        <v>0</v>
      </c>
      <c r="L86" s="66">
        <f>I97/L81</f>
        <v>1.1045295348235902E-2</v>
      </c>
      <c r="O86" s="51"/>
      <c r="P86" s="79"/>
      <c r="Q86" s="68" t="s">
        <v>141</v>
      </c>
      <c r="R86" s="63">
        <f>R82*R85</f>
        <v>47685.304796418677</v>
      </c>
      <c r="S86" s="51"/>
      <c r="T86" s="68" t="s">
        <v>142</v>
      </c>
      <c r="U86" s="70">
        <f>O91</f>
        <v>10451</v>
      </c>
      <c r="V86" s="69"/>
      <c r="W86" s="68" t="s">
        <v>143</v>
      </c>
      <c r="X86" s="70">
        <f>I90</f>
        <v>7550</v>
      </c>
    </row>
    <row r="87" spans="8:24" ht="15.75">
      <c r="K87" s="11"/>
      <c r="L87" s="11"/>
      <c r="M87" s="11"/>
      <c r="N87" s="30" t="s">
        <v>144</v>
      </c>
      <c r="O87" s="63">
        <f>J97-O85</f>
        <v>0</v>
      </c>
      <c r="P87" s="79"/>
      <c r="Q87" s="68" t="s">
        <v>126</v>
      </c>
      <c r="R87" s="63">
        <f>R83*R85</f>
        <v>6484.6952035813256</v>
      </c>
      <c r="S87" s="51"/>
      <c r="T87" s="68" t="s">
        <v>145</v>
      </c>
      <c r="U87" s="70">
        <f>O92</f>
        <v>86</v>
      </c>
      <c r="V87" s="74"/>
      <c r="W87" s="51"/>
      <c r="X87" s="65"/>
    </row>
    <row r="88" spans="8:24" ht="15.75">
      <c r="H88" s="39" t="s">
        <v>104</v>
      </c>
      <c r="I88" s="63">
        <f>ONSV_AUX_2020!W56</f>
        <v>303456</v>
      </c>
      <c r="J88" s="64">
        <f>I88-(L83*I82)</f>
        <v>303335.45357873209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120.54642126790714</v>
      </c>
      <c r="V88" s="74"/>
      <c r="W88" s="68" t="s">
        <v>147</v>
      </c>
      <c r="X88" s="70">
        <f>I96</f>
        <v>6592</v>
      </c>
    </row>
    <row r="89" spans="8:24" ht="15.75">
      <c r="H89" s="39" t="s">
        <v>105</v>
      </c>
      <c r="I89" s="63">
        <f>ONSV_AUX_2020!W57</f>
        <v>31722</v>
      </c>
      <c r="J89" s="10">
        <f>I89</f>
        <v>31722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55509.685204286485</v>
      </c>
      <c r="S89" s="51"/>
      <c r="T89" s="68" t="s">
        <v>150</v>
      </c>
      <c r="U89" s="75">
        <f>O94</f>
        <v>0</v>
      </c>
      <c r="V89" s="51"/>
      <c r="W89" s="68" t="s">
        <v>151</v>
      </c>
      <c r="X89" s="70">
        <f>I93</f>
        <v>1381</v>
      </c>
    </row>
    <row r="90" spans="8:24" ht="15.75">
      <c r="H90" s="39" t="s">
        <v>106</v>
      </c>
      <c r="I90" s="63">
        <f>ONSV_AUX_2020!W58</f>
        <v>7550</v>
      </c>
      <c r="J90" s="10">
        <f>I90</f>
        <v>7550</v>
      </c>
      <c r="K90" s="11"/>
      <c r="L90" s="11"/>
      <c r="M90" s="11"/>
      <c r="O90" s="76"/>
      <c r="P90" s="79"/>
      <c r="Q90" s="68" t="s">
        <v>135</v>
      </c>
      <c r="R90" s="63">
        <f>J92-R87</f>
        <v>7548.7278718952502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ONSV_AUX_2020!W59</f>
        <v>103236</v>
      </c>
      <c r="J91" s="64">
        <f>I91-(L84*I82)</f>
        <v>103194.99000070516</v>
      </c>
      <c r="K91" s="11"/>
      <c r="L91" s="11"/>
      <c r="M91" s="11"/>
      <c r="N91" s="30" t="s">
        <v>142</v>
      </c>
      <c r="O91" s="63">
        <f>I79</f>
        <v>10451</v>
      </c>
      <c r="P91" s="79"/>
      <c r="Q91" s="51"/>
      <c r="R91" s="51"/>
      <c r="S91" s="80"/>
      <c r="T91" s="68" t="s">
        <v>141</v>
      </c>
      <c r="U91" s="71">
        <f>R86</f>
        <v>47685.304796418677</v>
      </c>
      <c r="V91" s="51"/>
      <c r="W91" s="68" t="s">
        <v>152</v>
      </c>
      <c r="X91" s="70">
        <f>I94</f>
        <v>412285</v>
      </c>
    </row>
    <row r="92" spans="8:24" ht="15.75">
      <c r="H92" s="39" t="s">
        <v>108</v>
      </c>
      <c r="I92" s="63">
        <f>ONSV_AUX_2020!W60</f>
        <v>14039</v>
      </c>
      <c r="J92" s="64">
        <f>I92-(L85*I82)</f>
        <v>14033.423075476576</v>
      </c>
      <c r="K92" s="11"/>
      <c r="L92" s="11"/>
      <c r="M92" s="11"/>
      <c r="N92" s="30" t="s">
        <v>145</v>
      </c>
      <c r="O92" s="63">
        <f>I83</f>
        <v>86</v>
      </c>
      <c r="P92" s="79"/>
      <c r="Q92" s="51"/>
      <c r="R92" s="51"/>
      <c r="S92" s="51"/>
      <c r="T92" s="68" t="s">
        <v>153</v>
      </c>
      <c r="U92" s="71">
        <f>I91-J91</f>
        <v>41.009999294838053</v>
      </c>
      <c r="V92" s="51"/>
      <c r="W92" s="68" t="s">
        <v>154</v>
      </c>
      <c r="X92" s="70">
        <f>I95</f>
        <v>129986</v>
      </c>
    </row>
    <row r="93" spans="8:24" ht="15.75">
      <c r="H93" s="39" t="s">
        <v>109</v>
      </c>
      <c r="I93" s="63">
        <f>ONSV_AUX_2020!W61</f>
        <v>1381</v>
      </c>
      <c r="J93" s="10">
        <f>I93</f>
        <v>1381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292798.45357873209</v>
      </c>
      <c r="P93" s="79"/>
      <c r="Q93" s="51"/>
      <c r="R93" s="81"/>
      <c r="S93" s="51"/>
      <c r="T93" s="68" t="s">
        <v>149</v>
      </c>
      <c r="U93" s="75">
        <f>R89</f>
        <v>55509.685204286485</v>
      </c>
      <c r="V93" s="51"/>
      <c r="W93" s="51"/>
      <c r="X93" s="51"/>
    </row>
    <row r="94" spans="8:24" ht="15.75">
      <c r="H94" s="39" t="s">
        <v>110</v>
      </c>
      <c r="I94" s="63">
        <f>ONSV_AUX_2020!W62</f>
        <v>412285</v>
      </c>
      <c r="J94" s="10">
        <f>I94</f>
        <v>412285</v>
      </c>
      <c r="K94" s="11"/>
      <c r="L94" s="11"/>
      <c r="M94" s="11"/>
      <c r="N94" s="30" t="s">
        <v>150</v>
      </c>
      <c r="O94" s="63">
        <f>IF((J88-O91-O93-O92)&lt;0,0,(J88-O91-O93-O92))</f>
        <v>0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ONSV_AUX_2020!W63</f>
        <v>129986</v>
      </c>
      <c r="J95" s="10">
        <f>I95</f>
        <v>129986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1014946</v>
      </c>
    </row>
    <row r="96" spans="8:24" ht="15.75">
      <c r="H96" s="39" t="s">
        <v>112</v>
      </c>
      <c r="I96" s="63">
        <f>ONSV_AUX_2020!W64</f>
        <v>6592</v>
      </c>
      <c r="J96" s="10">
        <f>I96</f>
        <v>6592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ONSV_AUX_2020!W65</f>
        <v>4699</v>
      </c>
      <c r="J97" s="64">
        <f>I97-(L86*I82)</f>
        <v>4697.1333450861484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6" customFormat="1" ht="15.75">
      <c r="A100" s="100" t="str">
        <f>"RONDÔNIA/"&amp;ONSV_AUX_2019!$A$1&amp;""</f>
        <v>RONDÔNIA/2019</v>
      </c>
      <c r="B100" s="101"/>
      <c r="C100" s="101"/>
      <c r="D100" s="101"/>
      <c r="E100" s="101"/>
      <c r="F100" s="101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ONSV_AUX_2019!W27</f>
        <v>10427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ONSV_AUX_2019!W28</f>
        <v>384633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ONSV_AUX_2019!W29</f>
        <v>96400</v>
      </c>
      <c r="J106" s="9"/>
      <c r="K106" s="2" t="s">
        <v>122</v>
      </c>
      <c r="L106" s="63">
        <f>I113+I116+I117+I122</f>
        <v>405801</v>
      </c>
      <c r="N106" s="30" t="s">
        <v>123</v>
      </c>
      <c r="O106" s="63">
        <f>J113+J122</f>
        <v>295114.53942203196</v>
      </c>
      <c r="P106" s="67"/>
      <c r="Q106" s="68" t="s">
        <v>124</v>
      </c>
      <c r="R106" s="63">
        <f>J116+J117</f>
        <v>110618.46057796803</v>
      </c>
      <c r="S106" s="69"/>
      <c r="T106" s="68" t="s">
        <v>125</v>
      </c>
      <c r="U106" s="70">
        <f>O110</f>
        <v>4223.2921850857929</v>
      </c>
      <c r="V106" s="51"/>
      <c r="W106" s="68" t="s">
        <v>126</v>
      </c>
      <c r="X106" s="71">
        <f>R112</f>
        <v>6139.3902582318742</v>
      </c>
    </row>
    <row r="107" spans="1:24" ht="15.75">
      <c r="H107" s="38" t="s">
        <v>102</v>
      </c>
      <c r="I107" s="63">
        <f>ONSV_AUX_2019!W30</f>
        <v>68</v>
      </c>
      <c r="J107" s="9"/>
      <c r="K107" s="29"/>
      <c r="L107" s="65"/>
      <c r="M107" s="22"/>
      <c r="N107" s="30" t="s">
        <v>127</v>
      </c>
      <c r="O107" s="72">
        <f>J113/O106</f>
        <v>0.98568931170467955</v>
      </c>
      <c r="P107" s="67"/>
      <c r="Q107" s="73" t="s">
        <v>128</v>
      </c>
      <c r="R107" s="66">
        <f>J116/R106</f>
        <v>0.87816010918589615</v>
      </c>
      <c r="S107" s="74"/>
      <c r="T107" s="68" t="s">
        <v>129</v>
      </c>
      <c r="U107" s="70">
        <f>I122-J122</f>
        <v>0.70781491420711973</v>
      </c>
      <c r="V107" s="51"/>
      <c r="W107" s="68" t="s">
        <v>130</v>
      </c>
      <c r="X107" s="71">
        <f>I117-J117</f>
        <v>2.2588411561337125</v>
      </c>
    </row>
    <row r="108" spans="1:24" ht="15.75">
      <c r="H108" s="38" t="s">
        <v>16</v>
      </c>
      <c r="I108" s="63">
        <f>ONSV_AUX_2019!W31</f>
        <v>87</v>
      </c>
      <c r="J108" s="9"/>
      <c r="K108" s="2" t="s">
        <v>131</v>
      </c>
      <c r="L108" s="66">
        <f>I113/L106</f>
        <v>0.71695239785017784</v>
      </c>
      <c r="M108" s="22"/>
      <c r="N108" s="30" t="s">
        <v>132</v>
      </c>
      <c r="O108" s="72">
        <f>J122/O106</f>
        <v>1.4310688295320567E-2</v>
      </c>
      <c r="P108" s="67"/>
      <c r="Q108" s="73" t="s">
        <v>133</v>
      </c>
      <c r="R108" s="66">
        <f>J117/R106</f>
        <v>0.12183989081410376</v>
      </c>
      <c r="S108" s="74"/>
      <c r="T108" s="68" t="s">
        <v>134</v>
      </c>
      <c r="U108" s="75">
        <f>O112</f>
        <v>0</v>
      </c>
      <c r="V108" s="76"/>
      <c r="W108" s="68" t="s">
        <v>135</v>
      </c>
      <c r="X108" s="75">
        <f>R115</f>
        <v>7338.3509006119921</v>
      </c>
    </row>
    <row r="109" spans="1:24" ht="15.75">
      <c r="H109" s="38" t="s">
        <v>94</v>
      </c>
      <c r="I109" s="63">
        <f>ONSV_AUX_2019!W32</f>
        <v>486333</v>
      </c>
      <c r="J109" s="10"/>
      <c r="K109" s="2" t="s">
        <v>2</v>
      </c>
      <c r="L109" s="66">
        <f>I116/L106</f>
        <v>0.23942030699776493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3.3218252296076153E-2</v>
      </c>
      <c r="M110" s="22"/>
      <c r="N110" s="30" t="s">
        <v>136</v>
      </c>
      <c r="O110" s="63">
        <f>IF(O108*I105&gt;J122,J122,O108*I105)</f>
        <v>4223.2921850857929</v>
      </c>
      <c r="P110" s="79"/>
      <c r="Q110" s="68" t="s">
        <v>137</v>
      </c>
      <c r="R110" s="63">
        <f>I106-I114-I115-I118-I121</f>
        <v>50389</v>
      </c>
      <c r="S110" s="80"/>
      <c r="T110" s="68" t="s">
        <v>138</v>
      </c>
      <c r="U110" s="70">
        <f>O118</f>
        <v>280377.24723694619</v>
      </c>
      <c r="V110" s="79"/>
      <c r="W110" s="68" t="s">
        <v>139</v>
      </c>
      <c r="X110" s="70">
        <f>I114</f>
        <v>31371</v>
      </c>
    </row>
    <row r="111" spans="1:24" ht="15.75">
      <c r="H111" s="26" t="s">
        <v>140</v>
      </c>
      <c r="K111" s="2" t="s">
        <v>0</v>
      </c>
      <c r="L111" s="66">
        <f>I122/L106</f>
        <v>1.0409042855981133E-2</v>
      </c>
      <c r="O111" s="51"/>
      <c r="P111" s="79"/>
      <c r="Q111" s="68" t="s">
        <v>141</v>
      </c>
      <c r="R111" s="63">
        <f>R107*R110</f>
        <v>44249.609741768123</v>
      </c>
      <c r="S111" s="51"/>
      <c r="T111" s="68" t="s">
        <v>142</v>
      </c>
      <c r="U111" s="70">
        <f>O116</f>
        <v>10427</v>
      </c>
      <c r="V111" s="69"/>
      <c r="W111" s="68" t="s">
        <v>143</v>
      </c>
      <c r="X111" s="70">
        <f>I115</f>
        <v>7063</v>
      </c>
    </row>
    <row r="112" spans="1:24" ht="15.75">
      <c r="K112" s="11"/>
      <c r="L112" s="11"/>
      <c r="M112" s="11"/>
      <c r="N112" s="30" t="s">
        <v>144</v>
      </c>
      <c r="O112" s="63">
        <f>J122-O110</f>
        <v>0</v>
      </c>
      <c r="P112" s="79"/>
      <c r="Q112" s="68" t="s">
        <v>126</v>
      </c>
      <c r="R112" s="63">
        <f>R108*R110</f>
        <v>6139.3902582318742</v>
      </c>
      <c r="S112" s="51"/>
      <c r="T112" s="68" t="s">
        <v>145</v>
      </c>
      <c r="U112" s="70">
        <f>O117</f>
        <v>87</v>
      </c>
      <c r="V112" s="74"/>
      <c r="W112" s="51"/>
      <c r="X112" s="65"/>
    </row>
    <row r="113" spans="8:24" ht="15.75">
      <c r="H113" s="39" t="s">
        <v>104</v>
      </c>
      <c r="I113" s="63">
        <f>ONSV_AUX_2019!W56</f>
        <v>290940</v>
      </c>
      <c r="J113" s="64">
        <f>I113-(L108*I107)</f>
        <v>290891.24723694619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48.752763053809758</v>
      </c>
      <c r="V113" s="74"/>
      <c r="W113" s="68" t="s">
        <v>147</v>
      </c>
      <c r="X113" s="70">
        <f>I121</f>
        <v>6260</v>
      </c>
    </row>
    <row r="114" spans="8:24" ht="15.75">
      <c r="H114" s="39" t="s">
        <v>105</v>
      </c>
      <c r="I114" s="63">
        <f>ONSV_AUX_2019!W57</f>
        <v>31371</v>
      </c>
      <c r="J114" s="10">
        <f>I114</f>
        <v>31371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52891.109677356035</v>
      </c>
      <c r="S114" s="51"/>
      <c r="T114" s="68" t="s">
        <v>150</v>
      </c>
      <c r="U114" s="75">
        <f>O119</f>
        <v>0</v>
      </c>
      <c r="V114" s="51"/>
      <c r="W114" s="68" t="s">
        <v>151</v>
      </c>
      <c r="X114" s="70">
        <f>I118</f>
        <v>1317</v>
      </c>
    </row>
    <row r="115" spans="8:24" ht="15.75">
      <c r="H115" s="39" t="s">
        <v>106</v>
      </c>
      <c r="I115" s="63">
        <f>ONSV_AUX_2019!W58</f>
        <v>7063</v>
      </c>
      <c r="J115" s="10">
        <f>I115</f>
        <v>7063</v>
      </c>
      <c r="K115" s="11"/>
      <c r="L115" s="11"/>
      <c r="M115" s="11"/>
      <c r="O115" s="76"/>
      <c r="P115" s="79"/>
      <c r="Q115" s="68" t="s">
        <v>135</v>
      </c>
      <c r="R115" s="63">
        <f>J117-R112</f>
        <v>7338.3509006119921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ONSV_AUX_2019!W59</f>
        <v>97157</v>
      </c>
      <c r="J116" s="64">
        <f>I116-(L109*I107)</f>
        <v>97140.719419124158</v>
      </c>
      <c r="K116" s="11"/>
      <c r="L116" s="11"/>
      <c r="M116" s="11"/>
      <c r="N116" s="30" t="s">
        <v>142</v>
      </c>
      <c r="O116" s="63">
        <f>I104</f>
        <v>10427</v>
      </c>
      <c r="P116" s="79"/>
      <c r="Q116" s="51"/>
      <c r="R116" s="51"/>
      <c r="S116" s="80"/>
      <c r="T116" s="68" t="s">
        <v>141</v>
      </c>
      <c r="U116" s="71">
        <f>R111</f>
        <v>44249.609741768123</v>
      </c>
      <c r="V116" s="51"/>
      <c r="W116" s="68" t="s">
        <v>152</v>
      </c>
      <c r="X116" s="70">
        <f>I119</f>
        <v>401012</v>
      </c>
    </row>
    <row r="117" spans="8:24" ht="15.75">
      <c r="H117" s="39" t="s">
        <v>108</v>
      </c>
      <c r="I117" s="63">
        <f>ONSV_AUX_2019!W60</f>
        <v>13480</v>
      </c>
      <c r="J117" s="64">
        <f>I117-(L110*I107)</f>
        <v>13477.741158843866</v>
      </c>
      <c r="K117" s="11"/>
      <c r="L117" s="11"/>
      <c r="M117" s="11"/>
      <c r="N117" s="30" t="s">
        <v>145</v>
      </c>
      <c r="O117" s="63">
        <f>I108</f>
        <v>87</v>
      </c>
      <c r="P117" s="79"/>
      <c r="Q117" s="51"/>
      <c r="R117" s="51"/>
      <c r="S117" s="51"/>
      <c r="T117" s="68" t="s">
        <v>153</v>
      </c>
      <c r="U117" s="71">
        <f>I116-J116</f>
        <v>16.280580875842134</v>
      </c>
      <c r="V117" s="51"/>
      <c r="W117" s="68" t="s">
        <v>154</v>
      </c>
      <c r="X117" s="70">
        <f>I120</f>
        <v>124991</v>
      </c>
    </row>
    <row r="118" spans="8:24" ht="15.75">
      <c r="H118" s="39" t="s">
        <v>109</v>
      </c>
      <c r="I118" s="63">
        <f>ONSV_AUX_2019!W61</f>
        <v>1317</v>
      </c>
      <c r="J118" s="10">
        <f>I118</f>
        <v>1317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280377.24723694619</v>
      </c>
      <c r="P118" s="79"/>
      <c r="Q118" s="51"/>
      <c r="R118" s="81"/>
      <c r="S118" s="51"/>
      <c r="T118" s="68" t="s">
        <v>149</v>
      </c>
      <c r="U118" s="75">
        <f>R114</f>
        <v>52891.109677356035</v>
      </c>
      <c r="V118" s="51"/>
      <c r="W118" s="51"/>
      <c r="X118" s="51"/>
    </row>
    <row r="119" spans="8:24" ht="15.75">
      <c r="H119" s="39" t="s">
        <v>110</v>
      </c>
      <c r="I119" s="63">
        <f>ONSV_AUX_2019!W62</f>
        <v>401012</v>
      </c>
      <c r="J119" s="10">
        <f>I119</f>
        <v>401012</v>
      </c>
      <c r="K119" s="11"/>
      <c r="L119" s="11"/>
      <c r="M119" s="11"/>
      <c r="N119" s="30" t="s">
        <v>150</v>
      </c>
      <c r="O119" s="63">
        <f>IF((J113-O116-O118-O117)&lt;0,0,(J113-O116-O118-O117))</f>
        <v>0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ONSV_AUX_2019!W63</f>
        <v>124991</v>
      </c>
      <c r="J120" s="10">
        <f>I120</f>
        <v>124991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977815</v>
      </c>
    </row>
    <row r="121" spans="8:24" ht="15.75">
      <c r="H121" s="39" t="s">
        <v>112</v>
      </c>
      <c r="I121" s="63">
        <f>ONSV_AUX_2019!W64</f>
        <v>6260</v>
      </c>
      <c r="J121" s="10">
        <f>I121</f>
        <v>6260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ONSV_AUX_2019!W65</f>
        <v>4224</v>
      </c>
      <c r="J122" s="64">
        <f>I122-(L111*I107)</f>
        <v>4223.2921850857929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9" tint="0.39997558519241921"/>
  </sheetPr>
  <dimension ref="A1:X122"/>
  <sheetViews>
    <sheetView showGridLines="0" topLeftCell="A92" zoomScale="90" zoomScaleNormal="90" workbookViewId="0">
      <selection activeCell="A76" sqref="A76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3" customFormat="1" ht="15.75">
      <c r="A1" s="100" t="str">
        <f>"RORAIMA/"&amp;ONSV_AUX_2023!$A$1&amp;""</f>
        <v>RORAIMA/2023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ONSV_AUX_2023!X27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ONSV_AUX_2023!X28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ONSV_AUX_2023!X29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ONSV_AUX_2023!X30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ONSV_AUX_2023!X31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ONSV_AUX_2023!X32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ONSV_AUX_2023!X56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ONSV_AUX_2023!X57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ONSV_AUX_2023!X58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ONSV_AUX_2023!X59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ONSV_AUX_2023!X60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ONSV_AUX_2023!X61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ONSV_AUX_2023!X62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ONSV_AUX_2023!X63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ONSV_AUX_2023!X64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ONSV_AUX_2023!X65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6" customFormat="1" ht="15" customHeight="1">
      <c r="A25" s="100" t="str">
        <f>"RORAIMA/"&amp;ONSV_AUX_2022!$A$1&amp;""</f>
        <v>RORAIMA/2022</v>
      </c>
      <c r="B25" s="101"/>
      <c r="C25" s="101"/>
      <c r="D25" s="101"/>
      <c r="E25" s="101"/>
      <c r="F25" s="10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5.75">
      <c r="A26" s="3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ONSV_AUX_2022!X27</f>
        <v>1458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ONSV_AUX_2022!X28</f>
        <v>109436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ONSV_AUX_2022!X29</f>
        <v>24771</v>
      </c>
      <c r="J31" s="9"/>
      <c r="K31" s="2" t="s">
        <v>122</v>
      </c>
      <c r="L31" s="63">
        <f>I38+I41+I42+I47</f>
        <v>130247</v>
      </c>
      <c r="N31" s="30" t="s">
        <v>123</v>
      </c>
      <c r="O31" s="63">
        <f>J38+J47</f>
        <v>90428.478606033153</v>
      </c>
      <c r="P31" s="67"/>
      <c r="Q31" s="68" t="s">
        <v>124</v>
      </c>
      <c r="R31" s="63">
        <f>J41+J42</f>
        <v>39682.521393966847</v>
      </c>
      <c r="S31" s="69"/>
      <c r="T31" s="68" t="s">
        <v>125</v>
      </c>
      <c r="U31" s="70">
        <f>O35</f>
        <v>1821.0964782298249</v>
      </c>
      <c r="V31" s="51"/>
      <c r="W31" s="68" t="s">
        <v>126</v>
      </c>
      <c r="X31" s="71">
        <f>R37</f>
        <v>2262.0497684019733</v>
      </c>
    </row>
    <row r="32" spans="1:24" ht="15.75">
      <c r="H32" s="38" t="s">
        <v>102</v>
      </c>
      <c r="I32" s="63">
        <f>ONSV_AUX_2022!X30</f>
        <v>136</v>
      </c>
      <c r="J32" s="9"/>
      <c r="K32" s="29"/>
      <c r="L32" s="65"/>
      <c r="M32" s="22"/>
      <c r="N32" s="30" t="s">
        <v>127</v>
      </c>
      <c r="O32" s="72">
        <f>J38/O31</f>
        <v>0.97986147167018323</v>
      </c>
      <c r="P32" s="67"/>
      <c r="Q32" s="73" t="s">
        <v>128</v>
      </c>
      <c r="R32" s="66">
        <f>J41/R31</f>
        <v>0.852356258181452</v>
      </c>
      <c r="S32" s="74"/>
      <c r="T32" s="68" t="s">
        <v>129</v>
      </c>
      <c r="U32" s="70">
        <f>I47-J47</f>
        <v>1.9035217701750753</v>
      </c>
      <c r="V32" s="51"/>
      <c r="W32" s="68" t="s">
        <v>130</v>
      </c>
      <c r="X32" s="71">
        <f>I42-J42</f>
        <v>6.1240566001524712</v>
      </c>
    </row>
    <row r="33" spans="8:24" ht="15.75">
      <c r="H33" s="38" t="s">
        <v>16</v>
      </c>
      <c r="I33" s="63">
        <f>ONSV_AUX_2022!X31</f>
        <v>70</v>
      </c>
      <c r="J33" s="9"/>
      <c r="K33" s="2" t="s">
        <v>131</v>
      </c>
      <c r="L33" s="66">
        <f>I38/L31</f>
        <v>0.68101376615200349</v>
      </c>
      <c r="M33" s="22"/>
      <c r="N33" s="30" t="s">
        <v>132</v>
      </c>
      <c r="O33" s="72">
        <f>J47/O31</f>
        <v>2.0138528329816732E-2</v>
      </c>
      <c r="P33" s="67"/>
      <c r="Q33" s="73" t="s">
        <v>133</v>
      </c>
      <c r="R33" s="66">
        <f>J42/R31</f>
        <v>0.14764374181854797</v>
      </c>
      <c r="S33" s="74"/>
      <c r="T33" s="68" t="s">
        <v>134</v>
      </c>
      <c r="U33" s="75">
        <f>O37</f>
        <v>0</v>
      </c>
      <c r="V33" s="76"/>
      <c r="W33" s="68" t="s">
        <v>135</v>
      </c>
      <c r="X33" s="75">
        <f>R40</f>
        <v>3596.8261749978742</v>
      </c>
    </row>
    <row r="34" spans="8:24" ht="15.75">
      <c r="H34" s="38" t="s">
        <v>94</v>
      </c>
      <c r="I34" s="63">
        <f>ONSV_AUX_2022!X32</f>
        <v>115099</v>
      </c>
      <c r="J34" s="10"/>
      <c r="K34" s="2" t="s">
        <v>2</v>
      </c>
      <c r="L34" s="66">
        <f>I41/L31</f>
        <v>0.25995992230147336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4.5029827942294258E-2</v>
      </c>
      <c r="M35" s="22"/>
      <c r="N35" s="30" t="s">
        <v>136</v>
      </c>
      <c r="O35" s="63">
        <f>IF(O33*I30&gt;J47,J47,O33*I30)</f>
        <v>1821.0964782298249</v>
      </c>
      <c r="P35" s="79"/>
      <c r="Q35" s="68" t="s">
        <v>137</v>
      </c>
      <c r="R35" s="63">
        <f>I31-I39-I40-I43-I46</f>
        <v>15321</v>
      </c>
      <c r="S35" s="80"/>
      <c r="T35" s="68" t="s">
        <v>138</v>
      </c>
      <c r="U35" s="70">
        <f>O43</f>
        <v>87079.382127803328</v>
      </c>
      <c r="V35" s="79"/>
      <c r="W35" s="68" t="s">
        <v>139</v>
      </c>
      <c r="X35" s="70">
        <f>I39</f>
        <v>5977</v>
      </c>
    </row>
    <row r="36" spans="8:24" ht="15.75">
      <c r="H36" s="26" t="s">
        <v>140</v>
      </c>
      <c r="K36" s="2" t="s">
        <v>0</v>
      </c>
      <c r="L36" s="66">
        <f>I47/L31</f>
        <v>1.3996483604228888E-2</v>
      </c>
      <c r="O36" s="51"/>
      <c r="P36" s="79"/>
      <c r="Q36" s="68" t="s">
        <v>141</v>
      </c>
      <c r="R36" s="63">
        <f>R32*R35</f>
        <v>13058.950231598026</v>
      </c>
      <c r="S36" s="51"/>
      <c r="T36" s="68" t="s">
        <v>142</v>
      </c>
      <c r="U36" s="70">
        <f>O41</f>
        <v>1458</v>
      </c>
      <c r="V36" s="69"/>
      <c r="W36" s="68" t="s">
        <v>143</v>
      </c>
      <c r="X36" s="70">
        <f>I40</f>
        <v>1346</v>
      </c>
    </row>
    <row r="37" spans="8:24" ht="15.75">
      <c r="K37" s="11"/>
      <c r="L37" s="11"/>
      <c r="M37" s="11"/>
      <c r="N37" s="30" t="s">
        <v>144</v>
      </c>
      <c r="O37" s="63">
        <f>J47-O35</f>
        <v>0</v>
      </c>
      <c r="P37" s="79"/>
      <c r="Q37" s="68" t="s">
        <v>126</v>
      </c>
      <c r="R37" s="63">
        <f>R33*R35</f>
        <v>2262.0497684019733</v>
      </c>
      <c r="S37" s="51"/>
      <c r="T37" s="68" t="s">
        <v>145</v>
      </c>
      <c r="U37" s="70">
        <f>O42</f>
        <v>70</v>
      </c>
      <c r="V37" s="74"/>
      <c r="W37" s="51"/>
      <c r="X37" s="65"/>
    </row>
    <row r="38" spans="8:24" ht="15.75">
      <c r="H38" s="39" t="s">
        <v>104</v>
      </c>
      <c r="I38" s="63">
        <f>ONSV_AUX_2022!X56</f>
        <v>88700</v>
      </c>
      <c r="J38" s="64">
        <f>I38-(L33*I32)</f>
        <v>88607.382127803328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92.617872196671669</v>
      </c>
      <c r="V38" s="74"/>
      <c r="W38" s="68" t="s">
        <v>147</v>
      </c>
      <c r="X38" s="70">
        <f>I46</f>
        <v>1360</v>
      </c>
    </row>
    <row r="39" spans="8:24" ht="15.75">
      <c r="H39" s="39" t="s">
        <v>105</v>
      </c>
      <c r="I39" s="63">
        <f>ONSV_AUX_2022!X57</f>
        <v>5977</v>
      </c>
      <c r="J39" s="10">
        <f>I39</f>
        <v>5977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20764.695218968969</v>
      </c>
      <c r="S39" s="51"/>
      <c r="T39" s="68" t="s">
        <v>150</v>
      </c>
      <c r="U39" s="75">
        <f>O44</f>
        <v>0</v>
      </c>
      <c r="V39" s="51"/>
      <c r="W39" s="68" t="s">
        <v>151</v>
      </c>
      <c r="X39" s="70">
        <f>I43</f>
        <v>767</v>
      </c>
    </row>
    <row r="40" spans="8:24" ht="15.75">
      <c r="H40" s="39" t="s">
        <v>106</v>
      </c>
      <c r="I40" s="63">
        <f>ONSV_AUX_2022!X58</f>
        <v>1346</v>
      </c>
      <c r="J40" s="10">
        <f>I40</f>
        <v>1346</v>
      </c>
      <c r="K40" s="11"/>
      <c r="L40" s="11"/>
      <c r="M40" s="11"/>
      <c r="O40" s="76"/>
      <c r="P40" s="79"/>
      <c r="Q40" s="68" t="s">
        <v>135</v>
      </c>
      <c r="R40" s="63">
        <f>J42-R37</f>
        <v>3596.8261749978742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ONSV_AUX_2022!X59</f>
        <v>33859</v>
      </c>
      <c r="J41" s="64">
        <f>I41-(L34*I32)</f>
        <v>33823.645450566997</v>
      </c>
      <c r="K41" s="11"/>
      <c r="L41" s="11"/>
      <c r="M41" s="11"/>
      <c r="N41" s="30" t="s">
        <v>142</v>
      </c>
      <c r="O41" s="63">
        <f>I29</f>
        <v>1458</v>
      </c>
      <c r="P41" s="79"/>
      <c r="Q41" s="51"/>
      <c r="R41" s="51"/>
      <c r="S41" s="80"/>
      <c r="T41" s="68" t="s">
        <v>141</v>
      </c>
      <c r="U41" s="71">
        <f>R36</f>
        <v>13058.950231598026</v>
      </c>
      <c r="V41" s="51"/>
      <c r="W41" s="68" t="s">
        <v>152</v>
      </c>
      <c r="X41" s="70">
        <f>I44</f>
        <v>88111</v>
      </c>
    </row>
    <row r="42" spans="8:24" ht="15.75">
      <c r="H42" s="39" t="s">
        <v>108</v>
      </c>
      <c r="I42" s="63">
        <f>ONSV_AUX_2022!X60</f>
        <v>5865</v>
      </c>
      <c r="J42" s="64">
        <f>I42-(L35*I32)</f>
        <v>5858.8759433998475</v>
      </c>
      <c r="K42" s="11"/>
      <c r="L42" s="11"/>
      <c r="M42" s="11"/>
      <c r="N42" s="30" t="s">
        <v>145</v>
      </c>
      <c r="O42" s="63">
        <f>I33</f>
        <v>70</v>
      </c>
      <c r="P42" s="79"/>
      <c r="Q42" s="51"/>
      <c r="R42" s="51"/>
      <c r="S42" s="51"/>
      <c r="T42" s="68" t="s">
        <v>153</v>
      </c>
      <c r="U42" s="71">
        <f>I41-J41</f>
        <v>35.35454943300283</v>
      </c>
      <c r="V42" s="51"/>
      <c r="W42" s="68" t="s">
        <v>154</v>
      </c>
      <c r="X42" s="70">
        <f>I45</f>
        <v>22987</v>
      </c>
    </row>
    <row r="43" spans="8:24" ht="15.75">
      <c r="H43" s="39" t="s">
        <v>109</v>
      </c>
      <c r="I43" s="63">
        <f>ONSV_AUX_2022!X61</f>
        <v>767</v>
      </c>
      <c r="J43" s="10">
        <f>I43</f>
        <v>767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87079.382127803328</v>
      </c>
      <c r="P43" s="79"/>
      <c r="Q43" s="51"/>
      <c r="R43" s="81"/>
      <c r="S43" s="51"/>
      <c r="T43" s="68" t="s">
        <v>149</v>
      </c>
      <c r="U43" s="75">
        <f>R39</f>
        <v>20764.695218968969</v>
      </c>
      <c r="V43" s="51"/>
      <c r="W43" s="51"/>
      <c r="X43" s="51"/>
    </row>
    <row r="44" spans="8:24" ht="15.75">
      <c r="H44" s="39" t="s">
        <v>110</v>
      </c>
      <c r="I44" s="63">
        <f>ONSV_AUX_2022!X62</f>
        <v>88111</v>
      </c>
      <c r="J44" s="10">
        <f>I44</f>
        <v>88111</v>
      </c>
      <c r="K44" s="11"/>
      <c r="L44" s="11"/>
      <c r="M44" s="11"/>
      <c r="N44" s="30" t="s">
        <v>150</v>
      </c>
      <c r="O44" s="63">
        <f>IF((J38-O41-O43-O42)&lt;0,0,(J38-O41-O43-O42))</f>
        <v>0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ONSV_AUX_2022!X63</f>
        <v>22987</v>
      </c>
      <c r="J45" s="10">
        <f>I45</f>
        <v>22987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250795</v>
      </c>
    </row>
    <row r="46" spans="8:24" ht="15.75">
      <c r="H46" s="39" t="s">
        <v>112</v>
      </c>
      <c r="I46" s="63">
        <f>ONSV_AUX_2022!X64</f>
        <v>1360</v>
      </c>
      <c r="J46" s="10">
        <f>I46</f>
        <v>1360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ONSV_AUX_2022!X65</f>
        <v>1823</v>
      </c>
      <c r="J47" s="64">
        <f>I47-(L36*I32)</f>
        <v>1821.0964782298249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6" customFormat="1" ht="15.75">
      <c r="A50" s="100" t="str">
        <f>"RORAIMA/"&amp;ONSV_AUX_2021!$A$1&amp;""</f>
        <v>RORAIMA/2021</v>
      </c>
      <c r="B50" s="101"/>
      <c r="C50" s="101"/>
      <c r="D50" s="101"/>
      <c r="E50" s="101"/>
      <c r="F50" s="101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2" spans="1:24" ht="15.75">
      <c r="B52" s="43"/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ONSV_AUX_2021!X27</f>
        <v>1455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ONSV_AUX_2021!X28</f>
        <v>101821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ONSV_AUX_2021!X29</f>
        <v>23009</v>
      </c>
      <c r="J56" s="9"/>
      <c r="K56" s="2" t="s">
        <v>122</v>
      </c>
      <c r="L56" s="63">
        <f>I63+I66+I67+I72</f>
        <v>123954</v>
      </c>
      <c r="N56" s="30" t="s">
        <v>123</v>
      </c>
      <c r="O56" s="63">
        <f>J63+J72</f>
        <v>86734.685851202856</v>
      </c>
      <c r="P56" s="67"/>
      <c r="Q56" s="68" t="s">
        <v>124</v>
      </c>
      <c r="R56" s="63">
        <f>J66+J67</f>
        <v>37140.31414879713</v>
      </c>
      <c r="S56" s="69"/>
      <c r="T56" s="68" t="s">
        <v>125</v>
      </c>
      <c r="U56" s="70">
        <f>O60</f>
        <v>1602.9777175403779</v>
      </c>
      <c r="V56" s="51"/>
      <c r="W56" s="68" t="s">
        <v>126</v>
      </c>
      <c r="X56" s="71">
        <f>R62</f>
        <v>2086.3889785814231</v>
      </c>
    </row>
    <row r="57" spans="1:24" ht="15.75">
      <c r="H57" s="38" t="s">
        <v>102</v>
      </c>
      <c r="I57" s="63">
        <f>ONSV_AUX_2021!X30</f>
        <v>79</v>
      </c>
      <c r="J57" s="9"/>
      <c r="K57" s="29"/>
      <c r="L57" s="65"/>
      <c r="M57" s="22"/>
      <c r="N57" s="30" t="s">
        <v>127</v>
      </c>
      <c r="O57" s="72">
        <f>J63/O56</f>
        <v>0.98151860813457781</v>
      </c>
      <c r="P57" s="67"/>
      <c r="Q57" s="73" t="s">
        <v>128</v>
      </c>
      <c r="R57" s="66">
        <f>J66/R56</f>
        <v>0.85181896458938766</v>
      </c>
      <c r="S57" s="74"/>
      <c r="T57" s="68" t="s">
        <v>129</v>
      </c>
      <c r="U57" s="70">
        <f>I72-J72</f>
        <v>1.0222824596221471</v>
      </c>
      <c r="V57" s="51"/>
      <c r="W57" s="68" t="s">
        <v>130</v>
      </c>
      <c r="X57" s="71">
        <f>I67-J67</f>
        <v>3.5097939558227154</v>
      </c>
    </row>
    <row r="58" spans="1:24" ht="15.75">
      <c r="H58" s="38" t="s">
        <v>16</v>
      </c>
      <c r="I58" s="63">
        <f>ONSV_AUX_2021!X31</f>
        <v>61</v>
      </c>
      <c r="J58" s="9"/>
      <c r="K58" s="2" t="s">
        <v>131</v>
      </c>
      <c r="L58" s="66">
        <f>I63/L56</f>
        <v>0.6872388143988899</v>
      </c>
      <c r="M58" s="22"/>
      <c r="N58" s="30" t="s">
        <v>132</v>
      </c>
      <c r="O58" s="72">
        <f>J72/O56</f>
        <v>1.8481391865422286E-2</v>
      </c>
      <c r="P58" s="67"/>
      <c r="Q58" s="73" t="s">
        <v>133</v>
      </c>
      <c r="R58" s="66">
        <f>J67/R56</f>
        <v>0.14818103541061242</v>
      </c>
      <c r="S58" s="74"/>
      <c r="T58" s="68" t="s">
        <v>134</v>
      </c>
      <c r="U58" s="75">
        <f>O62</f>
        <v>0</v>
      </c>
      <c r="V58" s="76"/>
      <c r="W58" s="68" t="s">
        <v>135</v>
      </c>
      <c r="X58" s="75">
        <f>R65</f>
        <v>3417.1012274627542</v>
      </c>
    </row>
    <row r="59" spans="1:24" ht="15.75">
      <c r="H59" s="38" t="s">
        <v>94</v>
      </c>
      <c r="I59" s="63">
        <f>ONSV_AUX_2021!X32</f>
        <v>113551</v>
      </c>
      <c r="J59" s="10"/>
      <c r="K59" s="2" t="s">
        <v>2</v>
      </c>
      <c r="L59" s="66">
        <f>I66/L56</f>
        <v>0.25539312970940831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4.4427771592687612E-2</v>
      </c>
      <c r="M60" s="22"/>
      <c r="N60" s="30" t="s">
        <v>136</v>
      </c>
      <c r="O60" s="63">
        <f>IF(O58*I55&gt;J72,J72,O58*I55)</f>
        <v>1602.9777175403779</v>
      </c>
      <c r="P60" s="79"/>
      <c r="Q60" s="68" t="s">
        <v>137</v>
      </c>
      <c r="R60" s="63">
        <f>I56-I64-I65-I68-I71</f>
        <v>14080</v>
      </c>
      <c r="S60" s="80"/>
      <c r="T60" s="68" t="s">
        <v>138</v>
      </c>
      <c r="U60" s="70">
        <f>O68</f>
        <v>83615.708133662483</v>
      </c>
      <c r="V60" s="79"/>
      <c r="W60" s="68" t="s">
        <v>139</v>
      </c>
      <c r="X60" s="70">
        <f>I64</f>
        <v>5704</v>
      </c>
    </row>
    <row r="61" spans="1:24" ht="15.75">
      <c r="H61" s="26" t="s">
        <v>140</v>
      </c>
      <c r="K61" s="2" t="s">
        <v>0</v>
      </c>
      <c r="L61" s="66">
        <f>I72/L56</f>
        <v>1.294028429901415E-2</v>
      </c>
      <c r="O61" s="51"/>
      <c r="P61" s="79"/>
      <c r="Q61" s="68" t="s">
        <v>141</v>
      </c>
      <c r="R61" s="63">
        <f>R57*R60</f>
        <v>11993.611021418579</v>
      </c>
      <c r="S61" s="51"/>
      <c r="T61" s="68" t="s">
        <v>142</v>
      </c>
      <c r="U61" s="70">
        <f>O66</f>
        <v>1455</v>
      </c>
      <c r="V61" s="69"/>
      <c r="W61" s="68" t="s">
        <v>143</v>
      </c>
      <c r="X61" s="70">
        <f>I65</f>
        <v>1169</v>
      </c>
    </row>
    <row r="62" spans="1:24" ht="15.75">
      <c r="K62" s="11"/>
      <c r="L62" s="11"/>
      <c r="M62" s="11"/>
      <c r="N62" s="30" t="s">
        <v>144</v>
      </c>
      <c r="O62" s="63">
        <f>J72-O60</f>
        <v>0</v>
      </c>
      <c r="P62" s="79"/>
      <c r="Q62" s="68" t="s">
        <v>126</v>
      </c>
      <c r="R62" s="63">
        <f>R58*R60</f>
        <v>2086.3889785814231</v>
      </c>
      <c r="S62" s="51"/>
      <c r="T62" s="68" t="s">
        <v>145</v>
      </c>
      <c r="U62" s="70">
        <f>O67</f>
        <v>61</v>
      </c>
      <c r="V62" s="74"/>
      <c r="W62" s="51"/>
      <c r="X62" s="65"/>
    </row>
    <row r="63" spans="1:24" ht="15.75">
      <c r="H63" s="39" t="s">
        <v>104</v>
      </c>
      <c r="I63" s="63">
        <f>ONSV_AUX_2021!X56</f>
        <v>85186</v>
      </c>
      <c r="J63" s="64">
        <f>I63-(L58*I57)</f>
        <v>85131.708133662483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54.291866337516694</v>
      </c>
      <c r="V63" s="74"/>
      <c r="W63" s="68" t="s">
        <v>147</v>
      </c>
      <c r="X63" s="70">
        <f>I71</f>
        <v>1302</v>
      </c>
    </row>
    <row r="64" spans="1:24" ht="15.75">
      <c r="H64" s="39" t="s">
        <v>105</v>
      </c>
      <c r="I64" s="63">
        <f>ONSV_AUX_2021!X57</f>
        <v>5704</v>
      </c>
      <c r="J64" s="10">
        <f>I64</f>
        <v>5704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19643.212921334376</v>
      </c>
      <c r="S64" s="51"/>
      <c r="T64" s="68" t="s">
        <v>150</v>
      </c>
      <c r="U64" s="75">
        <f>O69</f>
        <v>0</v>
      </c>
      <c r="V64" s="51"/>
      <c r="W64" s="68" t="s">
        <v>151</v>
      </c>
      <c r="X64" s="70">
        <f>I68</f>
        <v>754</v>
      </c>
    </row>
    <row r="65" spans="1:24" ht="15.75">
      <c r="H65" s="39" t="s">
        <v>106</v>
      </c>
      <c r="I65" s="63">
        <f>ONSV_AUX_2021!X58</f>
        <v>1169</v>
      </c>
      <c r="J65" s="10">
        <f>I65</f>
        <v>1169</v>
      </c>
      <c r="K65" s="11"/>
      <c r="L65" s="11"/>
      <c r="M65" s="11"/>
      <c r="O65" s="76"/>
      <c r="P65" s="79"/>
      <c r="Q65" s="68" t="s">
        <v>135</v>
      </c>
      <c r="R65" s="63">
        <f>J67-R62</f>
        <v>3417.1012274627542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ONSV_AUX_2021!X59</f>
        <v>31657</v>
      </c>
      <c r="J66" s="64">
        <f>I66-(L59*I57)</f>
        <v>31636.823942752955</v>
      </c>
      <c r="K66" s="11"/>
      <c r="L66" s="11"/>
      <c r="M66" s="11"/>
      <c r="N66" s="30" t="s">
        <v>142</v>
      </c>
      <c r="O66" s="63">
        <f>I54</f>
        <v>1455</v>
      </c>
      <c r="P66" s="79"/>
      <c r="Q66" s="51"/>
      <c r="R66" s="51"/>
      <c r="S66" s="80"/>
      <c r="T66" s="68" t="s">
        <v>141</v>
      </c>
      <c r="U66" s="71">
        <f>R61</f>
        <v>11993.611021418579</v>
      </c>
      <c r="V66" s="51"/>
      <c r="W66" s="68" t="s">
        <v>152</v>
      </c>
      <c r="X66" s="70">
        <f>I69</f>
        <v>85096</v>
      </c>
    </row>
    <row r="67" spans="1:24" ht="15.75">
      <c r="H67" s="39" t="s">
        <v>108</v>
      </c>
      <c r="I67" s="63">
        <f>ONSV_AUX_2021!X60</f>
        <v>5507</v>
      </c>
      <c r="J67" s="64">
        <f>I67-(L60*I57)</f>
        <v>5503.4902060441773</v>
      </c>
      <c r="K67" s="11"/>
      <c r="L67" s="11"/>
      <c r="M67" s="11"/>
      <c r="N67" s="30" t="s">
        <v>145</v>
      </c>
      <c r="O67" s="63">
        <f>I58</f>
        <v>61</v>
      </c>
      <c r="P67" s="79"/>
      <c r="Q67" s="51"/>
      <c r="R67" s="51"/>
      <c r="S67" s="51"/>
      <c r="T67" s="68" t="s">
        <v>153</v>
      </c>
      <c r="U67" s="71">
        <f>I66-J66</f>
        <v>20.17605724704481</v>
      </c>
      <c r="V67" s="51"/>
      <c r="W67" s="68" t="s">
        <v>154</v>
      </c>
      <c r="X67" s="70">
        <f>I70</f>
        <v>21765</v>
      </c>
    </row>
    <row r="68" spans="1:24" ht="15.75">
      <c r="H68" s="39" t="s">
        <v>109</v>
      </c>
      <c r="I68" s="63">
        <f>ONSV_AUX_2021!X61</f>
        <v>754</v>
      </c>
      <c r="J68" s="10">
        <f>I68</f>
        <v>754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83615.708133662483</v>
      </c>
      <c r="P68" s="79"/>
      <c r="Q68" s="51"/>
      <c r="R68" s="81"/>
      <c r="S68" s="51"/>
      <c r="T68" s="68" t="s">
        <v>149</v>
      </c>
      <c r="U68" s="75">
        <f>R64</f>
        <v>19643.212921334376</v>
      </c>
      <c r="V68" s="51"/>
      <c r="W68" s="51"/>
      <c r="X68" s="51"/>
    </row>
    <row r="69" spans="1:24" ht="15.75">
      <c r="H69" s="39" t="s">
        <v>110</v>
      </c>
      <c r="I69" s="63">
        <f>ONSV_AUX_2021!X62</f>
        <v>85096</v>
      </c>
      <c r="J69" s="10">
        <f>I69</f>
        <v>85096</v>
      </c>
      <c r="K69" s="11"/>
      <c r="L69" s="11"/>
      <c r="M69" s="11"/>
      <c r="N69" s="30" t="s">
        <v>150</v>
      </c>
      <c r="O69" s="63">
        <f>IF((J63-O66-O68-O67)&lt;0,0,(J63-O66-O68-O67))</f>
        <v>0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ONSV_AUX_2021!X63</f>
        <v>21765</v>
      </c>
      <c r="J70" s="10">
        <f>I70</f>
        <v>21765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239744</v>
      </c>
    </row>
    <row r="71" spans="1:24" ht="15.75">
      <c r="H71" s="39" t="s">
        <v>112</v>
      </c>
      <c r="I71" s="63">
        <f>ONSV_AUX_2021!X64</f>
        <v>1302</v>
      </c>
      <c r="J71" s="10">
        <f>I71</f>
        <v>1302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ONSV_AUX_2021!X65</f>
        <v>1604</v>
      </c>
      <c r="J72" s="64">
        <f>I72-(L61*I57)</f>
        <v>1602.9777175403779</v>
      </c>
      <c r="K72" s="12"/>
      <c r="L72" s="12"/>
      <c r="M72" s="12"/>
      <c r="N72" s="12"/>
      <c r="O72" s="12"/>
      <c r="P72" s="12"/>
      <c r="Q72" s="4"/>
      <c r="R72" s="4"/>
    </row>
    <row r="75" spans="1:24" s="36" customFormat="1" ht="15.75">
      <c r="A75" s="100" t="str">
        <f>"RORAIMA/"&amp;ONSV_AUX_2020!$A$1&amp;""</f>
        <v>RORAIMA/2020</v>
      </c>
      <c r="B75" s="101"/>
      <c r="C75" s="101"/>
      <c r="D75" s="101"/>
      <c r="E75" s="101"/>
      <c r="F75" s="10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ONSV_AUX_2020!X27</f>
        <v>1452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ONSV_AUX_2020!X28</f>
        <v>93837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ONSV_AUX_2020!X29</f>
        <v>21542</v>
      </c>
      <c r="J81" s="9"/>
      <c r="K81" s="2" t="s">
        <v>122</v>
      </c>
      <c r="L81" s="63">
        <f>I88+I91+I92+I97</f>
        <v>116993</v>
      </c>
      <c r="N81" s="30" t="s">
        <v>123</v>
      </c>
      <c r="O81" s="63">
        <f>J88+J97</f>
        <v>81806.42260648073</v>
      </c>
      <c r="P81" s="67"/>
      <c r="Q81" s="68" t="s">
        <v>124</v>
      </c>
      <c r="R81" s="63">
        <f>J91+J92</f>
        <v>35138.57739351927</v>
      </c>
      <c r="S81" s="69"/>
      <c r="T81" s="68" t="s">
        <v>125</v>
      </c>
      <c r="U81" s="70">
        <f>O85</f>
        <v>1440.4087851409913</v>
      </c>
      <c r="V81" s="51"/>
      <c r="W81" s="68" t="s">
        <v>126</v>
      </c>
      <c r="X81" s="71">
        <f>R87</f>
        <v>1978.4527636332605</v>
      </c>
    </row>
    <row r="82" spans="8:24" ht="15.75">
      <c r="H82" s="38" t="s">
        <v>102</v>
      </c>
      <c r="I82" s="63">
        <f>ONSV_AUX_2020!X30</f>
        <v>48</v>
      </c>
      <c r="J82" s="9"/>
      <c r="K82" s="29"/>
      <c r="L82" s="65"/>
      <c r="M82" s="22"/>
      <c r="N82" s="30" t="s">
        <v>127</v>
      </c>
      <c r="O82" s="72">
        <f>J88/O81</f>
        <v>0.9823924731182796</v>
      </c>
      <c r="P82" s="67"/>
      <c r="Q82" s="73" t="s">
        <v>128</v>
      </c>
      <c r="R82" s="66">
        <f>J91/R81</f>
        <v>0.84908827127129971</v>
      </c>
      <c r="S82" s="74"/>
      <c r="T82" s="68" t="s">
        <v>129</v>
      </c>
      <c r="U82" s="70">
        <f>I97-J97</f>
        <v>0.5912148590086872</v>
      </c>
      <c r="V82" s="51"/>
      <c r="W82" s="68" t="s">
        <v>130</v>
      </c>
      <c r="X82" s="71">
        <f>I92-J92</f>
        <v>2.1765404767802465</v>
      </c>
    </row>
    <row r="83" spans="8:24" ht="15.75">
      <c r="H83" s="38" t="s">
        <v>16</v>
      </c>
      <c r="I83" s="63">
        <f>ONSV_AUX_2020!X31</f>
        <v>54</v>
      </c>
      <c r="J83" s="9"/>
      <c r="K83" s="2" t="s">
        <v>131</v>
      </c>
      <c r="L83" s="66">
        <f>I88/L81</f>
        <v>0.68721205542211927</v>
      </c>
      <c r="M83" s="22"/>
      <c r="N83" s="30" t="s">
        <v>132</v>
      </c>
      <c r="O83" s="72">
        <f>J97/O81</f>
        <v>1.7607526881720431E-2</v>
      </c>
      <c r="P83" s="67"/>
      <c r="Q83" s="73" t="s">
        <v>133</v>
      </c>
      <c r="R83" s="66">
        <f>J92/R81</f>
        <v>0.15091172872870026</v>
      </c>
      <c r="S83" s="74"/>
      <c r="T83" s="68" t="s">
        <v>134</v>
      </c>
      <c r="U83" s="75">
        <f>O87</f>
        <v>0</v>
      </c>
      <c r="V83" s="76"/>
      <c r="W83" s="68" t="s">
        <v>135</v>
      </c>
      <c r="X83" s="75">
        <f>R90</f>
        <v>3324.3706958899593</v>
      </c>
    </row>
    <row r="84" spans="8:24" ht="15.75">
      <c r="H84" s="38" t="s">
        <v>94</v>
      </c>
      <c r="I84" s="63">
        <f>ONSV_AUX_2020!X32</f>
        <v>112575</v>
      </c>
      <c r="J84" s="10"/>
      <c r="K84" s="2" t="s">
        <v>2</v>
      </c>
      <c r="L84" s="66">
        <f>I91/L81</f>
        <v>0.25512637508226987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4.5344593266263791E-2</v>
      </c>
      <c r="M85" s="22"/>
      <c r="N85" s="30" t="s">
        <v>136</v>
      </c>
      <c r="O85" s="63">
        <f>IF(O83*I80&gt;J97,J97,O83*I80)</f>
        <v>1440.4087851409913</v>
      </c>
      <c r="P85" s="79"/>
      <c r="Q85" s="68" t="s">
        <v>137</v>
      </c>
      <c r="R85" s="63">
        <f>I81-I89-I90-I93-I96</f>
        <v>13110</v>
      </c>
      <c r="S85" s="80"/>
      <c r="T85" s="68" t="s">
        <v>138</v>
      </c>
      <c r="U85" s="70">
        <f>O93</f>
        <v>78860.013821339744</v>
      </c>
      <c r="V85" s="79"/>
      <c r="W85" s="68" t="s">
        <v>139</v>
      </c>
      <c r="X85" s="70">
        <f>I89</f>
        <v>5503</v>
      </c>
    </row>
    <row r="86" spans="8:24" ht="15.75">
      <c r="H86" s="26" t="s">
        <v>140</v>
      </c>
      <c r="K86" s="2" t="s">
        <v>0</v>
      </c>
      <c r="L86" s="66">
        <f>I97/L81</f>
        <v>1.2316976229347056E-2</v>
      </c>
      <c r="O86" s="51"/>
      <c r="P86" s="79"/>
      <c r="Q86" s="68" t="s">
        <v>141</v>
      </c>
      <c r="R86" s="63">
        <f>R82*R85</f>
        <v>11131.54723636674</v>
      </c>
      <c r="S86" s="51"/>
      <c r="T86" s="68" t="s">
        <v>142</v>
      </c>
      <c r="U86" s="70">
        <f>O91</f>
        <v>1452</v>
      </c>
      <c r="V86" s="69"/>
      <c r="W86" s="68" t="s">
        <v>143</v>
      </c>
      <c r="X86" s="70">
        <f>I90</f>
        <v>946</v>
      </c>
    </row>
    <row r="87" spans="8:24" ht="15.75">
      <c r="K87" s="11"/>
      <c r="L87" s="11"/>
      <c r="M87" s="11"/>
      <c r="N87" s="30" t="s">
        <v>144</v>
      </c>
      <c r="O87" s="63">
        <f>J97-O85</f>
        <v>0</v>
      </c>
      <c r="P87" s="79"/>
      <c r="Q87" s="68" t="s">
        <v>126</v>
      </c>
      <c r="R87" s="63">
        <f>R83*R85</f>
        <v>1978.4527636332605</v>
      </c>
      <c r="S87" s="51"/>
      <c r="T87" s="68" t="s">
        <v>145</v>
      </c>
      <c r="U87" s="70">
        <f>O92</f>
        <v>54</v>
      </c>
      <c r="V87" s="74"/>
      <c r="W87" s="51"/>
      <c r="X87" s="65"/>
    </row>
    <row r="88" spans="8:24" ht="15.75">
      <c r="H88" s="39" t="s">
        <v>104</v>
      </c>
      <c r="I88" s="63">
        <f>ONSV_AUX_2020!X56</f>
        <v>80399</v>
      </c>
      <c r="J88" s="64">
        <f>I88-(L83*I82)</f>
        <v>80366.013821339744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32.986178660255973</v>
      </c>
      <c r="V88" s="74"/>
      <c r="W88" s="68" t="s">
        <v>147</v>
      </c>
      <c r="X88" s="70">
        <f>I96</f>
        <v>1248</v>
      </c>
    </row>
    <row r="89" spans="8:24" ht="15.75">
      <c r="H89" s="39" t="s">
        <v>105</v>
      </c>
      <c r="I89" s="63">
        <f>ONSV_AUX_2020!X57</f>
        <v>5503</v>
      </c>
      <c r="J89" s="10">
        <f>I89</f>
        <v>5503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18704.20669762931</v>
      </c>
      <c r="S89" s="51"/>
      <c r="T89" s="68" t="s">
        <v>150</v>
      </c>
      <c r="U89" s="75">
        <f>O94</f>
        <v>0</v>
      </c>
      <c r="V89" s="51"/>
      <c r="W89" s="68" t="s">
        <v>151</v>
      </c>
      <c r="X89" s="70">
        <f>I93</f>
        <v>735</v>
      </c>
    </row>
    <row r="90" spans="8:24" ht="15.75">
      <c r="H90" s="39" t="s">
        <v>106</v>
      </c>
      <c r="I90" s="63">
        <f>ONSV_AUX_2020!X58</f>
        <v>946</v>
      </c>
      <c r="J90" s="10">
        <f>I90</f>
        <v>946</v>
      </c>
      <c r="K90" s="11"/>
      <c r="L90" s="11"/>
      <c r="M90" s="11"/>
      <c r="O90" s="76"/>
      <c r="P90" s="79"/>
      <c r="Q90" s="68" t="s">
        <v>135</v>
      </c>
      <c r="R90" s="63">
        <f>J92-R87</f>
        <v>3324.3706958899593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ONSV_AUX_2020!X59</f>
        <v>29848</v>
      </c>
      <c r="J91" s="64">
        <f>I91-(L84*I82)</f>
        <v>29835.753933996049</v>
      </c>
      <c r="K91" s="11"/>
      <c r="L91" s="11"/>
      <c r="M91" s="11"/>
      <c r="N91" s="30" t="s">
        <v>142</v>
      </c>
      <c r="O91" s="63">
        <f>I79</f>
        <v>1452</v>
      </c>
      <c r="P91" s="79"/>
      <c r="Q91" s="51"/>
      <c r="R91" s="51"/>
      <c r="S91" s="80"/>
      <c r="T91" s="68" t="s">
        <v>141</v>
      </c>
      <c r="U91" s="71">
        <f>R86</f>
        <v>11131.54723636674</v>
      </c>
      <c r="V91" s="51"/>
      <c r="W91" s="68" t="s">
        <v>152</v>
      </c>
      <c r="X91" s="70">
        <f>I94</f>
        <v>82716</v>
      </c>
    </row>
    <row r="92" spans="8:24" ht="15.75">
      <c r="H92" s="39" t="s">
        <v>108</v>
      </c>
      <c r="I92" s="63">
        <f>ONSV_AUX_2020!X60</f>
        <v>5305</v>
      </c>
      <c r="J92" s="64">
        <f>I92-(L85*I82)</f>
        <v>5302.8234595232198</v>
      </c>
      <c r="K92" s="11"/>
      <c r="L92" s="11"/>
      <c r="M92" s="11"/>
      <c r="N92" s="30" t="s">
        <v>145</v>
      </c>
      <c r="O92" s="63">
        <f>I83</f>
        <v>54</v>
      </c>
      <c r="P92" s="79"/>
      <c r="Q92" s="51"/>
      <c r="R92" s="51"/>
      <c r="S92" s="51"/>
      <c r="T92" s="68" t="s">
        <v>153</v>
      </c>
      <c r="U92" s="71">
        <f>I91-J91</f>
        <v>12.246066003950546</v>
      </c>
      <c r="V92" s="51"/>
      <c r="W92" s="68" t="s">
        <v>154</v>
      </c>
      <c r="X92" s="70">
        <f>I95</f>
        <v>21094</v>
      </c>
    </row>
    <row r="93" spans="8:24" ht="15.75">
      <c r="H93" s="39" t="s">
        <v>109</v>
      </c>
      <c r="I93" s="63">
        <f>ONSV_AUX_2020!X61</f>
        <v>735</v>
      </c>
      <c r="J93" s="10">
        <f>I93</f>
        <v>735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78860.013821339744</v>
      </c>
      <c r="P93" s="79"/>
      <c r="Q93" s="51"/>
      <c r="R93" s="81"/>
      <c r="S93" s="51"/>
      <c r="T93" s="68" t="s">
        <v>149</v>
      </c>
      <c r="U93" s="75">
        <f>R89</f>
        <v>18704.20669762931</v>
      </c>
      <c r="V93" s="51"/>
      <c r="W93" s="51"/>
      <c r="X93" s="51"/>
    </row>
    <row r="94" spans="8:24" ht="15.75">
      <c r="H94" s="39" t="s">
        <v>110</v>
      </c>
      <c r="I94" s="63">
        <f>ONSV_AUX_2020!X62</f>
        <v>82716</v>
      </c>
      <c r="J94" s="10">
        <f>I94</f>
        <v>82716</v>
      </c>
      <c r="K94" s="11"/>
      <c r="L94" s="11"/>
      <c r="M94" s="11"/>
      <c r="N94" s="30" t="s">
        <v>150</v>
      </c>
      <c r="O94" s="63">
        <f>IF((J88-O91-O93-O92)&lt;0,0,(J88-O91-O93-O92))</f>
        <v>0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ONSV_AUX_2020!X63</f>
        <v>21094</v>
      </c>
      <c r="J95" s="10">
        <f>I95</f>
        <v>21094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229235</v>
      </c>
    </row>
    <row r="96" spans="8:24" ht="15.75">
      <c r="H96" s="39" t="s">
        <v>112</v>
      </c>
      <c r="I96" s="63">
        <f>ONSV_AUX_2020!X64</f>
        <v>1248</v>
      </c>
      <c r="J96" s="10">
        <f>I96</f>
        <v>1248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ONSV_AUX_2020!X65</f>
        <v>1441</v>
      </c>
      <c r="J97" s="64">
        <f>I97-(L86*I82)</f>
        <v>1440.4087851409913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6" customFormat="1" ht="15.75">
      <c r="A100" s="100" t="str">
        <f>"RORAIMA/"&amp;ONSV_AUX_2019!$A$1&amp;""</f>
        <v>RORAIMA/2019</v>
      </c>
      <c r="B100" s="101"/>
      <c r="C100" s="101"/>
      <c r="D100" s="101"/>
      <c r="E100" s="101"/>
      <c r="F100" s="101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ONSV_AUX_2019!X27</f>
        <v>1452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ONSV_AUX_2019!X28</f>
        <v>86909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ONSV_AUX_2019!X29</f>
        <v>20358</v>
      </c>
      <c r="J106" s="9"/>
      <c r="K106" s="2" t="s">
        <v>122</v>
      </c>
      <c r="L106" s="63">
        <f>I113+I116+I117+I122</f>
        <v>110625</v>
      </c>
      <c r="N106" s="30" t="s">
        <v>123</v>
      </c>
      <c r="O106" s="63">
        <f>J113+J122</f>
        <v>77134.983376271193</v>
      </c>
      <c r="P106" s="67"/>
      <c r="Q106" s="68" t="s">
        <v>124</v>
      </c>
      <c r="R106" s="63">
        <f>J116+J117</f>
        <v>33457.016623728814</v>
      </c>
      <c r="S106" s="69"/>
      <c r="T106" s="68" t="s">
        <v>125</v>
      </c>
      <c r="U106" s="70">
        <f>O110</f>
        <v>1360.594006779661</v>
      </c>
      <c r="V106" s="51"/>
      <c r="W106" s="68" t="s">
        <v>126</v>
      </c>
      <c r="X106" s="71">
        <f>R112</f>
        <v>1925.2809035766577</v>
      </c>
    </row>
    <row r="107" spans="1:24" ht="15.75">
      <c r="H107" s="38" t="s">
        <v>102</v>
      </c>
      <c r="I107" s="63">
        <f>ONSV_AUX_2019!X30</f>
        <v>33</v>
      </c>
      <c r="J107" s="9"/>
      <c r="K107" s="29"/>
      <c r="L107" s="65"/>
      <c r="M107" s="22"/>
      <c r="N107" s="30" t="s">
        <v>127</v>
      </c>
      <c r="O107" s="72">
        <f>J113/O106</f>
        <v>0.98236086990331528</v>
      </c>
      <c r="P107" s="67"/>
      <c r="Q107" s="73" t="s">
        <v>128</v>
      </c>
      <c r="R107" s="66">
        <f>J116/R106</f>
        <v>0.84438402007948132</v>
      </c>
      <c r="S107" s="74"/>
      <c r="T107" s="68" t="s">
        <v>129</v>
      </c>
      <c r="U107" s="70">
        <f>I122-J122</f>
        <v>0.40599322033904173</v>
      </c>
      <c r="V107" s="51"/>
      <c r="W107" s="68" t="s">
        <v>130</v>
      </c>
      <c r="X107" s="71">
        <f>I117-J117</f>
        <v>1.5535728813556489</v>
      </c>
    </row>
    <row r="108" spans="1:24" ht="15.75">
      <c r="H108" s="38" t="s">
        <v>16</v>
      </c>
      <c r="I108" s="63">
        <f>ONSV_AUX_2019!X31</f>
        <v>49</v>
      </c>
      <c r="J108" s="9"/>
      <c r="K108" s="2" t="s">
        <v>131</v>
      </c>
      <c r="L108" s="66">
        <f>I113/L106</f>
        <v>0.6851706214689266</v>
      </c>
      <c r="M108" s="22"/>
      <c r="N108" s="30" t="s">
        <v>132</v>
      </c>
      <c r="O108" s="72">
        <f>J122/O106</f>
        <v>1.7639130096684722E-2</v>
      </c>
      <c r="P108" s="67"/>
      <c r="Q108" s="73" t="s">
        <v>133</v>
      </c>
      <c r="R108" s="66">
        <f>J117/R106</f>
        <v>0.15561597992051873</v>
      </c>
      <c r="S108" s="74"/>
      <c r="T108" s="68" t="s">
        <v>134</v>
      </c>
      <c r="U108" s="75">
        <f>O112</f>
        <v>0</v>
      </c>
      <c r="V108" s="76"/>
      <c r="W108" s="68" t="s">
        <v>135</v>
      </c>
      <c r="X108" s="75">
        <f>R115</f>
        <v>3281.1655235419867</v>
      </c>
    </row>
    <row r="109" spans="1:24" ht="15.75">
      <c r="H109" s="38" t="s">
        <v>94</v>
      </c>
      <c r="I109" s="63">
        <f>ONSV_AUX_2019!X32</f>
        <v>111753</v>
      </c>
      <c r="J109" s="10"/>
      <c r="K109" s="2" t="s">
        <v>2</v>
      </c>
      <c r="L109" s="66">
        <f>I116/L106</f>
        <v>0.25544858757062144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4.7077966101694915E-2</v>
      </c>
      <c r="M110" s="22"/>
      <c r="N110" s="30" t="s">
        <v>136</v>
      </c>
      <c r="O110" s="63">
        <f>IF(O108*I105&gt;J122,J122,O108*I105)</f>
        <v>1360.594006779661</v>
      </c>
      <c r="P110" s="79"/>
      <c r="Q110" s="68" t="s">
        <v>137</v>
      </c>
      <c r="R110" s="63">
        <f>I106-I114-I115-I118-I121</f>
        <v>12372</v>
      </c>
      <c r="S110" s="80"/>
      <c r="T110" s="68" t="s">
        <v>138</v>
      </c>
      <c r="U110" s="70">
        <f>O118</f>
        <v>74273.389369491531</v>
      </c>
      <c r="V110" s="79"/>
      <c r="W110" s="68" t="s">
        <v>139</v>
      </c>
      <c r="X110" s="70">
        <f>I114</f>
        <v>5286</v>
      </c>
    </row>
    <row r="111" spans="1:24" ht="15.75">
      <c r="H111" s="26" t="s">
        <v>140</v>
      </c>
      <c r="K111" s="2" t="s">
        <v>0</v>
      </c>
      <c r="L111" s="66">
        <f>I122/L106</f>
        <v>1.2302824858757062E-2</v>
      </c>
      <c r="O111" s="51"/>
      <c r="P111" s="79"/>
      <c r="Q111" s="68" t="s">
        <v>141</v>
      </c>
      <c r="R111" s="63">
        <f>R107*R110</f>
        <v>10446.719096423343</v>
      </c>
      <c r="S111" s="51"/>
      <c r="T111" s="68" t="s">
        <v>142</v>
      </c>
      <c r="U111" s="70">
        <f>O116</f>
        <v>1452</v>
      </c>
      <c r="V111" s="69"/>
      <c r="W111" s="68" t="s">
        <v>143</v>
      </c>
      <c r="X111" s="70">
        <f>I115</f>
        <v>817</v>
      </c>
    </row>
    <row r="112" spans="1:24" ht="15.75">
      <c r="K112" s="11"/>
      <c r="L112" s="11"/>
      <c r="M112" s="11"/>
      <c r="N112" s="30" t="s">
        <v>144</v>
      </c>
      <c r="O112" s="63">
        <f>J122-O110</f>
        <v>0</v>
      </c>
      <c r="P112" s="79"/>
      <c r="Q112" s="68" t="s">
        <v>126</v>
      </c>
      <c r="R112" s="63">
        <f>R108*R110</f>
        <v>1925.2809035766577</v>
      </c>
      <c r="S112" s="51"/>
      <c r="T112" s="68" t="s">
        <v>145</v>
      </c>
      <c r="U112" s="70">
        <f>O117</f>
        <v>49</v>
      </c>
      <c r="V112" s="74"/>
      <c r="W112" s="51"/>
      <c r="X112" s="65"/>
    </row>
    <row r="113" spans="8:24" ht="15.75">
      <c r="H113" s="39" t="s">
        <v>104</v>
      </c>
      <c r="I113" s="63">
        <f>ONSV_AUX_2019!X56</f>
        <v>75797</v>
      </c>
      <c r="J113" s="64">
        <f>I113-(L108*I107)</f>
        <v>75774.389369491531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22.610630508468603</v>
      </c>
      <c r="V113" s="74"/>
      <c r="W113" s="68" t="s">
        <v>147</v>
      </c>
      <c r="X113" s="70">
        <f>I121</f>
        <v>1159</v>
      </c>
    </row>
    <row r="114" spans="8:24" ht="15.75">
      <c r="H114" s="39" t="s">
        <v>105</v>
      </c>
      <c r="I114" s="63">
        <f>ONSV_AUX_2019!X57</f>
        <v>5286</v>
      </c>
      <c r="J114" s="10">
        <f>I114</f>
        <v>5286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17803.851100186825</v>
      </c>
      <c r="S114" s="51"/>
      <c r="T114" s="68" t="s">
        <v>150</v>
      </c>
      <c r="U114" s="75">
        <f>O119</f>
        <v>0</v>
      </c>
      <c r="V114" s="51"/>
      <c r="W114" s="68" t="s">
        <v>151</v>
      </c>
      <c r="X114" s="70">
        <f>I118</f>
        <v>724</v>
      </c>
    </row>
    <row r="115" spans="8:24" ht="15.75">
      <c r="H115" s="39" t="s">
        <v>106</v>
      </c>
      <c r="I115" s="63">
        <f>ONSV_AUX_2019!X58</f>
        <v>817</v>
      </c>
      <c r="J115" s="10">
        <f>I115</f>
        <v>817</v>
      </c>
      <c r="K115" s="11"/>
      <c r="L115" s="11"/>
      <c r="M115" s="11"/>
      <c r="O115" s="76"/>
      <c r="P115" s="79"/>
      <c r="Q115" s="68" t="s">
        <v>135</v>
      </c>
      <c r="R115" s="63">
        <f>J117-R112</f>
        <v>3281.1655235419867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ONSV_AUX_2019!X59</f>
        <v>28259</v>
      </c>
      <c r="J116" s="64">
        <f>I116-(L109*I107)</f>
        <v>28250.57019661017</v>
      </c>
      <c r="K116" s="11"/>
      <c r="L116" s="11"/>
      <c r="M116" s="11"/>
      <c r="N116" s="30" t="s">
        <v>142</v>
      </c>
      <c r="O116" s="63">
        <f>I104</f>
        <v>1452</v>
      </c>
      <c r="P116" s="79"/>
      <c r="Q116" s="51"/>
      <c r="R116" s="51"/>
      <c r="S116" s="80"/>
      <c r="T116" s="68" t="s">
        <v>141</v>
      </c>
      <c r="U116" s="71">
        <f>R111</f>
        <v>10446.719096423343</v>
      </c>
      <c r="V116" s="51"/>
      <c r="W116" s="68" t="s">
        <v>152</v>
      </c>
      <c r="X116" s="70">
        <f>I119</f>
        <v>81027</v>
      </c>
    </row>
    <row r="117" spans="8:24" ht="15.75">
      <c r="H117" s="39" t="s">
        <v>108</v>
      </c>
      <c r="I117" s="63">
        <f>ONSV_AUX_2019!X60</f>
        <v>5208</v>
      </c>
      <c r="J117" s="64">
        <f>I117-(L110*I107)</f>
        <v>5206.4464271186444</v>
      </c>
      <c r="K117" s="11"/>
      <c r="L117" s="11"/>
      <c r="M117" s="11"/>
      <c r="N117" s="30" t="s">
        <v>145</v>
      </c>
      <c r="O117" s="63">
        <f>I108</f>
        <v>49</v>
      </c>
      <c r="P117" s="79"/>
      <c r="Q117" s="51"/>
      <c r="R117" s="51"/>
      <c r="S117" s="51"/>
      <c r="T117" s="68" t="s">
        <v>153</v>
      </c>
      <c r="U117" s="71">
        <f>I116-J116</f>
        <v>8.4298033898303402</v>
      </c>
      <c r="V117" s="51"/>
      <c r="W117" s="68" t="s">
        <v>154</v>
      </c>
      <c r="X117" s="70">
        <f>I120</f>
        <v>20608</v>
      </c>
    </row>
    <row r="118" spans="8:24" ht="15.75">
      <c r="H118" s="39" t="s">
        <v>109</v>
      </c>
      <c r="I118" s="63">
        <f>ONSV_AUX_2019!X61</f>
        <v>724</v>
      </c>
      <c r="J118" s="10">
        <f>I118</f>
        <v>724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74273.389369491531</v>
      </c>
      <c r="P118" s="79"/>
      <c r="Q118" s="51"/>
      <c r="R118" s="81"/>
      <c r="S118" s="51"/>
      <c r="T118" s="68" t="s">
        <v>149</v>
      </c>
      <c r="U118" s="75">
        <f>R114</f>
        <v>17803.851100186825</v>
      </c>
      <c r="V118" s="51"/>
      <c r="W118" s="51"/>
      <c r="X118" s="51"/>
    </row>
    <row r="119" spans="8:24" ht="15.75">
      <c r="H119" s="39" t="s">
        <v>110</v>
      </c>
      <c r="I119" s="63">
        <f>ONSV_AUX_2019!X62</f>
        <v>81027</v>
      </c>
      <c r="J119" s="10">
        <f>I119</f>
        <v>81027</v>
      </c>
      <c r="K119" s="11"/>
      <c r="L119" s="11"/>
      <c r="M119" s="11"/>
      <c r="N119" s="30" t="s">
        <v>150</v>
      </c>
      <c r="O119" s="63">
        <f>IF((J113-O116-O118-O117)&lt;0,0,(J113-O116-O118-O117))</f>
        <v>0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ONSV_AUX_2019!X63</f>
        <v>20608</v>
      </c>
      <c r="J120" s="10">
        <f>I120</f>
        <v>20608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220246</v>
      </c>
    </row>
    <row r="121" spans="8:24" ht="15.75">
      <c r="H121" s="39" t="s">
        <v>112</v>
      </c>
      <c r="I121" s="63">
        <f>ONSV_AUX_2019!X64</f>
        <v>1159</v>
      </c>
      <c r="J121" s="10">
        <f>I121</f>
        <v>1159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ONSV_AUX_2019!X65</f>
        <v>1361</v>
      </c>
      <c r="J122" s="64">
        <f>I122-(L111*I107)</f>
        <v>1360.594006779661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9" tint="0.39997558519241921"/>
  </sheetPr>
  <dimension ref="A1:X122"/>
  <sheetViews>
    <sheetView showGridLines="0" topLeftCell="A88" zoomScale="90" zoomScaleNormal="90" workbookViewId="0">
      <selection activeCell="A76" sqref="A76"/>
    </sheetView>
  </sheetViews>
  <sheetFormatPr defaultRowHeight="15"/>
  <cols>
    <col min="2" max="2" width="6.42578125" customWidth="1"/>
    <col min="3" max="3" width="20.140625" bestFit="1" customWidth="1"/>
    <col min="4" max="4" width="9.28515625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3" customFormat="1" ht="15.75">
      <c r="A1" s="100" t="str">
        <f>"SANTA CATARINA/"&amp;ONSV_AUX_2023!$A$1&amp;""</f>
        <v>SANTA CATARINA/2023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ONSV_AUX_2023!Y27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ONSV_AUX_2023!Y28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ONSV_AUX_2023!Y29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ONSV_AUX_2023!Y30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ONSV_AUX_2023!Y31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ONSV_AUX_2023!Y32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ONSV_AUX_2023!Y56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ONSV_AUX_2023!Y57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ONSV_AUX_2023!Y58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ONSV_AUX_2023!Y59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ONSV_AUX_2023!Y60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ONSV_AUX_2023!Y61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ONSV_AUX_2023!Y62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ONSV_AUX_2023!Y63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ONSV_AUX_2023!Y64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ONSV_AUX_2023!Y65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6" customFormat="1" ht="15.75">
      <c r="A25" s="100" t="str">
        <f>"SANTA CATARINA/"&amp;ONSV_AUX_2022!$A$1&amp;""</f>
        <v>SANTA CATARINA/2022</v>
      </c>
      <c r="B25" s="101"/>
      <c r="C25" s="101"/>
      <c r="D25" s="101"/>
      <c r="E25" s="101"/>
      <c r="F25" s="10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5.75">
      <c r="A26" s="3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ONSV_AUX_2022!Y27</f>
        <v>133074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ONSV_AUX_2022!Y28</f>
        <v>2455690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ONSV_AUX_2022!Y29</f>
        <v>505073</v>
      </c>
      <c r="J31" s="9"/>
      <c r="K31" s="2" t="s">
        <v>122</v>
      </c>
      <c r="L31" s="63">
        <f>I38+I41+I42+I47</f>
        <v>4090805</v>
      </c>
      <c r="N31" s="30" t="s">
        <v>123</v>
      </c>
      <c r="O31" s="63">
        <f>J38+J47</f>
        <v>3367779.7191574764</v>
      </c>
      <c r="P31" s="67"/>
      <c r="Q31" s="68" t="s">
        <v>124</v>
      </c>
      <c r="R31" s="63">
        <f>J41+J42</f>
        <v>715902.28084252367</v>
      </c>
      <c r="S31" s="69"/>
      <c r="T31" s="68" t="s">
        <v>125</v>
      </c>
      <c r="U31" s="70">
        <f>O35</f>
        <v>79570.623528672455</v>
      </c>
      <c r="V31" s="51"/>
      <c r="W31" s="68" t="s">
        <v>126</v>
      </c>
      <c r="X31" s="71">
        <f>R37</f>
        <v>79531.816328778732</v>
      </c>
    </row>
    <row r="32" spans="1:24" ht="15.75">
      <c r="H32" s="38" t="s">
        <v>102</v>
      </c>
      <c r="I32" s="63">
        <f>ONSV_AUX_2022!Y30</f>
        <v>7123</v>
      </c>
      <c r="J32" s="9"/>
      <c r="K32" s="29"/>
      <c r="L32" s="65"/>
      <c r="M32" s="22"/>
      <c r="N32" s="30" t="s">
        <v>127</v>
      </c>
      <c r="O32" s="72">
        <f>J38/O31</f>
        <v>0.96759744775249623</v>
      </c>
      <c r="P32" s="67"/>
      <c r="Q32" s="73" t="s">
        <v>128</v>
      </c>
      <c r="R32" s="66">
        <f>J41/R31</f>
        <v>0.65987916073462916</v>
      </c>
      <c r="S32" s="74"/>
      <c r="T32" s="68" t="s">
        <v>129</v>
      </c>
      <c r="U32" s="70">
        <f>I47-J47</f>
        <v>190.34169191638648</v>
      </c>
      <c r="V32" s="51"/>
      <c r="W32" s="68" t="s">
        <v>130</v>
      </c>
      <c r="X32" s="71">
        <f>I42-J42</f>
        <v>424.71540784760145</v>
      </c>
    </row>
    <row r="33" spans="8:24" ht="15.75">
      <c r="H33" s="38" t="s">
        <v>16</v>
      </c>
      <c r="I33" s="63">
        <f>ONSV_AUX_2022!Y31</f>
        <v>115809</v>
      </c>
      <c r="J33" s="9"/>
      <c r="K33" s="2" t="s">
        <v>131</v>
      </c>
      <c r="L33" s="66">
        <f>I38/L31</f>
        <v>0.79796983723252513</v>
      </c>
      <c r="M33" s="22"/>
      <c r="N33" s="30" t="s">
        <v>132</v>
      </c>
      <c r="O33" s="72">
        <f>J47/O31</f>
        <v>3.2402552247503741E-2</v>
      </c>
      <c r="P33" s="67"/>
      <c r="Q33" s="73" t="s">
        <v>133</v>
      </c>
      <c r="R33" s="66">
        <f>J42/R31</f>
        <v>0.3401208392653709</v>
      </c>
      <c r="S33" s="74"/>
      <c r="T33" s="68" t="s">
        <v>134</v>
      </c>
      <c r="U33" s="75">
        <f>O37</f>
        <v>29554.034779411159</v>
      </c>
      <c r="V33" s="76"/>
      <c r="W33" s="68" t="s">
        <v>135</v>
      </c>
      <c r="X33" s="75">
        <f>R40</f>
        <v>163961.46826337365</v>
      </c>
    </row>
    <row r="34" spans="8:24" ht="15.75">
      <c r="H34" s="38" t="s">
        <v>94</v>
      </c>
      <c r="I34" s="63">
        <f>ONSV_AUX_2022!Y32</f>
        <v>2395627</v>
      </c>
      <c r="J34" s="10"/>
      <c r="K34" s="2" t="s">
        <v>2</v>
      </c>
      <c r="L34" s="66">
        <f>I41/L31</f>
        <v>0.11568212124508502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5.962591714833633E-2</v>
      </c>
      <c r="M35" s="22"/>
      <c r="N35" s="30" t="s">
        <v>136</v>
      </c>
      <c r="O35" s="63">
        <f>IF(O33*I30&gt;J47,J47,O33*I30)</f>
        <v>79570.623528672455</v>
      </c>
      <c r="P35" s="79"/>
      <c r="Q35" s="68" t="s">
        <v>137</v>
      </c>
      <c r="R35" s="63">
        <f>I31-I39-I40-I43-I46</f>
        <v>233834</v>
      </c>
      <c r="S35" s="80"/>
      <c r="T35" s="68" t="s">
        <v>138</v>
      </c>
      <c r="U35" s="70">
        <f>O43</f>
        <v>2376119.3764713276</v>
      </c>
      <c r="V35" s="79"/>
      <c r="W35" s="68" t="s">
        <v>139</v>
      </c>
      <c r="X35" s="70">
        <f>I39</f>
        <v>167305</v>
      </c>
    </row>
    <row r="36" spans="8:24" ht="15.75">
      <c r="H36" s="26" t="s">
        <v>140</v>
      </c>
      <c r="K36" s="2" t="s">
        <v>0</v>
      </c>
      <c r="L36" s="66">
        <f>I47/L31</f>
        <v>2.6722124374053517E-2</v>
      </c>
      <c r="O36" s="51"/>
      <c r="P36" s="79"/>
      <c r="Q36" s="68" t="s">
        <v>141</v>
      </c>
      <c r="R36" s="63">
        <f>R32*R35</f>
        <v>154302.18367122128</v>
      </c>
      <c r="S36" s="51"/>
      <c r="T36" s="68" t="s">
        <v>142</v>
      </c>
      <c r="U36" s="70">
        <f>O41</f>
        <v>133074</v>
      </c>
      <c r="V36" s="69"/>
      <c r="W36" s="68" t="s">
        <v>143</v>
      </c>
      <c r="X36" s="70">
        <f>I40</f>
        <v>67586</v>
      </c>
    </row>
    <row r="37" spans="8:24" ht="15.75">
      <c r="K37" s="11"/>
      <c r="L37" s="11"/>
      <c r="M37" s="11"/>
      <c r="N37" s="30" t="s">
        <v>144</v>
      </c>
      <c r="O37" s="63">
        <f>J47-O35</f>
        <v>29554.034779411159</v>
      </c>
      <c r="P37" s="79"/>
      <c r="Q37" s="68" t="s">
        <v>126</v>
      </c>
      <c r="R37" s="63">
        <f>R33*R35</f>
        <v>79531.816328778732</v>
      </c>
      <c r="S37" s="51"/>
      <c r="T37" s="68" t="s">
        <v>145</v>
      </c>
      <c r="U37" s="70">
        <f>O42</f>
        <v>115809</v>
      </c>
      <c r="V37" s="74"/>
      <c r="W37" s="51"/>
      <c r="X37" s="65"/>
    </row>
    <row r="38" spans="8:24" ht="15.75">
      <c r="H38" s="39" t="s">
        <v>104</v>
      </c>
      <c r="I38" s="63">
        <f>ONSV_AUX_2022!Y56</f>
        <v>3264339</v>
      </c>
      <c r="J38" s="64">
        <f>I38-(L33*I32)</f>
        <v>3258655.0608493928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5683.9391506072134</v>
      </c>
      <c r="V38" s="74"/>
      <c r="W38" s="68" t="s">
        <v>147</v>
      </c>
      <c r="X38" s="70">
        <f>I46</f>
        <v>22499</v>
      </c>
    </row>
    <row r="39" spans="8:24" ht="15.75">
      <c r="H39" s="39" t="s">
        <v>105</v>
      </c>
      <c r="I39" s="63">
        <f>ONSV_AUX_2022!Y57</f>
        <v>167305</v>
      </c>
      <c r="J39" s="10">
        <f>I39</f>
        <v>167305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318106.81257914996</v>
      </c>
      <c r="S39" s="51"/>
      <c r="T39" s="68" t="s">
        <v>150</v>
      </c>
      <c r="U39" s="75">
        <f>O44</f>
        <v>633652.68437806517</v>
      </c>
      <c r="V39" s="51"/>
      <c r="W39" s="68" t="s">
        <v>151</v>
      </c>
      <c r="X39" s="70">
        <f>I43</f>
        <v>13849</v>
      </c>
    </row>
    <row r="40" spans="8:24" ht="15.75">
      <c r="H40" s="39" t="s">
        <v>106</v>
      </c>
      <c r="I40" s="63">
        <f>ONSV_AUX_2022!Y58</f>
        <v>67586</v>
      </c>
      <c r="J40" s="10">
        <f>I40</f>
        <v>67586</v>
      </c>
      <c r="K40" s="11"/>
      <c r="L40" s="11"/>
      <c r="M40" s="11"/>
      <c r="O40" s="76"/>
      <c r="P40" s="79"/>
      <c r="Q40" s="68" t="s">
        <v>135</v>
      </c>
      <c r="R40" s="63">
        <f>J42-R37</f>
        <v>163961.46826337365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ONSV_AUX_2022!Y59</f>
        <v>473233</v>
      </c>
      <c r="J41" s="64">
        <f>I41-(L34*I32)</f>
        <v>472408.99625037127</v>
      </c>
      <c r="K41" s="11"/>
      <c r="L41" s="11"/>
      <c r="M41" s="11"/>
      <c r="N41" s="30" t="s">
        <v>142</v>
      </c>
      <c r="O41" s="63">
        <f>I29</f>
        <v>133074</v>
      </c>
      <c r="P41" s="79"/>
      <c r="Q41" s="51"/>
      <c r="R41" s="51"/>
      <c r="S41" s="80"/>
      <c r="T41" s="68" t="s">
        <v>141</v>
      </c>
      <c r="U41" s="71">
        <f>R36</f>
        <v>154302.18367122128</v>
      </c>
      <c r="V41" s="51"/>
      <c r="W41" s="68" t="s">
        <v>152</v>
      </c>
      <c r="X41" s="70">
        <f>I44</f>
        <v>963517</v>
      </c>
    </row>
    <row r="42" spans="8:24" ht="15.75">
      <c r="H42" s="39" t="s">
        <v>108</v>
      </c>
      <c r="I42" s="63">
        <f>ONSV_AUX_2022!Y60</f>
        <v>243918</v>
      </c>
      <c r="J42" s="64">
        <f>I42-(L35*I32)</f>
        <v>243493.2845921524</v>
      </c>
      <c r="K42" s="11"/>
      <c r="L42" s="11"/>
      <c r="M42" s="11"/>
      <c r="N42" s="30" t="s">
        <v>145</v>
      </c>
      <c r="O42" s="63">
        <f>I33</f>
        <v>115809</v>
      </c>
      <c r="P42" s="79"/>
      <c r="Q42" s="51"/>
      <c r="R42" s="51"/>
      <c r="S42" s="51"/>
      <c r="T42" s="68" t="s">
        <v>153</v>
      </c>
      <c r="U42" s="71">
        <f>I41-J41</f>
        <v>824.00374962872593</v>
      </c>
      <c r="V42" s="51"/>
      <c r="W42" s="68" t="s">
        <v>154</v>
      </c>
      <c r="X42" s="70">
        <f>I45</f>
        <v>306841</v>
      </c>
    </row>
    <row r="43" spans="8:24" ht="15.75">
      <c r="H43" s="39" t="s">
        <v>109</v>
      </c>
      <c r="I43" s="63">
        <f>ONSV_AUX_2022!Y61</f>
        <v>13849</v>
      </c>
      <c r="J43" s="10">
        <f>I43</f>
        <v>13849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2376119.3764713276</v>
      </c>
      <c r="P43" s="79"/>
      <c r="Q43" s="51"/>
      <c r="R43" s="81"/>
      <c r="S43" s="51"/>
      <c r="T43" s="68" t="s">
        <v>149</v>
      </c>
      <c r="U43" s="75">
        <f>R39</f>
        <v>318106.81257914996</v>
      </c>
      <c r="V43" s="51"/>
      <c r="W43" s="51"/>
      <c r="X43" s="51"/>
    </row>
    <row r="44" spans="8:24" ht="15.75">
      <c r="H44" s="39" t="s">
        <v>110</v>
      </c>
      <c r="I44" s="63">
        <f>ONSV_AUX_2022!Y62</f>
        <v>963517</v>
      </c>
      <c r="J44" s="10">
        <f>I44</f>
        <v>963517</v>
      </c>
      <c r="K44" s="11"/>
      <c r="L44" s="11"/>
      <c r="M44" s="11"/>
      <c r="N44" s="30" t="s">
        <v>150</v>
      </c>
      <c r="O44" s="63">
        <f>IF((J38-O41-O43-O42)&lt;0,0,(J38-O41-O43-O42))</f>
        <v>633652.68437806517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ONSV_AUX_2022!Y63</f>
        <v>306841</v>
      </c>
      <c r="J45" s="10">
        <f>I45</f>
        <v>306841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5632402</v>
      </c>
    </row>
    <row r="46" spans="8:24" ht="15.75">
      <c r="H46" s="39" t="s">
        <v>112</v>
      </c>
      <c r="I46" s="63">
        <f>ONSV_AUX_2022!Y64</f>
        <v>22499</v>
      </c>
      <c r="J46" s="10">
        <f>I46</f>
        <v>22499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ONSV_AUX_2022!Y65</f>
        <v>109315</v>
      </c>
      <c r="J47" s="64">
        <f>I47-(L36*I32)</f>
        <v>109124.65830808361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6" customFormat="1" ht="15.75">
      <c r="A50" s="100" t="str">
        <f>"SANTA CATARINA/"&amp;ONSV_AUX_2021!$A$1&amp;""</f>
        <v>SANTA CATARINA/2021</v>
      </c>
      <c r="B50" s="101"/>
      <c r="C50" s="101"/>
      <c r="D50" s="101"/>
      <c r="E50" s="101"/>
      <c r="F50" s="101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ONSV_AUX_2021!Y27</f>
        <v>132955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ONSV_AUX_2021!Y28</f>
        <v>2339636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ONSV_AUX_2021!Y29</f>
        <v>475975</v>
      </c>
      <c r="J56" s="9"/>
      <c r="K56" s="2" t="s">
        <v>122</v>
      </c>
      <c r="L56" s="63">
        <f>I63+I66+I67+I72</f>
        <v>3969334</v>
      </c>
      <c r="N56" s="30" t="s">
        <v>123</v>
      </c>
      <c r="O56" s="63">
        <f>J63+J72</f>
        <v>3286243.3327437295</v>
      </c>
      <c r="P56" s="67"/>
      <c r="Q56" s="68" t="s">
        <v>124</v>
      </c>
      <c r="R56" s="63">
        <f>J66+J67</f>
        <v>679053.66725627019</v>
      </c>
      <c r="S56" s="69"/>
      <c r="T56" s="68" t="s">
        <v>125</v>
      </c>
      <c r="U56" s="70">
        <f>O60</f>
        <v>67153.808916554626</v>
      </c>
      <c r="V56" s="51"/>
      <c r="W56" s="68" t="s">
        <v>126</v>
      </c>
      <c r="X56" s="71">
        <f>R62</f>
        <v>72283.639859064802</v>
      </c>
    </row>
    <row r="57" spans="1:24" ht="15.75">
      <c r="H57" s="38" t="s">
        <v>102</v>
      </c>
      <c r="I57" s="63">
        <f>ONSV_AUX_2021!Y30</f>
        <v>4037</v>
      </c>
      <c r="J57" s="9"/>
      <c r="K57" s="29"/>
      <c r="L57" s="65"/>
      <c r="M57" s="22"/>
      <c r="N57" s="30" t="s">
        <v>127</v>
      </c>
      <c r="O57" s="72">
        <f>J63/O56</f>
        <v>0.97129732620093279</v>
      </c>
      <c r="P57" s="67"/>
      <c r="Q57" s="73" t="s">
        <v>128</v>
      </c>
      <c r="R57" s="66">
        <f>J66/R56</f>
        <v>0.66539069798233164</v>
      </c>
      <c r="S57" s="74"/>
      <c r="T57" s="68" t="s">
        <v>129</v>
      </c>
      <c r="U57" s="70">
        <f>I72-J72</f>
        <v>96.029595896950923</v>
      </c>
      <c r="V57" s="51"/>
      <c r="W57" s="68" t="s">
        <v>130</v>
      </c>
      <c r="X57" s="71">
        <f>I67-J67</f>
        <v>231.32636684138561</v>
      </c>
    </row>
    <row r="58" spans="1:24" ht="15.75">
      <c r="H58" s="38" t="s">
        <v>16</v>
      </c>
      <c r="I58" s="63">
        <f>ONSV_AUX_2021!Y31</f>
        <v>111906</v>
      </c>
      <c r="J58" s="9"/>
      <c r="K58" s="2" t="s">
        <v>131</v>
      </c>
      <c r="L58" s="66">
        <f>I63/L56</f>
        <v>0.80496350269339889</v>
      </c>
      <c r="M58" s="22"/>
      <c r="N58" s="30" t="s">
        <v>132</v>
      </c>
      <c r="O58" s="72">
        <f>J72/O56</f>
        <v>2.87026737990673E-2</v>
      </c>
      <c r="P58" s="67"/>
      <c r="Q58" s="73" t="s">
        <v>133</v>
      </c>
      <c r="R58" s="66">
        <f>J67/R56</f>
        <v>0.33460930201766842</v>
      </c>
      <c r="S58" s="74"/>
      <c r="T58" s="68" t="s">
        <v>134</v>
      </c>
      <c r="U58" s="75">
        <f>O62</f>
        <v>27170.161487548423</v>
      </c>
      <c r="V58" s="76"/>
      <c r="W58" s="68" t="s">
        <v>135</v>
      </c>
      <c r="X58" s="75">
        <f>R65</f>
        <v>154934.03377409381</v>
      </c>
    </row>
    <row r="59" spans="1:24" ht="15.75">
      <c r="H59" s="38" t="s">
        <v>94</v>
      </c>
      <c r="I59" s="63">
        <f>ONSV_AUX_2021!Y32</f>
        <v>2373988</v>
      </c>
      <c r="J59" s="10"/>
      <c r="K59" s="2" t="s">
        <v>2</v>
      </c>
      <c r="L59" s="66">
        <f>I66/L56</f>
        <v>0.11394757911528736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5.7301552351099704E-2</v>
      </c>
      <c r="M60" s="22"/>
      <c r="N60" s="30" t="s">
        <v>136</v>
      </c>
      <c r="O60" s="63">
        <f>IF(O58*I55&gt;J72,J72,O58*I55)</f>
        <v>67153.808916554626</v>
      </c>
      <c r="P60" s="79"/>
      <c r="Q60" s="68" t="s">
        <v>137</v>
      </c>
      <c r="R60" s="63">
        <f>I56-I64-I65-I68-I71</f>
        <v>216024</v>
      </c>
      <c r="S60" s="80"/>
      <c r="T60" s="68" t="s">
        <v>138</v>
      </c>
      <c r="U60" s="70">
        <f>O68</f>
        <v>2272482.1910834457</v>
      </c>
      <c r="V60" s="79"/>
      <c r="W60" s="68" t="s">
        <v>139</v>
      </c>
      <c r="X60" s="70">
        <f>I64</f>
        <v>162338</v>
      </c>
    </row>
    <row r="61" spans="1:24" ht="15.75">
      <c r="H61" s="26" t="s">
        <v>140</v>
      </c>
      <c r="K61" s="2" t="s">
        <v>0</v>
      </c>
      <c r="L61" s="66">
        <f>I72/L56</f>
        <v>2.3787365840214E-2</v>
      </c>
      <c r="O61" s="51"/>
      <c r="P61" s="79"/>
      <c r="Q61" s="68" t="s">
        <v>141</v>
      </c>
      <c r="R61" s="63">
        <f>R57*R60</f>
        <v>143740.3601409352</v>
      </c>
      <c r="S61" s="51"/>
      <c r="T61" s="68" t="s">
        <v>142</v>
      </c>
      <c r="U61" s="70">
        <f>O66</f>
        <v>132955</v>
      </c>
      <c r="V61" s="69"/>
      <c r="W61" s="68" t="s">
        <v>143</v>
      </c>
      <c r="X61" s="70">
        <f>I65</f>
        <v>62742</v>
      </c>
    </row>
    <row r="62" spans="1:24" ht="15.75">
      <c r="K62" s="11"/>
      <c r="L62" s="11"/>
      <c r="M62" s="11"/>
      <c r="N62" s="30" t="s">
        <v>144</v>
      </c>
      <c r="O62" s="63">
        <f>J72-O60</f>
        <v>27170.161487548423</v>
      </c>
      <c r="P62" s="79"/>
      <c r="Q62" s="68" t="s">
        <v>126</v>
      </c>
      <c r="R62" s="63">
        <f>R58*R60</f>
        <v>72283.639859064802</v>
      </c>
      <c r="S62" s="51"/>
      <c r="T62" s="68" t="s">
        <v>145</v>
      </c>
      <c r="U62" s="70">
        <f>O67</f>
        <v>111906</v>
      </c>
      <c r="V62" s="74"/>
      <c r="W62" s="51"/>
      <c r="X62" s="65"/>
    </row>
    <row r="63" spans="1:24" ht="15.75">
      <c r="H63" s="39" t="s">
        <v>104</v>
      </c>
      <c r="I63" s="63">
        <f>ONSV_AUX_2021!Y56</f>
        <v>3195169</v>
      </c>
      <c r="J63" s="64">
        <f>I63-(L58*I57)</f>
        <v>3191919.3623396265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3249.637660373468</v>
      </c>
      <c r="V63" s="74"/>
      <c r="W63" s="68" t="s">
        <v>147</v>
      </c>
      <c r="X63" s="70">
        <f>I71</f>
        <v>21483</v>
      </c>
    </row>
    <row r="64" spans="1:24" ht="15.75">
      <c r="H64" s="39" t="s">
        <v>105</v>
      </c>
      <c r="I64" s="63">
        <f>ONSV_AUX_2021!Y57</f>
        <v>162338</v>
      </c>
      <c r="J64" s="10">
        <f>I64</f>
        <v>162338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308095.63348217634</v>
      </c>
      <c r="S64" s="51"/>
      <c r="T64" s="68" t="s">
        <v>150</v>
      </c>
      <c r="U64" s="75">
        <f>O69</f>
        <v>674576.17125618085</v>
      </c>
      <c r="V64" s="51"/>
      <c r="W64" s="68" t="s">
        <v>151</v>
      </c>
      <c r="X64" s="70">
        <f>I68</f>
        <v>13388</v>
      </c>
    </row>
    <row r="65" spans="1:24" ht="15.75">
      <c r="H65" s="39" t="s">
        <v>106</v>
      </c>
      <c r="I65" s="63">
        <f>ONSV_AUX_2021!Y58</f>
        <v>62742</v>
      </c>
      <c r="J65" s="10">
        <f>I65</f>
        <v>62742</v>
      </c>
      <c r="K65" s="11"/>
      <c r="L65" s="11"/>
      <c r="M65" s="11"/>
      <c r="O65" s="76"/>
      <c r="P65" s="79"/>
      <c r="Q65" s="68" t="s">
        <v>135</v>
      </c>
      <c r="R65" s="63">
        <f>J67-R62</f>
        <v>154934.03377409381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ONSV_AUX_2021!Y59</f>
        <v>452296</v>
      </c>
      <c r="J66" s="64">
        <f>I66-(L59*I57)</f>
        <v>451835.99362311157</v>
      </c>
      <c r="K66" s="11"/>
      <c r="L66" s="11"/>
      <c r="M66" s="11"/>
      <c r="N66" s="30" t="s">
        <v>142</v>
      </c>
      <c r="O66" s="63">
        <f>I54</f>
        <v>132955</v>
      </c>
      <c r="P66" s="79"/>
      <c r="Q66" s="51"/>
      <c r="R66" s="51"/>
      <c r="S66" s="80"/>
      <c r="T66" s="68" t="s">
        <v>141</v>
      </c>
      <c r="U66" s="71">
        <f>R61</f>
        <v>143740.3601409352</v>
      </c>
      <c r="V66" s="51"/>
      <c r="W66" s="68" t="s">
        <v>152</v>
      </c>
      <c r="X66" s="70">
        <f>I69</f>
        <v>932857</v>
      </c>
    </row>
    <row r="67" spans="1:24" ht="15.75">
      <c r="H67" s="39" t="s">
        <v>108</v>
      </c>
      <c r="I67" s="63">
        <f>ONSV_AUX_2021!Y60</f>
        <v>227449</v>
      </c>
      <c r="J67" s="64">
        <f>I67-(L60*I57)</f>
        <v>227217.67363315861</v>
      </c>
      <c r="K67" s="11"/>
      <c r="L67" s="11"/>
      <c r="M67" s="11"/>
      <c r="N67" s="30" t="s">
        <v>145</v>
      </c>
      <c r="O67" s="63">
        <f>I58</f>
        <v>111906</v>
      </c>
      <c r="P67" s="79"/>
      <c r="Q67" s="51"/>
      <c r="R67" s="51"/>
      <c r="S67" s="51"/>
      <c r="T67" s="68" t="s">
        <v>153</v>
      </c>
      <c r="U67" s="71">
        <f>I66-J66</f>
        <v>460.00637688842835</v>
      </c>
      <c r="V67" s="51"/>
      <c r="W67" s="68" t="s">
        <v>154</v>
      </c>
      <c r="X67" s="70">
        <f>I70</f>
        <v>296521</v>
      </c>
    </row>
    <row r="68" spans="1:24" ht="15.75">
      <c r="H68" s="39" t="s">
        <v>109</v>
      </c>
      <c r="I68" s="63">
        <f>ONSV_AUX_2021!Y61</f>
        <v>13388</v>
      </c>
      <c r="J68" s="10">
        <f>I68</f>
        <v>13388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2272482.1910834457</v>
      </c>
      <c r="P68" s="79"/>
      <c r="Q68" s="51"/>
      <c r="R68" s="81"/>
      <c r="S68" s="51"/>
      <c r="T68" s="68" t="s">
        <v>149</v>
      </c>
      <c r="U68" s="75">
        <f>R64</f>
        <v>308095.63348217634</v>
      </c>
      <c r="V68" s="51"/>
      <c r="W68" s="51"/>
      <c r="X68" s="51"/>
    </row>
    <row r="69" spans="1:24" ht="15.75">
      <c r="H69" s="39" t="s">
        <v>110</v>
      </c>
      <c r="I69" s="63">
        <f>ONSV_AUX_2021!Y62</f>
        <v>932857</v>
      </c>
      <c r="J69" s="10">
        <f>I69</f>
        <v>932857</v>
      </c>
      <c r="K69" s="11"/>
      <c r="L69" s="11"/>
      <c r="M69" s="11"/>
      <c r="N69" s="30" t="s">
        <v>150</v>
      </c>
      <c r="O69" s="63">
        <f>IF((J63-O66-O68-O67)&lt;0,0,(J63-O66-O68-O67))</f>
        <v>674576.17125618085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ONSV_AUX_2021!Y63</f>
        <v>296521</v>
      </c>
      <c r="J70" s="10">
        <f>I70</f>
        <v>296521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5458663</v>
      </c>
    </row>
    <row r="71" spans="1:24" ht="15.75">
      <c r="H71" s="39" t="s">
        <v>112</v>
      </c>
      <c r="I71" s="63">
        <f>ONSV_AUX_2021!Y64</f>
        <v>21483</v>
      </c>
      <c r="J71" s="10">
        <f>I71</f>
        <v>21483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ONSV_AUX_2021!Y65</f>
        <v>94420</v>
      </c>
      <c r="J72" s="64">
        <f>I72-(L61*I57)</f>
        <v>94323.970404103049</v>
      </c>
      <c r="K72" s="12"/>
      <c r="L72" s="12"/>
      <c r="M72" s="12"/>
      <c r="N72" s="12"/>
      <c r="O72" s="12"/>
      <c r="P72" s="12"/>
      <c r="Q72" s="4"/>
      <c r="R72" s="4"/>
    </row>
    <row r="75" spans="1:24" s="36" customFormat="1" ht="15.75">
      <c r="A75" s="100" t="str">
        <f>"SANTA CATARINA/"&amp;ONSV_AUX_2020!$A$1&amp;""</f>
        <v>SANTA CATARINA/2020</v>
      </c>
      <c r="B75" s="101"/>
      <c r="C75" s="101"/>
      <c r="D75" s="101"/>
      <c r="E75" s="101"/>
      <c r="F75" s="10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ONSV_AUX_2020!Y27</f>
        <v>132873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ONSV_AUX_2020!Y28</f>
        <v>2202821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ONSV_AUX_2020!Y29</f>
        <v>449756</v>
      </c>
      <c r="J81" s="9"/>
      <c r="K81" s="2" t="s">
        <v>122</v>
      </c>
      <c r="L81" s="63">
        <f>I88+I91+I92+I97</f>
        <v>3821815</v>
      </c>
      <c r="N81" s="30" t="s">
        <v>123</v>
      </c>
      <c r="O81" s="63">
        <f>J88+J97</f>
        <v>3177112.5034675933</v>
      </c>
      <c r="P81" s="67"/>
      <c r="Q81" s="68" t="s">
        <v>124</v>
      </c>
      <c r="R81" s="63">
        <f>J91+J92</f>
        <v>642559.49653240666</v>
      </c>
      <c r="S81" s="69"/>
      <c r="T81" s="68" t="s">
        <v>125</v>
      </c>
      <c r="U81" s="70">
        <f>O85</f>
        <v>54523.526175919622</v>
      </c>
      <c r="V81" s="51"/>
      <c r="W81" s="68" t="s">
        <v>126</v>
      </c>
      <c r="X81" s="71">
        <f>R87</f>
        <v>65687.739774777583</v>
      </c>
    </row>
    <row r="82" spans="8:24" ht="15.75">
      <c r="H82" s="38" t="s">
        <v>102</v>
      </c>
      <c r="I82" s="63">
        <f>ONSV_AUX_2020!Y30</f>
        <v>2143</v>
      </c>
      <c r="J82" s="9"/>
      <c r="K82" s="29"/>
      <c r="L82" s="65"/>
      <c r="M82" s="22"/>
      <c r="N82" s="30" t="s">
        <v>127</v>
      </c>
      <c r="O82" s="72">
        <f>J88/O81</f>
        <v>0.97524831741847406</v>
      </c>
      <c r="P82" s="67"/>
      <c r="Q82" s="73" t="s">
        <v>128</v>
      </c>
      <c r="R82" s="66">
        <f>J91/R81</f>
        <v>0.66998382380389476</v>
      </c>
      <c r="S82" s="74"/>
      <c r="T82" s="68" t="s">
        <v>129</v>
      </c>
      <c r="U82" s="70">
        <f>I97-J97</f>
        <v>44.11978837280185</v>
      </c>
      <c r="V82" s="51"/>
      <c r="W82" s="68" t="s">
        <v>130</v>
      </c>
      <c r="X82" s="71">
        <f>I92-J92</f>
        <v>118.9719758805586</v>
      </c>
    </row>
    <row r="83" spans="8:24" ht="15.75">
      <c r="H83" s="38" t="s">
        <v>16</v>
      </c>
      <c r="I83" s="63">
        <f>ONSV_AUX_2020!Y31</f>
        <v>107745</v>
      </c>
      <c r="J83" s="9"/>
      <c r="K83" s="2" t="s">
        <v>131</v>
      </c>
      <c r="L83" s="66">
        <f>I88/L81</f>
        <v>0.81118840132240833</v>
      </c>
      <c r="M83" s="22"/>
      <c r="N83" s="30" t="s">
        <v>132</v>
      </c>
      <c r="O83" s="72">
        <f>J97/O81</f>
        <v>2.475168258152597E-2</v>
      </c>
      <c r="P83" s="67"/>
      <c r="Q83" s="73" t="s">
        <v>133</v>
      </c>
      <c r="R83" s="66">
        <f>J92/R81</f>
        <v>0.33001617619610529</v>
      </c>
      <c r="S83" s="74"/>
      <c r="T83" s="68" t="s">
        <v>134</v>
      </c>
      <c r="U83" s="75">
        <f>O87</f>
        <v>24115.354035707576</v>
      </c>
      <c r="V83" s="76"/>
      <c r="W83" s="68" t="s">
        <v>135</v>
      </c>
      <c r="X83" s="75">
        <f>R90</f>
        <v>146367.28824934186</v>
      </c>
    </row>
    <row r="84" spans="8:24" ht="15.75">
      <c r="H84" s="38" t="s">
        <v>94</v>
      </c>
      <c r="I84" s="63">
        <f>ONSV_AUX_2020!Y32</f>
        <v>2353819</v>
      </c>
      <c r="J84" s="10"/>
      <c r="K84" s="2" t="s">
        <v>2</v>
      </c>
      <c r="L84" s="66">
        <f>I91/L81</f>
        <v>0.112707182320442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5.5516554307312102E-2</v>
      </c>
      <c r="M85" s="22"/>
      <c r="N85" s="30" t="s">
        <v>136</v>
      </c>
      <c r="O85" s="63">
        <f>IF(O83*I80&gt;J97,J97,O83*I80)</f>
        <v>54523.526175919622</v>
      </c>
      <c r="P85" s="79"/>
      <c r="Q85" s="68" t="s">
        <v>137</v>
      </c>
      <c r="R85" s="63">
        <f>I81-I89-I90-I93-I96</f>
        <v>199044</v>
      </c>
      <c r="S85" s="80"/>
      <c r="T85" s="68" t="s">
        <v>138</v>
      </c>
      <c r="U85" s="70">
        <f>O93</f>
        <v>2148297.4738240805</v>
      </c>
      <c r="V85" s="79"/>
      <c r="W85" s="68" t="s">
        <v>139</v>
      </c>
      <c r="X85" s="70">
        <f>I89</f>
        <v>159035</v>
      </c>
    </row>
    <row r="86" spans="8:24" ht="15.75">
      <c r="H86" s="26" t="s">
        <v>140</v>
      </c>
      <c r="K86" s="2" t="s">
        <v>0</v>
      </c>
      <c r="L86" s="66">
        <f>I97/L81</f>
        <v>2.0587862049837577E-2</v>
      </c>
      <c r="O86" s="51"/>
      <c r="P86" s="79"/>
      <c r="Q86" s="68" t="s">
        <v>141</v>
      </c>
      <c r="R86" s="63">
        <f>R82*R85</f>
        <v>133356.26022522242</v>
      </c>
      <c r="S86" s="51"/>
      <c r="T86" s="68" t="s">
        <v>142</v>
      </c>
      <c r="U86" s="70">
        <f>O91</f>
        <v>132873</v>
      </c>
      <c r="V86" s="69"/>
      <c r="W86" s="68" t="s">
        <v>143</v>
      </c>
      <c r="X86" s="70">
        <f>I90</f>
        <v>58166</v>
      </c>
    </row>
    <row r="87" spans="8:24" ht="15.75">
      <c r="K87" s="11"/>
      <c r="L87" s="11"/>
      <c r="M87" s="11"/>
      <c r="N87" s="30" t="s">
        <v>144</v>
      </c>
      <c r="O87" s="63">
        <f>J97-O85</f>
        <v>24115.354035707576</v>
      </c>
      <c r="P87" s="79"/>
      <c r="Q87" s="68" t="s">
        <v>126</v>
      </c>
      <c r="R87" s="63">
        <f>R83*R85</f>
        <v>65687.739774777583</v>
      </c>
      <c r="S87" s="51"/>
      <c r="T87" s="68" t="s">
        <v>145</v>
      </c>
      <c r="U87" s="70">
        <f>O92</f>
        <v>107745</v>
      </c>
      <c r="V87" s="74"/>
      <c r="W87" s="51"/>
      <c r="X87" s="65"/>
    </row>
    <row r="88" spans="8:24" ht="15.75">
      <c r="H88" s="39" t="s">
        <v>104</v>
      </c>
      <c r="I88" s="63">
        <f>ONSV_AUX_2020!Y56</f>
        <v>3100212</v>
      </c>
      <c r="J88" s="64">
        <f>I88-(L83*I82)</f>
        <v>3098473.6232559662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1738.3767440337688</v>
      </c>
      <c r="V88" s="74"/>
      <c r="W88" s="68" t="s">
        <v>147</v>
      </c>
      <c r="X88" s="70">
        <f>I96</f>
        <v>20667</v>
      </c>
    </row>
    <row r="89" spans="8:24" ht="15.75">
      <c r="H89" s="39" t="s">
        <v>105</v>
      </c>
      <c r="I89" s="63">
        <f>ONSV_AUX_2020!Y57</f>
        <v>159035</v>
      </c>
      <c r="J89" s="10">
        <f>I89</f>
        <v>159035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297148.20828306489</v>
      </c>
      <c r="S89" s="51"/>
      <c r="T89" s="68" t="s">
        <v>150</v>
      </c>
      <c r="U89" s="75">
        <f>O94</f>
        <v>709558.14943188569</v>
      </c>
      <c r="V89" s="51"/>
      <c r="W89" s="68" t="s">
        <v>151</v>
      </c>
      <c r="X89" s="70">
        <f>I93</f>
        <v>12844</v>
      </c>
    </row>
    <row r="90" spans="8:24" ht="15.75">
      <c r="H90" s="39" t="s">
        <v>106</v>
      </c>
      <c r="I90" s="63">
        <f>ONSV_AUX_2020!Y58</f>
        <v>58166</v>
      </c>
      <c r="J90" s="10">
        <f>I90</f>
        <v>58166</v>
      </c>
      <c r="K90" s="11"/>
      <c r="L90" s="11"/>
      <c r="M90" s="11"/>
      <c r="O90" s="76"/>
      <c r="P90" s="79"/>
      <c r="Q90" s="68" t="s">
        <v>135</v>
      </c>
      <c r="R90" s="63">
        <f>J92-R87</f>
        <v>146367.28824934186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ONSV_AUX_2020!Y59</f>
        <v>430746</v>
      </c>
      <c r="J91" s="64">
        <f>I91-(L84*I82)</f>
        <v>430504.46850828727</v>
      </c>
      <c r="K91" s="11"/>
      <c r="L91" s="11"/>
      <c r="M91" s="11"/>
      <c r="N91" s="30" t="s">
        <v>142</v>
      </c>
      <c r="O91" s="63">
        <f>I79</f>
        <v>132873</v>
      </c>
      <c r="P91" s="79"/>
      <c r="Q91" s="51"/>
      <c r="R91" s="51"/>
      <c r="S91" s="80"/>
      <c r="T91" s="68" t="s">
        <v>141</v>
      </c>
      <c r="U91" s="71">
        <f>R86</f>
        <v>133356.26022522242</v>
      </c>
      <c r="V91" s="51"/>
      <c r="W91" s="68" t="s">
        <v>152</v>
      </c>
      <c r="X91" s="70">
        <f>I94</f>
        <v>908904</v>
      </c>
    </row>
    <row r="92" spans="8:24" ht="15.75">
      <c r="H92" s="39" t="s">
        <v>108</v>
      </c>
      <c r="I92" s="63">
        <f>ONSV_AUX_2020!Y60</f>
        <v>212174</v>
      </c>
      <c r="J92" s="64">
        <f>I92-(L85*I82)</f>
        <v>212055.02802411944</v>
      </c>
      <c r="K92" s="11"/>
      <c r="L92" s="11"/>
      <c r="M92" s="11"/>
      <c r="N92" s="30" t="s">
        <v>145</v>
      </c>
      <c r="O92" s="63">
        <f>I83</f>
        <v>107745</v>
      </c>
      <c r="P92" s="79"/>
      <c r="Q92" s="51"/>
      <c r="R92" s="51"/>
      <c r="S92" s="51"/>
      <c r="T92" s="68" t="s">
        <v>153</v>
      </c>
      <c r="U92" s="71">
        <f>I91-J91</f>
        <v>241.53149171272526</v>
      </c>
      <c r="V92" s="51"/>
      <c r="W92" s="68" t="s">
        <v>154</v>
      </c>
      <c r="X92" s="70">
        <f>I95</f>
        <v>287927</v>
      </c>
    </row>
    <row r="93" spans="8:24" ht="15.75">
      <c r="H93" s="39" t="s">
        <v>109</v>
      </c>
      <c r="I93" s="63">
        <f>ONSV_AUX_2020!Y61</f>
        <v>12844</v>
      </c>
      <c r="J93" s="10">
        <f>I93</f>
        <v>12844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2148297.4738240805</v>
      </c>
      <c r="P93" s="79"/>
      <c r="Q93" s="51"/>
      <c r="R93" s="81"/>
      <c r="S93" s="51"/>
      <c r="T93" s="68" t="s">
        <v>149</v>
      </c>
      <c r="U93" s="75">
        <f>R89</f>
        <v>297148.20828306489</v>
      </c>
      <c r="V93" s="51"/>
      <c r="W93" s="51"/>
      <c r="X93" s="51"/>
    </row>
    <row r="94" spans="8:24" ht="15.75">
      <c r="H94" s="39" t="s">
        <v>110</v>
      </c>
      <c r="I94" s="63">
        <f>ONSV_AUX_2020!Y62</f>
        <v>908904</v>
      </c>
      <c r="J94" s="10">
        <f>I94</f>
        <v>908904</v>
      </c>
      <c r="K94" s="11"/>
      <c r="L94" s="11"/>
      <c r="M94" s="11"/>
      <c r="N94" s="30" t="s">
        <v>150</v>
      </c>
      <c r="O94" s="63">
        <f>IF((J88-O91-O93-O92)&lt;0,0,(J88-O91-O93-O92))</f>
        <v>709558.14943188569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ONSV_AUX_2020!Y63</f>
        <v>287927</v>
      </c>
      <c r="J95" s="10">
        <f>I95</f>
        <v>287927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5269358</v>
      </c>
    </row>
    <row r="96" spans="8:24" ht="15.75">
      <c r="H96" s="39" t="s">
        <v>112</v>
      </c>
      <c r="I96" s="63">
        <f>ONSV_AUX_2020!Y64</f>
        <v>20667</v>
      </c>
      <c r="J96" s="10">
        <f>I96</f>
        <v>20667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ONSV_AUX_2020!Y65</f>
        <v>78683</v>
      </c>
      <c r="J97" s="64">
        <f>I97-(L86*I82)</f>
        <v>78638.880211627198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6" customFormat="1" ht="15.75">
      <c r="A100" s="100" t="str">
        <f>"SANTA CATARINA/"&amp;ONSV_AUX_2019!$A$1&amp;""</f>
        <v>SANTA CATARINA/2019</v>
      </c>
      <c r="B100" s="101"/>
      <c r="C100" s="101"/>
      <c r="D100" s="101"/>
      <c r="E100" s="101"/>
      <c r="F100" s="101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ONSV_AUX_2019!Y27</f>
        <v>132744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ONSV_AUX_2019!Y28</f>
        <v>2058118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ONSV_AUX_2019!Y29</f>
        <v>424302</v>
      </c>
      <c r="J106" s="9"/>
      <c r="K106" s="2" t="s">
        <v>122</v>
      </c>
      <c r="L106" s="63">
        <f>I113+I116+I117+I122</f>
        <v>3663596</v>
      </c>
      <c r="N106" s="30" t="s">
        <v>123</v>
      </c>
      <c r="O106" s="63">
        <f>J113+J122</f>
        <v>3058965.5177437686</v>
      </c>
      <c r="P106" s="67"/>
      <c r="Q106" s="68" t="s">
        <v>124</v>
      </c>
      <c r="R106" s="63">
        <f>J116+J117</f>
        <v>603650.48225623136</v>
      </c>
      <c r="S106" s="69"/>
      <c r="T106" s="68" t="s">
        <v>125</v>
      </c>
      <c r="U106" s="70">
        <f>O110</f>
        <v>45919.450400420421</v>
      </c>
      <c r="V106" s="51"/>
      <c r="W106" s="68" t="s">
        <v>126</v>
      </c>
      <c r="X106" s="71">
        <f>R112</f>
        <v>59363.605426854709</v>
      </c>
    </row>
    <row r="107" spans="1:24" ht="15.75">
      <c r="H107" s="38" t="s">
        <v>102</v>
      </c>
      <c r="I107" s="63">
        <f>ONSV_AUX_2019!Y30</f>
        <v>980</v>
      </c>
      <c r="J107" s="9"/>
      <c r="K107" s="29"/>
      <c r="L107" s="65"/>
      <c r="M107" s="22"/>
      <c r="N107" s="30" t="s">
        <v>127</v>
      </c>
      <c r="O107" s="72">
        <f>J113/O106</f>
        <v>0.97768862115757194</v>
      </c>
      <c r="P107" s="67"/>
      <c r="Q107" s="73" t="s">
        <v>128</v>
      </c>
      <c r="R107" s="66">
        <f>J116/R106</f>
        <v>0.67493193245579741</v>
      </c>
      <c r="S107" s="74"/>
      <c r="T107" s="68" t="s">
        <v>129</v>
      </c>
      <c r="U107" s="70">
        <f>I122-J122</f>
        <v>18.26146769458137</v>
      </c>
      <c r="V107" s="51"/>
      <c r="W107" s="68" t="s">
        <v>130</v>
      </c>
      <c r="X107" s="71">
        <f>I117-J117</f>
        <v>52.50426084100036</v>
      </c>
    </row>
    <row r="108" spans="1:24" ht="15.75">
      <c r="H108" s="38" t="s">
        <v>16</v>
      </c>
      <c r="I108" s="63">
        <f>ONSV_AUX_2019!Y31</f>
        <v>103427</v>
      </c>
      <c r="J108" s="9"/>
      <c r="K108" s="2" t="s">
        <v>131</v>
      </c>
      <c r="L108" s="66">
        <f>I113/L106</f>
        <v>0.81655182503747681</v>
      </c>
      <c r="M108" s="22"/>
      <c r="N108" s="30" t="s">
        <v>132</v>
      </c>
      <c r="O108" s="72">
        <f>J122/O106</f>
        <v>2.2311378842428092E-2</v>
      </c>
      <c r="P108" s="67"/>
      <c r="Q108" s="73" t="s">
        <v>133</v>
      </c>
      <c r="R108" s="66">
        <f>J117/R106</f>
        <v>0.32506806754420248</v>
      </c>
      <c r="S108" s="74"/>
      <c r="T108" s="68" t="s">
        <v>134</v>
      </c>
      <c r="U108" s="75">
        <f>O112</f>
        <v>22330.288131884998</v>
      </c>
      <c r="V108" s="76"/>
      <c r="W108" s="68" t="s">
        <v>135</v>
      </c>
      <c r="X108" s="75">
        <f>R115</f>
        <v>136863.89031230428</v>
      </c>
    </row>
    <row r="109" spans="1:24" ht="15.75">
      <c r="H109" s="38" t="s">
        <v>94</v>
      </c>
      <c r="I109" s="63">
        <f>ONSV_AUX_2019!Y32</f>
        <v>2331690</v>
      </c>
      <c r="J109" s="10"/>
      <c r="K109" s="2" t="s">
        <v>2</v>
      </c>
      <c r="L109" s="66">
        <f>I116/L106</f>
        <v>0.11123824788541095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5.3575776368355026E-2</v>
      </c>
      <c r="M110" s="22"/>
      <c r="N110" s="30" t="s">
        <v>136</v>
      </c>
      <c r="O110" s="63">
        <f>IF(O108*I105&gt;J122,J122,O108*I105)</f>
        <v>45919.450400420421</v>
      </c>
      <c r="P110" s="79"/>
      <c r="Q110" s="68" t="s">
        <v>137</v>
      </c>
      <c r="R110" s="63">
        <f>I106-I114-I115-I118-I121</f>
        <v>182619</v>
      </c>
      <c r="S110" s="80"/>
      <c r="T110" s="68" t="s">
        <v>138</v>
      </c>
      <c r="U110" s="70">
        <f>O118</f>
        <v>2012198.5495995795</v>
      </c>
      <c r="V110" s="79"/>
      <c r="W110" s="68" t="s">
        <v>139</v>
      </c>
      <c r="X110" s="70">
        <f>I114</f>
        <v>155194</v>
      </c>
    </row>
    <row r="111" spans="1:24" ht="15.75">
      <c r="H111" s="26" t="s">
        <v>140</v>
      </c>
      <c r="K111" s="2" t="s">
        <v>0</v>
      </c>
      <c r="L111" s="66">
        <f>I122/L106</f>
        <v>1.8634150708757187E-2</v>
      </c>
      <c r="O111" s="51"/>
      <c r="P111" s="79"/>
      <c r="Q111" s="68" t="s">
        <v>141</v>
      </c>
      <c r="R111" s="63">
        <f>R107*R110</f>
        <v>123255.39457314527</v>
      </c>
      <c r="S111" s="51"/>
      <c r="T111" s="68" t="s">
        <v>142</v>
      </c>
      <c r="U111" s="70">
        <f>O116</f>
        <v>132744</v>
      </c>
      <c r="V111" s="69"/>
      <c r="W111" s="68" t="s">
        <v>143</v>
      </c>
      <c r="X111" s="70">
        <f>I115</f>
        <v>53973</v>
      </c>
    </row>
    <row r="112" spans="1:24" ht="15.75">
      <c r="K112" s="11"/>
      <c r="L112" s="11"/>
      <c r="M112" s="11"/>
      <c r="N112" s="30" t="s">
        <v>144</v>
      </c>
      <c r="O112" s="63">
        <f>J122-O110</f>
        <v>22330.288131884998</v>
      </c>
      <c r="P112" s="79"/>
      <c r="Q112" s="68" t="s">
        <v>126</v>
      </c>
      <c r="R112" s="63">
        <f>R108*R110</f>
        <v>59363.605426854709</v>
      </c>
      <c r="S112" s="51"/>
      <c r="T112" s="68" t="s">
        <v>145</v>
      </c>
      <c r="U112" s="70">
        <f>O117</f>
        <v>103427</v>
      </c>
      <c r="V112" s="74"/>
      <c r="W112" s="51"/>
      <c r="X112" s="65"/>
    </row>
    <row r="113" spans="8:24" ht="15.75">
      <c r="H113" s="39" t="s">
        <v>104</v>
      </c>
      <c r="I113" s="63">
        <f>ONSV_AUX_2019!Y56</f>
        <v>2991516</v>
      </c>
      <c r="J113" s="64">
        <f>I113-(L108*I107)</f>
        <v>2990715.7792114634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800.22078853659332</v>
      </c>
      <c r="V113" s="74"/>
      <c r="W113" s="68" t="s">
        <v>147</v>
      </c>
      <c r="X113" s="70">
        <f>I121</f>
        <v>20151</v>
      </c>
    </row>
    <row r="114" spans="8:24" ht="15.75">
      <c r="H114" s="39" t="s">
        <v>105</v>
      </c>
      <c r="I114" s="63">
        <f>ONSV_AUX_2019!Y57</f>
        <v>155194</v>
      </c>
      <c r="J114" s="10">
        <f>I114</f>
        <v>155194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284167.59194392705</v>
      </c>
      <c r="S114" s="51"/>
      <c r="T114" s="68" t="s">
        <v>150</v>
      </c>
      <c r="U114" s="75">
        <f>O119</f>
        <v>742346.22961188387</v>
      </c>
      <c r="V114" s="51"/>
      <c r="W114" s="68" t="s">
        <v>151</v>
      </c>
      <c r="X114" s="70">
        <f>I118</f>
        <v>12365</v>
      </c>
    </row>
    <row r="115" spans="8:24" ht="15.75">
      <c r="H115" s="39" t="s">
        <v>106</v>
      </c>
      <c r="I115" s="63">
        <f>ONSV_AUX_2019!Y58</f>
        <v>53973</v>
      </c>
      <c r="J115" s="10">
        <f>I115</f>
        <v>53973</v>
      </c>
      <c r="K115" s="11"/>
      <c r="L115" s="11"/>
      <c r="M115" s="11"/>
      <c r="O115" s="76"/>
      <c r="P115" s="79"/>
      <c r="Q115" s="68" t="s">
        <v>135</v>
      </c>
      <c r="R115" s="63">
        <f>J117-R112</f>
        <v>136863.89031230428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ONSV_AUX_2019!Y59</f>
        <v>407532</v>
      </c>
      <c r="J116" s="64">
        <f>I116-(L109*I107)</f>
        <v>407422.98651707231</v>
      </c>
      <c r="K116" s="11"/>
      <c r="L116" s="11"/>
      <c r="M116" s="11"/>
      <c r="N116" s="30" t="s">
        <v>142</v>
      </c>
      <c r="O116" s="63">
        <f>I104</f>
        <v>132744</v>
      </c>
      <c r="P116" s="79"/>
      <c r="Q116" s="51"/>
      <c r="R116" s="51"/>
      <c r="S116" s="80"/>
      <c r="T116" s="68" t="s">
        <v>141</v>
      </c>
      <c r="U116" s="71">
        <f>R111</f>
        <v>123255.39457314527</v>
      </c>
      <c r="V116" s="51"/>
      <c r="W116" s="68" t="s">
        <v>152</v>
      </c>
      <c r="X116" s="70">
        <f>I119</f>
        <v>886539</v>
      </c>
    </row>
    <row r="117" spans="8:24" ht="15.75">
      <c r="H117" s="39" t="s">
        <v>108</v>
      </c>
      <c r="I117" s="63">
        <f>ONSV_AUX_2019!Y60</f>
        <v>196280</v>
      </c>
      <c r="J117" s="64">
        <f>I117-(L110*I107)</f>
        <v>196227.495739159</v>
      </c>
      <c r="K117" s="11"/>
      <c r="L117" s="11"/>
      <c r="M117" s="11"/>
      <c r="N117" s="30" t="s">
        <v>145</v>
      </c>
      <c r="O117" s="63">
        <f>I108</f>
        <v>103427</v>
      </c>
      <c r="P117" s="79"/>
      <c r="Q117" s="51"/>
      <c r="R117" s="51"/>
      <c r="S117" s="51"/>
      <c r="T117" s="68" t="s">
        <v>153</v>
      </c>
      <c r="U117" s="71">
        <f>I116-J116</f>
        <v>109.01348292769399</v>
      </c>
      <c r="V117" s="51"/>
      <c r="W117" s="68" t="s">
        <v>154</v>
      </c>
      <c r="X117" s="70">
        <f>I120</f>
        <v>279705</v>
      </c>
    </row>
    <row r="118" spans="8:24" ht="15.75">
      <c r="H118" s="39" t="s">
        <v>109</v>
      </c>
      <c r="I118" s="63">
        <f>ONSV_AUX_2019!Y61</f>
        <v>12365</v>
      </c>
      <c r="J118" s="10">
        <f>I118</f>
        <v>12365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2012198.5495995795</v>
      </c>
      <c r="P118" s="79"/>
      <c r="Q118" s="51"/>
      <c r="R118" s="81"/>
      <c r="S118" s="51"/>
      <c r="T118" s="68" t="s">
        <v>149</v>
      </c>
      <c r="U118" s="75">
        <f>R114</f>
        <v>284167.59194392705</v>
      </c>
      <c r="V118" s="51"/>
      <c r="W118" s="51"/>
      <c r="X118" s="51"/>
    </row>
    <row r="119" spans="8:24" ht="15.75">
      <c r="H119" s="39" t="s">
        <v>110</v>
      </c>
      <c r="I119" s="63">
        <f>ONSV_AUX_2019!Y62</f>
        <v>886539</v>
      </c>
      <c r="J119" s="10">
        <f>I119</f>
        <v>886539</v>
      </c>
      <c r="K119" s="11"/>
      <c r="L119" s="11"/>
      <c r="M119" s="11"/>
      <c r="N119" s="30" t="s">
        <v>150</v>
      </c>
      <c r="O119" s="63">
        <f>IF((J113-O116-O118-O117)&lt;0,0,(J113-O116-O118-O117))</f>
        <v>742346.22961188387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ONSV_AUX_2019!Y63</f>
        <v>279705</v>
      </c>
      <c r="J120" s="10">
        <f>I120</f>
        <v>279705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5071523</v>
      </c>
    </row>
    <row r="121" spans="8:24" ht="15.75">
      <c r="H121" s="39" t="s">
        <v>112</v>
      </c>
      <c r="I121" s="63">
        <f>ONSV_AUX_2019!Y64</f>
        <v>20151</v>
      </c>
      <c r="J121" s="10">
        <f>I121</f>
        <v>20151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ONSV_AUX_2019!Y65</f>
        <v>68268</v>
      </c>
      <c r="J122" s="64">
        <f>I122-(L111*I107)</f>
        <v>68249.738532305419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9" tint="0.39997558519241921"/>
  </sheetPr>
  <dimension ref="A1:X122"/>
  <sheetViews>
    <sheetView showGridLines="0" topLeftCell="A88" zoomScale="90" zoomScaleNormal="90" workbookViewId="0">
      <selection activeCell="M78" sqref="M78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3" customFormat="1" ht="15.75">
      <c r="A1" s="100" t="str">
        <f>"SÃO PAULO/"&amp;ONSV_AUX_2023!$A$1&amp;""</f>
        <v>SÃO PAULO/2023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ONSV_AUX_2023!Z27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ONSV_AUX_2023!Z28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ONSV_AUX_2023!Z29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ONSV_AUX_2023!Z30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ONSV_AUX_2023!Z31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ONSV_AUX_2023!Z32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ONSV_AUX_2023!Z56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ONSV_AUX_2023!Z57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ONSV_AUX_2023!Z58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ONSV_AUX_2023!Z59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ONSV_AUX_2023!Z60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ONSV_AUX_2023!Z61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ONSV_AUX_2023!Z62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ONSV_AUX_2023!Z63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ONSV_AUX_2023!Z64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ONSV_AUX_2023!Z65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6" customFormat="1" ht="15.75">
      <c r="A25" s="100" t="str">
        <f>"SÃO PAULO/"&amp;ONSV_AUX_2022!$A$1&amp;""</f>
        <v>SÃO PAULO/2022</v>
      </c>
      <c r="B25" s="101"/>
      <c r="C25" s="101"/>
      <c r="D25" s="101"/>
      <c r="E25" s="101"/>
      <c r="F25" s="10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5.75">
      <c r="A26" s="3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ONSV_AUX_2022!Z27</f>
        <v>1830838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ONSV_AUX_2022!Z28</f>
        <v>12768443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ONSV_AUX_2022!Z29</f>
        <v>2020026</v>
      </c>
      <c r="J31" s="9"/>
      <c r="K31" s="2" t="s">
        <v>122</v>
      </c>
      <c r="L31" s="63">
        <f>I38+I41+I42+I47</f>
        <v>23540202</v>
      </c>
      <c r="N31" s="30" t="s">
        <v>123</v>
      </c>
      <c r="O31" s="63">
        <f>J38+J47</f>
        <v>19897416.455306374</v>
      </c>
      <c r="P31" s="67"/>
      <c r="Q31" s="68" t="s">
        <v>124</v>
      </c>
      <c r="R31" s="63">
        <f>J41+J42</f>
        <v>3605936.5446936265</v>
      </c>
      <c r="S31" s="69"/>
      <c r="T31" s="68" t="s">
        <v>125</v>
      </c>
      <c r="U31" s="70">
        <f>O35</f>
        <v>274122.90220959694</v>
      </c>
      <c r="V31" s="51"/>
      <c r="W31" s="68" t="s">
        <v>126</v>
      </c>
      <c r="X31" s="71">
        <f>R37</f>
        <v>311916.39793553529</v>
      </c>
    </row>
    <row r="32" spans="1:24" ht="15.75">
      <c r="H32" s="38" t="s">
        <v>102</v>
      </c>
      <c r="I32" s="63">
        <f>ONSV_AUX_2022!Z30</f>
        <v>36849</v>
      </c>
      <c r="J32" s="9"/>
      <c r="K32" s="29"/>
      <c r="L32" s="65"/>
      <c r="M32" s="22"/>
      <c r="N32" s="30" t="s">
        <v>127</v>
      </c>
      <c r="O32" s="72">
        <f>J38/O31</f>
        <v>0.97853121933429177</v>
      </c>
      <c r="P32" s="67"/>
      <c r="Q32" s="73" t="s">
        <v>128</v>
      </c>
      <c r="R32" s="66">
        <f>J41/R31</f>
        <v>0.61242029133982545</v>
      </c>
      <c r="S32" s="74"/>
      <c r="T32" s="68" t="s">
        <v>129</v>
      </c>
      <c r="U32" s="70">
        <f>I47-J47</f>
        <v>669.73030677478528</v>
      </c>
      <c r="V32" s="51"/>
      <c r="W32" s="68" t="s">
        <v>130</v>
      </c>
      <c r="X32" s="71">
        <f>I42-J42</f>
        <v>2191.1645605675876</v>
      </c>
    </row>
    <row r="33" spans="8:24" ht="15.75">
      <c r="H33" s="38" t="s">
        <v>16</v>
      </c>
      <c r="I33" s="63">
        <f>ONSV_AUX_2022!Z31</f>
        <v>290779</v>
      </c>
      <c r="J33" s="9"/>
      <c r="K33" s="2" t="s">
        <v>131</v>
      </c>
      <c r="L33" s="66">
        <f>I38/L31</f>
        <v>0.82840278940681988</v>
      </c>
      <c r="M33" s="22"/>
      <c r="N33" s="30" t="s">
        <v>132</v>
      </c>
      <c r="O33" s="72">
        <f>J47/O31</f>
        <v>2.1468780665708179E-2</v>
      </c>
      <c r="P33" s="67"/>
      <c r="Q33" s="73" t="s">
        <v>133</v>
      </c>
      <c r="R33" s="66">
        <f>J42/R31</f>
        <v>0.3875797086601746</v>
      </c>
      <c r="S33" s="74"/>
      <c r="T33" s="68" t="s">
        <v>134</v>
      </c>
      <c r="U33" s="75">
        <f>O37</f>
        <v>153050.36748362827</v>
      </c>
      <c r="V33" s="76"/>
      <c r="W33" s="68" t="s">
        <v>135</v>
      </c>
      <c r="X33" s="75">
        <f>R40</f>
        <v>1085671.4375038971</v>
      </c>
    </row>
    <row r="34" spans="8:24" ht="15.75">
      <c r="H34" s="38" t="s">
        <v>94</v>
      </c>
      <c r="I34" s="63">
        <f>ONSV_AUX_2022!Z32</f>
        <v>14076144</v>
      </c>
      <c r="J34" s="10"/>
      <c r="K34" s="2" t="s">
        <v>2</v>
      </c>
      <c r="L34" s="66">
        <f>I41/L31</f>
        <v>9.3958879367305348E-2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5.9463338504911728E-2</v>
      </c>
      <c r="M35" s="22"/>
      <c r="N35" s="30" t="s">
        <v>136</v>
      </c>
      <c r="O35" s="63">
        <f>IF(O33*I30&gt;J47,J47,O33*I30)</f>
        <v>274122.90220959694</v>
      </c>
      <c r="P35" s="79"/>
      <c r="Q35" s="68" t="s">
        <v>137</v>
      </c>
      <c r="R35" s="63">
        <f>I31-I39-I40-I43-I46</f>
        <v>804780</v>
      </c>
      <c r="S35" s="80"/>
      <c r="T35" s="68" t="s">
        <v>138</v>
      </c>
      <c r="U35" s="70">
        <f>O43</f>
        <v>12494320.097790403</v>
      </c>
      <c r="V35" s="79"/>
      <c r="W35" s="68" t="s">
        <v>139</v>
      </c>
      <c r="X35" s="70">
        <f>I39</f>
        <v>711155</v>
      </c>
    </row>
    <row r="36" spans="8:24" ht="15.75">
      <c r="H36" s="26" t="s">
        <v>140</v>
      </c>
      <c r="K36" s="2" t="s">
        <v>0</v>
      </c>
      <c r="L36" s="66">
        <f>I47/L31</f>
        <v>1.8174992720963058E-2</v>
      </c>
      <c r="O36" s="51"/>
      <c r="P36" s="79"/>
      <c r="Q36" s="68" t="s">
        <v>141</v>
      </c>
      <c r="R36" s="63">
        <f>R32*R35</f>
        <v>492863.60206446471</v>
      </c>
      <c r="S36" s="51"/>
      <c r="T36" s="68" t="s">
        <v>142</v>
      </c>
      <c r="U36" s="70">
        <f>O41</f>
        <v>1830838</v>
      </c>
      <c r="V36" s="69"/>
      <c r="W36" s="68" t="s">
        <v>143</v>
      </c>
      <c r="X36" s="70">
        <f>I40</f>
        <v>207565</v>
      </c>
    </row>
    <row r="37" spans="8:24" ht="15.75">
      <c r="K37" s="11"/>
      <c r="L37" s="11"/>
      <c r="M37" s="11"/>
      <c r="N37" s="30" t="s">
        <v>144</v>
      </c>
      <c r="O37" s="63">
        <f>J47-O35</f>
        <v>153050.36748362827</v>
      </c>
      <c r="P37" s="79"/>
      <c r="Q37" s="68" t="s">
        <v>126</v>
      </c>
      <c r="R37" s="63">
        <f>R33*R35</f>
        <v>311916.39793553529</v>
      </c>
      <c r="S37" s="51"/>
      <c r="T37" s="68" t="s">
        <v>145</v>
      </c>
      <c r="U37" s="70">
        <f>O42</f>
        <v>290779</v>
      </c>
      <c r="V37" s="74"/>
      <c r="W37" s="51"/>
      <c r="X37" s="65"/>
    </row>
    <row r="38" spans="8:24" ht="15.75">
      <c r="H38" s="39" t="s">
        <v>104</v>
      </c>
      <c r="I38" s="63">
        <f>ONSV_AUX_2022!Z56</f>
        <v>19500769</v>
      </c>
      <c r="J38" s="64">
        <f>I38-(L33*I32)</f>
        <v>19470243.185613148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30525.814386852086</v>
      </c>
      <c r="V38" s="74"/>
      <c r="W38" s="68" t="s">
        <v>147</v>
      </c>
      <c r="X38" s="70">
        <f>I46</f>
        <v>169765</v>
      </c>
    </row>
    <row r="39" spans="8:24" ht="15.75">
      <c r="H39" s="39" t="s">
        <v>105</v>
      </c>
      <c r="I39" s="63">
        <f>ONSV_AUX_2022!Z57</f>
        <v>711155</v>
      </c>
      <c r="J39" s="10">
        <f>I39</f>
        <v>711155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1715485.1071897293</v>
      </c>
      <c r="S39" s="51"/>
      <c r="T39" s="68" t="s">
        <v>150</v>
      </c>
      <c r="U39" s="75">
        <f>O44</f>
        <v>4854306.0878227446</v>
      </c>
      <c r="V39" s="51"/>
      <c r="W39" s="68" t="s">
        <v>151</v>
      </c>
      <c r="X39" s="70">
        <f>I43</f>
        <v>126761</v>
      </c>
    </row>
    <row r="40" spans="8:24" ht="15.75">
      <c r="H40" s="39" t="s">
        <v>106</v>
      </c>
      <c r="I40" s="63">
        <f>ONSV_AUX_2022!Z58</f>
        <v>207565</v>
      </c>
      <c r="J40" s="10">
        <f>I40</f>
        <v>207565</v>
      </c>
      <c r="K40" s="11"/>
      <c r="L40" s="11"/>
      <c r="M40" s="11"/>
      <c r="O40" s="76"/>
      <c r="P40" s="79"/>
      <c r="Q40" s="68" t="s">
        <v>135</v>
      </c>
      <c r="R40" s="63">
        <f>J42-R37</f>
        <v>1085671.4375038971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ONSV_AUX_2022!Z59</f>
        <v>2211811</v>
      </c>
      <c r="J41" s="64">
        <f>I41-(L34*I32)</f>
        <v>2208348.7092541941</v>
      </c>
      <c r="K41" s="11"/>
      <c r="L41" s="11"/>
      <c r="M41" s="11"/>
      <c r="N41" s="30" t="s">
        <v>142</v>
      </c>
      <c r="O41" s="63">
        <f>I29</f>
        <v>1830838</v>
      </c>
      <c r="P41" s="79"/>
      <c r="Q41" s="51"/>
      <c r="R41" s="51"/>
      <c r="S41" s="80"/>
      <c r="T41" s="68" t="s">
        <v>141</v>
      </c>
      <c r="U41" s="71">
        <f>R36</f>
        <v>492863.60206446471</v>
      </c>
      <c r="V41" s="51"/>
      <c r="W41" s="68" t="s">
        <v>152</v>
      </c>
      <c r="X41" s="70">
        <f>I44</f>
        <v>5228908</v>
      </c>
    </row>
    <row r="42" spans="8:24" ht="15.75">
      <c r="H42" s="39" t="s">
        <v>108</v>
      </c>
      <c r="I42" s="63">
        <f>ONSV_AUX_2022!Z60</f>
        <v>1399779</v>
      </c>
      <c r="J42" s="64">
        <f>I42-(L35*I32)</f>
        <v>1397587.8354394324</v>
      </c>
      <c r="K42" s="11"/>
      <c r="L42" s="11"/>
      <c r="M42" s="11"/>
      <c r="N42" s="30" t="s">
        <v>145</v>
      </c>
      <c r="O42" s="63">
        <f>I33</f>
        <v>290779</v>
      </c>
      <c r="P42" s="79"/>
      <c r="Q42" s="51"/>
      <c r="R42" s="51"/>
      <c r="S42" s="51"/>
      <c r="T42" s="68" t="s">
        <v>153</v>
      </c>
      <c r="U42" s="71">
        <f>I41-J41</f>
        <v>3462.290745805949</v>
      </c>
      <c r="V42" s="51"/>
      <c r="W42" s="68" t="s">
        <v>154</v>
      </c>
      <c r="X42" s="70">
        <f>I45</f>
        <v>1120259</v>
      </c>
    </row>
    <row r="43" spans="8:24" ht="15.75">
      <c r="H43" s="39" t="s">
        <v>109</v>
      </c>
      <c r="I43" s="63">
        <f>ONSV_AUX_2022!Z61</f>
        <v>126761</v>
      </c>
      <c r="J43" s="10">
        <f>I43</f>
        <v>126761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12494320.097790403</v>
      </c>
      <c r="P43" s="79"/>
      <c r="Q43" s="51"/>
      <c r="R43" s="81"/>
      <c r="S43" s="51"/>
      <c r="T43" s="68" t="s">
        <v>149</v>
      </c>
      <c r="U43" s="75">
        <f>R39</f>
        <v>1715485.1071897293</v>
      </c>
      <c r="V43" s="51"/>
      <c r="W43" s="51"/>
      <c r="X43" s="51"/>
    </row>
    <row r="44" spans="8:24" ht="15.75">
      <c r="H44" s="39" t="s">
        <v>110</v>
      </c>
      <c r="I44" s="63">
        <f>ONSV_AUX_2022!Z62</f>
        <v>5228908</v>
      </c>
      <c r="J44" s="10">
        <f>I44</f>
        <v>5228908</v>
      </c>
      <c r="K44" s="11"/>
      <c r="L44" s="11"/>
      <c r="M44" s="11"/>
      <c r="N44" s="30" t="s">
        <v>150</v>
      </c>
      <c r="O44" s="63">
        <f>IF((J38-O41-O43-O42)&lt;0,0,(J38-O41-O43-O42))</f>
        <v>4854306.0878227446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ONSV_AUX_2022!Z63</f>
        <v>1120259</v>
      </c>
      <c r="J45" s="10">
        <f>I45</f>
        <v>1120259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31104615</v>
      </c>
    </row>
    <row r="46" spans="8:24" ht="15.75">
      <c r="H46" s="39" t="s">
        <v>112</v>
      </c>
      <c r="I46" s="63">
        <f>ONSV_AUX_2022!Z64</f>
        <v>169765</v>
      </c>
      <c r="J46" s="10">
        <f>I46</f>
        <v>169765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ONSV_AUX_2022!Z65</f>
        <v>427843</v>
      </c>
      <c r="J47" s="64">
        <f>I47-(L36*I32)</f>
        <v>427173.26969322521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6" customFormat="1" ht="15.75">
      <c r="A50" s="100" t="str">
        <f>"SÃO PAULO/"&amp;ONSV_AUX_2021!$A$1&amp;""</f>
        <v>SÃO PAULO/2021</v>
      </c>
      <c r="B50" s="101"/>
      <c r="C50" s="101"/>
      <c r="D50" s="101"/>
      <c r="E50" s="101"/>
      <c r="F50" s="101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ONSV_AUX_2021!Z27</f>
        <v>1831866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ONSV_AUX_2021!Z28</f>
        <v>12304447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ONSV_AUX_2021!Z29</f>
        <v>1955577</v>
      </c>
      <c r="J56" s="9"/>
      <c r="K56" s="2" t="s">
        <v>122</v>
      </c>
      <c r="L56" s="63">
        <f>I63+I66+I67+I72</f>
        <v>23153151</v>
      </c>
      <c r="N56" s="30" t="s">
        <v>123</v>
      </c>
      <c r="O56" s="63">
        <f>J63+J72</f>
        <v>19632626.228424285</v>
      </c>
      <c r="P56" s="67"/>
      <c r="Q56" s="68" t="s">
        <v>124</v>
      </c>
      <c r="R56" s="63">
        <f>J66+J67</f>
        <v>3498665.7715757135</v>
      </c>
      <c r="S56" s="69"/>
      <c r="T56" s="68" t="s">
        <v>125</v>
      </c>
      <c r="U56" s="70">
        <f>O60</f>
        <v>239118.35362534737</v>
      </c>
      <c r="V56" s="51"/>
      <c r="W56" s="68" t="s">
        <v>126</v>
      </c>
      <c r="X56" s="71">
        <f>R62</f>
        <v>293335.16098529624</v>
      </c>
    </row>
    <row r="57" spans="1:24" ht="15.75">
      <c r="H57" s="38" t="s">
        <v>102</v>
      </c>
      <c r="I57" s="63">
        <f>ONSV_AUX_2021!Z30</f>
        <v>21859</v>
      </c>
      <c r="J57" s="9"/>
      <c r="K57" s="29"/>
      <c r="L57" s="65"/>
      <c r="M57" s="22"/>
      <c r="N57" s="30" t="s">
        <v>127</v>
      </c>
      <c r="O57" s="72">
        <f>J63/O56</f>
        <v>0.9805665095208792</v>
      </c>
      <c r="P57" s="67"/>
      <c r="Q57" s="73" t="s">
        <v>128</v>
      </c>
      <c r="R57" s="66">
        <f>J66/R56</f>
        <v>0.61488955365719655</v>
      </c>
      <c r="S57" s="74"/>
      <c r="T57" s="68" t="s">
        <v>129</v>
      </c>
      <c r="U57" s="70">
        <f>I72-J72</f>
        <v>360.54510977794416</v>
      </c>
      <c r="V57" s="51"/>
      <c r="W57" s="68" t="s">
        <v>130</v>
      </c>
      <c r="X57" s="71">
        <f>I67-J67</f>
        <v>1273.263104188256</v>
      </c>
    </row>
    <row r="58" spans="1:24" ht="15.75">
      <c r="H58" s="38" t="s">
        <v>16</v>
      </c>
      <c r="I58" s="63">
        <f>ONSV_AUX_2021!Z31</f>
        <v>285635</v>
      </c>
      <c r="J58" s="9"/>
      <c r="K58" s="2" t="s">
        <v>131</v>
      </c>
      <c r="L58" s="66">
        <f>I63/L56</f>
        <v>0.83225337233795948</v>
      </c>
      <c r="M58" s="22"/>
      <c r="N58" s="30" t="s">
        <v>132</v>
      </c>
      <c r="O58" s="72">
        <f>J72/O56</f>
        <v>1.9433490479120873E-2</v>
      </c>
      <c r="P58" s="67"/>
      <c r="Q58" s="73" t="s">
        <v>133</v>
      </c>
      <c r="R58" s="66">
        <f>J67/R56</f>
        <v>0.38511044634280339</v>
      </c>
      <c r="S58" s="74"/>
      <c r="T58" s="68" t="s">
        <v>134</v>
      </c>
      <c r="U58" s="75">
        <f>O62</f>
        <v>142412.10126487468</v>
      </c>
      <c r="V58" s="76"/>
      <c r="W58" s="68" t="s">
        <v>135</v>
      </c>
      <c r="X58" s="75">
        <f>R65</f>
        <v>1054037.5759105156</v>
      </c>
    </row>
    <row r="59" spans="1:24" ht="15.75">
      <c r="H59" s="38" t="s">
        <v>94</v>
      </c>
      <c r="I59" s="63">
        <f>ONSV_AUX_2021!Z32</f>
        <v>13947470</v>
      </c>
      <c r="J59" s="10"/>
      <c r="K59" s="2" t="s">
        <v>2</v>
      </c>
      <c r="L59" s="66">
        <f>I66/L56</f>
        <v>9.3003582968037485E-2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5.8248918257389676E-2</v>
      </c>
      <c r="M60" s="22"/>
      <c r="N60" s="30" t="s">
        <v>136</v>
      </c>
      <c r="O60" s="63">
        <f>IF(O58*I55&gt;J72,J72,O58*I55)</f>
        <v>239118.35362534737</v>
      </c>
      <c r="P60" s="79"/>
      <c r="Q60" s="68" t="s">
        <v>137</v>
      </c>
      <c r="R60" s="63">
        <f>I56-I64-I65-I68-I71</f>
        <v>761691</v>
      </c>
      <c r="S60" s="80"/>
      <c r="T60" s="68" t="s">
        <v>138</v>
      </c>
      <c r="U60" s="70">
        <f>O68</f>
        <v>12065328.646374654</v>
      </c>
      <c r="V60" s="79"/>
      <c r="W60" s="68" t="s">
        <v>139</v>
      </c>
      <c r="X60" s="70">
        <f>I64</f>
        <v>700757</v>
      </c>
    </row>
    <row r="61" spans="1:24" ht="15.75">
      <c r="H61" s="26" t="s">
        <v>140</v>
      </c>
      <c r="K61" s="2" t="s">
        <v>0</v>
      </c>
      <c r="L61" s="66">
        <f>I72/L56</f>
        <v>1.6494126436613316E-2</v>
      </c>
      <c r="O61" s="51"/>
      <c r="P61" s="79"/>
      <c r="Q61" s="68" t="s">
        <v>141</v>
      </c>
      <c r="R61" s="63">
        <f>R57*R60</f>
        <v>468355.8390147037</v>
      </c>
      <c r="S61" s="51"/>
      <c r="T61" s="68" t="s">
        <v>142</v>
      </c>
      <c r="U61" s="70">
        <f>O66</f>
        <v>1831866</v>
      </c>
      <c r="V61" s="69"/>
      <c r="W61" s="68" t="s">
        <v>143</v>
      </c>
      <c r="X61" s="70">
        <f>I65</f>
        <v>197735</v>
      </c>
    </row>
    <row r="62" spans="1:24" ht="15.75">
      <c r="K62" s="11"/>
      <c r="L62" s="11"/>
      <c r="M62" s="11"/>
      <c r="N62" s="30" t="s">
        <v>144</v>
      </c>
      <c r="O62" s="63">
        <f>J72-O60</f>
        <v>142412.10126487468</v>
      </c>
      <c r="P62" s="79"/>
      <c r="Q62" s="68" t="s">
        <v>126</v>
      </c>
      <c r="R62" s="63">
        <f>R58*R60</f>
        <v>293335.16098529624</v>
      </c>
      <c r="S62" s="51"/>
      <c r="T62" s="68" t="s">
        <v>145</v>
      </c>
      <c r="U62" s="70">
        <f>O67</f>
        <v>285635</v>
      </c>
      <c r="V62" s="74"/>
      <c r="W62" s="51"/>
      <c r="X62" s="65"/>
    </row>
    <row r="63" spans="1:24" ht="15.75">
      <c r="H63" s="39" t="s">
        <v>104</v>
      </c>
      <c r="I63" s="63">
        <f>ONSV_AUX_2021!Z56</f>
        <v>19269288</v>
      </c>
      <c r="J63" s="64">
        <f>I63-(L58*I57)</f>
        <v>19251095.773534063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18192.22646593675</v>
      </c>
      <c r="V63" s="74"/>
      <c r="W63" s="68" t="s">
        <v>147</v>
      </c>
      <c r="X63" s="70">
        <f>I71</f>
        <v>169174</v>
      </c>
    </row>
    <row r="64" spans="1:24" ht="15.75">
      <c r="H64" s="39" t="s">
        <v>105</v>
      </c>
      <c r="I64" s="63">
        <f>ONSV_AUX_2021!Z57</f>
        <v>700757</v>
      </c>
      <c r="J64" s="10">
        <f>I64</f>
        <v>700757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1682937.1956651981</v>
      </c>
      <c r="S64" s="51"/>
      <c r="T64" s="68" t="s">
        <v>150</v>
      </c>
      <c r="U64" s="75">
        <f>O69</f>
        <v>5068266.1271594092</v>
      </c>
      <c r="V64" s="51"/>
      <c r="W64" s="68" t="s">
        <v>151</v>
      </c>
      <c r="X64" s="70">
        <f>I68</f>
        <v>126220</v>
      </c>
    </row>
    <row r="65" spans="1:24" ht="15.75">
      <c r="H65" s="39" t="s">
        <v>106</v>
      </c>
      <c r="I65" s="63">
        <f>ONSV_AUX_2021!Z58</f>
        <v>197735</v>
      </c>
      <c r="J65" s="10">
        <f>I65</f>
        <v>197735</v>
      </c>
      <c r="K65" s="11"/>
      <c r="L65" s="11"/>
      <c r="M65" s="11"/>
      <c r="O65" s="76"/>
      <c r="P65" s="79"/>
      <c r="Q65" s="68" t="s">
        <v>135</v>
      </c>
      <c r="R65" s="63">
        <f>J67-R62</f>
        <v>1054037.5759105156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ONSV_AUX_2021!Z59</f>
        <v>2153326</v>
      </c>
      <c r="J66" s="64">
        <f>I66-(L59*I57)</f>
        <v>2151293.0346799018</v>
      </c>
      <c r="K66" s="11"/>
      <c r="L66" s="11"/>
      <c r="M66" s="11"/>
      <c r="N66" s="30" t="s">
        <v>142</v>
      </c>
      <c r="O66" s="63">
        <f>I54</f>
        <v>1831866</v>
      </c>
      <c r="P66" s="79"/>
      <c r="Q66" s="51"/>
      <c r="R66" s="51"/>
      <c r="S66" s="80"/>
      <c r="T66" s="68" t="s">
        <v>141</v>
      </c>
      <c r="U66" s="71">
        <f>R61</f>
        <v>468355.8390147037</v>
      </c>
      <c r="V66" s="51"/>
      <c r="W66" s="68" t="s">
        <v>152</v>
      </c>
      <c r="X66" s="70">
        <f>I69</f>
        <v>5037291</v>
      </c>
    </row>
    <row r="67" spans="1:24" ht="15.75">
      <c r="H67" s="39" t="s">
        <v>108</v>
      </c>
      <c r="I67" s="63">
        <f>ONSV_AUX_2021!Z60</f>
        <v>1348646</v>
      </c>
      <c r="J67" s="64">
        <f>I67-(L60*I57)</f>
        <v>1347372.7368958117</v>
      </c>
      <c r="K67" s="11"/>
      <c r="L67" s="11"/>
      <c r="M67" s="11"/>
      <c r="N67" s="30" t="s">
        <v>145</v>
      </c>
      <c r="O67" s="63">
        <f>I58</f>
        <v>285635</v>
      </c>
      <c r="P67" s="79"/>
      <c r="Q67" s="51"/>
      <c r="R67" s="51"/>
      <c r="S67" s="51"/>
      <c r="T67" s="68" t="s">
        <v>153</v>
      </c>
      <c r="U67" s="71">
        <f>I66-J66</f>
        <v>2032.9653200982139</v>
      </c>
      <c r="V67" s="51"/>
      <c r="W67" s="68" t="s">
        <v>154</v>
      </c>
      <c r="X67" s="70">
        <f>I70</f>
        <v>1040670</v>
      </c>
    </row>
    <row r="68" spans="1:24" ht="15.75">
      <c r="H68" s="39" t="s">
        <v>109</v>
      </c>
      <c r="I68" s="63">
        <f>ONSV_AUX_2021!Z61</f>
        <v>126220</v>
      </c>
      <c r="J68" s="10">
        <f>I68</f>
        <v>126220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12065328.646374654</v>
      </c>
      <c r="P68" s="79"/>
      <c r="Q68" s="51"/>
      <c r="R68" s="81"/>
      <c r="S68" s="51"/>
      <c r="T68" s="68" t="s">
        <v>149</v>
      </c>
      <c r="U68" s="75">
        <f>R64</f>
        <v>1682937.1956651981</v>
      </c>
      <c r="V68" s="51"/>
      <c r="W68" s="51"/>
      <c r="X68" s="51"/>
    </row>
    <row r="69" spans="1:24" ht="15.75">
      <c r="H69" s="39" t="s">
        <v>110</v>
      </c>
      <c r="I69" s="63">
        <f>ONSV_AUX_2021!Z62</f>
        <v>5037291</v>
      </c>
      <c r="J69" s="10">
        <f>I69</f>
        <v>5037291</v>
      </c>
      <c r="K69" s="11"/>
      <c r="L69" s="11"/>
      <c r="M69" s="11"/>
      <c r="N69" s="30" t="s">
        <v>150</v>
      </c>
      <c r="O69" s="63">
        <f>IF((J63-O66-O68-O67)&lt;0,0,(J63-O66-O68-O67))</f>
        <v>5068266.1271594092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ONSV_AUX_2021!Z63</f>
        <v>1040670</v>
      </c>
      <c r="J70" s="10">
        <f>I70</f>
        <v>1040670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30424998.000000004</v>
      </c>
    </row>
    <row r="71" spans="1:24" ht="15.75">
      <c r="H71" s="39" t="s">
        <v>112</v>
      </c>
      <c r="I71" s="63">
        <f>ONSV_AUX_2021!Z64</f>
        <v>169174</v>
      </c>
      <c r="J71" s="10">
        <f>I71</f>
        <v>169174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ONSV_AUX_2021!Z65</f>
        <v>381891</v>
      </c>
      <c r="J72" s="64">
        <f>I72-(L61*I57)</f>
        <v>381530.45489022206</v>
      </c>
      <c r="K72" s="12"/>
      <c r="L72" s="12"/>
      <c r="M72" s="12"/>
      <c r="N72" s="12"/>
      <c r="O72" s="12"/>
      <c r="P72" s="12"/>
      <c r="Q72" s="4"/>
      <c r="R72" s="4"/>
    </row>
    <row r="75" spans="1:24" s="36" customFormat="1" ht="15.75">
      <c r="A75" s="100" t="str">
        <f>"SÃO PAULO/"&amp;ONSV_AUX_2020!$A$1&amp;""</f>
        <v>SÃO PAULO/2020</v>
      </c>
      <c r="B75" s="101"/>
      <c r="C75" s="101"/>
      <c r="D75" s="101"/>
      <c r="E75" s="101"/>
      <c r="F75" s="10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ONSV_AUX_2020!Z27</f>
        <v>1832945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ONSV_AUX_2020!Z28</f>
        <v>11737824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ONSV_AUX_2020!Z29</f>
        <v>1883266</v>
      </c>
      <c r="J81" s="9"/>
      <c r="K81" s="2" t="s">
        <v>122</v>
      </c>
      <c r="L81" s="63">
        <f>I88+I91+I92+I97</f>
        <v>22648608</v>
      </c>
      <c r="N81" s="30" t="s">
        <v>123</v>
      </c>
      <c r="O81" s="63">
        <f>J88+J97</f>
        <v>19253052.90260461</v>
      </c>
      <c r="P81" s="67"/>
      <c r="Q81" s="68" t="s">
        <v>124</v>
      </c>
      <c r="R81" s="63">
        <f>J91+J92</f>
        <v>3382936.0973953893</v>
      </c>
      <c r="S81" s="69"/>
      <c r="T81" s="68" t="s">
        <v>125</v>
      </c>
      <c r="U81" s="70">
        <f>O85</f>
        <v>203823.26550014623</v>
      </c>
      <c r="V81" s="51"/>
      <c r="W81" s="68" t="s">
        <v>126</v>
      </c>
      <c r="X81" s="71">
        <f>R87</f>
        <v>276183.56654382421</v>
      </c>
    </row>
    <row r="82" spans="8:24" ht="15.75">
      <c r="H82" s="38" t="s">
        <v>102</v>
      </c>
      <c r="I82" s="63">
        <f>ONSV_AUX_2020!Z30</f>
        <v>12619</v>
      </c>
      <c r="J82" s="9"/>
      <c r="K82" s="29"/>
      <c r="L82" s="65"/>
      <c r="M82" s="22"/>
      <c r="N82" s="30" t="s">
        <v>127</v>
      </c>
      <c r="O82" s="72">
        <f>J88/O81</f>
        <v>0.98263534489014781</v>
      </c>
      <c r="P82" s="67"/>
      <c r="Q82" s="73" t="s">
        <v>128</v>
      </c>
      <c r="R82" s="66">
        <f>J91/R81</f>
        <v>0.61316606899860615</v>
      </c>
      <c r="S82" s="74"/>
      <c r="T82" s="68" t="s">
        <v>129</v>
      </c>
      <c r="U82" s="70">
        <f>I97-J97</f>
        <v>186.37653453141684</v>
      </c>
      <c r="V82" s="51"/>
      <c r="W82" s="68" t="s">
        <v>130</v>
      </c>
      <c r="X82" s="71">
        <f>I92-J92</f>
        <v>729.53111802716739</v>
      </c>
    </row>
    <row r="83" spans="8:24" ht="15.75">
      <c r="H83" s="38" t="s">
        <v>16</v>
      </c>
      <c r="I83" s="63">
        <f>ONSV_AUX_2020!Z31</f>
        <v>286993</v>
      </c>
      <c r="J83" s="9"/>
      <c r="K83" s="2" t="s">
        <v>131</v>
      </c>
      <c r="L83" s="66">
        <f>I88/L81</f>
        <v>0.83578103343039889</v>
      </c>
      <c r="M83" s="22"/>
      <c r="N83" s="30" t="s">
        <v>132</v>
      </c>
      <c r="O83" s="72">
        <f>J97/O81</f>
        <v>1.7364655109852238E-2</v>
      </c>
      <c r="P83" s="67"/>
      <c r="Q83" s="73" t="s">
        <v>133</v>
      </c>
      <c r="R83" s="66">
        <f>J92/R81</f>
        <v>0.3868339310013939</v>
      </c>
      <c r="S83" s="74"/>
      <c r="T83" s="68" t="s">
        <v>134</v>
      </c>
      <c r="U83" s="75">
        <f>O87</f>
        <v>130499.35796532236</v>
      </c>
      <c r="V83" s="76"/>
      <c r="W83" s="68" t="s">
        <v>135</v>
      </c>
      <c r="X83" s="75">
        <f>R90</f>
        <v>1032450.9023381486</v>
      </c>
    </row>
    <row r="84" spans="8:24" ht="15.75">
      <c r="H84" s="38" t="s">
        <v>94</v>
      </c>
      <c r="I84" s="63">
        <f>ONSV_AUX_2020!Z32</f>
        <v>13838319</v>
      </c>
      <c r="J84" s="10"/>
      <c r="K84" s="2" t="s">
        <v>2</v>
      </c>
      <c r="L84" s="66">
        <f>I91/L81</f>
        <v>9.1637331530485228E-2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5.7812118078073495E-2</v>
      </c>
      <c r="M85" s="22"/>
      <c r="N85" s="30" t="s">
        <v>136</v>
      </c>
      <c r="O85" s="63">
        <f>IF(O83*I80&gt;J97,J97,O83*I80)</f>
        <v>203823.26550014623</v>
      </c>
      <c r="P85" s="79"/>
      <c r="Q85" s="68" t="s">
        <v>137</v>
      </c>
      <c r="R85" s="63">
        <f>I81-I89-I90-I93-I96</f>
        <v>713959</v>
      </c>
      <c r="S85" s="80"/>
      <c r="T85" s="68" t="s">
        <v>138</v>
      </c>
      <c r="U85" s="70">
        <f>O93</f>
        <v>11534000.734499855</v>
      </c>
      <c r="V85" s="79"/>
      <c r="W85" s="68" t="s">
        <v>139</v>
      </c>
      <c r="X85" s="70">
        <f>I89</f>
        <v>692067</v>
      </c>
    </row>
    <row r="86" spans="8:24" ht="15.75">
      <c r="H86" s="26" t="s">
        <v>140</v>
      </c>
      <c r="K86" s="2" t="s">
        <v>0</v>
      </c>
      <c r="L86" s="66">
        <f>I97/L81</f>
        <v>1.4769516961042374E-2</v>
      </c>
      <c r="O86" s="51"/>
      <c r="P86" s="79"/>
      <c r="Q86" s="68" t="s">
        <v>141</v>
      </c>
      <c r="R86" s="63">
        <f>R82*R85</f>
        <v>437775.43345617584</v>
      </c>
      <c r="S86" s="51"/>
      <c r="T86" s="68" t="s">
        <v>142</v>
      </c>
      <c r="U86" s="70">
        <f>O91</f>
        <v>1832945</v>
      </c>
      <c r="V86" s="69"/>
      <c r="W86" s="68" t="s">
        <v>143</v>
      </c>
      <c r="X86" s="70">
        <f>I90</f>
        <v>185891</v>
      </c>
    </row>
    <row r="87" spans="8:24" ht="15.75">
      <c r="K87" s="11"/>
      <c r="L87" s="11"/>
      <c r="M87" s="11"/>
      <c r="N87" s="30" t="s">
        <v>144</v>
      </c>
      <c r="O87" s="63">
        <f>J97-O85</f>
        <v>130499.35796532236</v>
      </c>
      <c r="P87" s="79"/>
      <c r="Q87" s="68" t="s">
        <v>126</v>
      </c>
      <c r="R87" s="63">
        <f>R83*R85</f>
        <v>276183.56654382421</v>
      </c>
      <c r="S87" s="51"/>
      <c r="T87" s="68" t="s">
        <v>145</v>
      </c>
      <c r="U87" s="70">
        <f>O92</f>
        <v>286993</v>
      </c>
      <c r="V87" s="74"/>
      <c r="W87" s="51"/>
      <c r="X87" s="65"/>
    </row>
    <row r="88" spans="8:24" ht="15.75">
      <c r="H88" s="39" t="s">
        <v>104</v>
      </c>
      <c r="I88" s="63">
        <f>ONSV_AUX_2020!Z56</f>
        <v>18929277</v>
      </c>
      <c r="J88" s="64">
        <f>I88-(L83*I82)</f>
        <v>18918730.279139142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10546.720860857517</v>
      </c>
      <c r="V88" s="74"/>
      <c r="W88" s="68" t="s">
        <v>147</v>
      </c>
      <c r="X88" s="70">
        <f>I96</f>
        <v>166097</v>
      </c>
    </row>
    <row r="89" spans="8:24" ht="15.75">
      <c r="H89" s="39" t="s">
        <v>105</v>
      </c>
      <c r="I89" s="63">
        <f>ONSV_AUX_2020!Z57</f>
        <v>692067</v>
      </c>
      <c r="J89" s="10">
        <f>I89</f>
        <v>692067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1636526.1950572408</v>
      </c>
      <c r="S89" s="51"/>
      <c r="T89" s="68" t="s">
        <v>150</v>
      </c>
      <c r="U89" s="75">
        <f>O94</f>
        <v>5264791.5446392875</v>
      </c>
      <c r="V89" s="51"/>
      <c r="W89" s="68" t="s">
        <v>151</v>
      </c>
      <c r="X89" s="70">
        <f>I93</f>
        <v>125252</v>
      </c>
    </row>
    <row r="90" spans="8:24" ht="15.75">
      <c r="H90" s="39" t="s">
        <v>106</v>
      </c>
      <c r="I90" s="63">
        <f>ONSV_AUX_2020!Z58</f>
        <v>185891</v>
      </c>
      <c r="J90" s="10">
        <f>I90</f>
        <v>185891</v>
      </c>
      <c r="K90" s="11"/>
      <c r="L90" s="11"/>
      <c r="M90" s="11"/>
      <c r="O90" s="76"/>
      <c r="P90" s="79"/>
      <c r="Q90" s="68" t="s">
        <v>135</v>
      </c>
      <c r="R90" s="63">
        <f>J92-R87</f>
        <v>1032450.9023381486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ONSV_AUX_2020!Z59</f>
        <v>2075458</v>
      </c>
      <c r="J91" s="64">
        <f>I91-(L84*I82)</f>
        <v>2074301.6285134167</v>
      </c>
      <c r="K91" s="11"/>
      <c r="L91" s="11"/>
      <c r="M91" s="11"/>
      <c r="N91" s="30" t="s">
        <v>142</v>
      </c>
      <c r="O91" s="63">
        <f>I79</f>
        <v>1832945</v>
      </c>
      <c r="P91" s="79"/>
      <c r="Q91" s="51"/>
      <c r="R91" s="51"/>
      <c r="S91" s="80"/>
      <c r="T91" s="68" t="s">
        <v>141</v>
      </c>
      <c r="U91" s="71">
        <f>R86</f>
        <v>437775.43345617584</v>
      </c>
      <c r="V91" s="51"/>
      <c r="W91" s="68" t="s">
        <v>152</v>
      </c>
      <c r="X91" s="70">
        <f>I94</f>
        <v>4869543</v>
      </c>
    </row>
    <row r="92" spans="8:24" ht="15.75">
      <c r="H92" s="39" t="s">
        <v>108</v>
      </c>
      <c r="I92" s="63">
        <f>ONSV_AUX_2020!Z60</f>
        <v>1309364</v>
      </c>
      <c r="J92" s="64">
        <f>I92-(L85*I82)</f>
        <v>1308634.4688819728</v>
      </c>
      <c r="K92" s="11"/>
      <c r="L92" s="11"/>
      <c r="M92" s="11"/>
      <c r="N92" s="30" t="s">
        <v>145</v>
      </c>
      <c r="O92" s="63">
        <f>I83</f>
        <v>286993</v>
      </c>
      <c r="P92" s="79"/>
      <c r="Q92" s="51"/>
      <c r="R92" s="51"/>
      <c r="S92" s="51"/>
      <c r="T92" s="68" t="s">
        <v>153</v>
      </c>
      <c r="U92" s="71">
        <f>I91-J91</f>
        <v>1156.371486583259</v>
      </c>
      <c r="V92" s="51"/>
      <c r="W92" s="68" t="s">
        <v>154</v>
      </c>
      <c r="X92" s="70">
        <f>I95</f>
        <v>979973</v>
      </c>
    </row>
    <row r="93" spans="8:24" ht="15.75">
      <c r="H93" s="39" t="s">
        <v>109</v>
      </c>
      <c r="I93" s="63">
        <f>ONSV_AUX_2020!Z61</f>
        <v>125252</v>
      </c>
      <c r="J93" s="10">
        <f>I93</f>
        <v>125252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11534000.734499855</v>
      </c>
      <c r="P93" s="79"/>
      <c r="Q93" s="51"/>
      <c r="R93" s="81"/>
      <c r="S93" s="51"/>
      <c r="T93" s="68" t="s">
        <v>149</v>
      </c>
      <c r="U93" s="75">
        <f>R89</f>
        <v>1636526.1950572408</v>
      </c>
      <c r="V93" s="51"/>
      <c r="W93" s="51"/>
      <c r="X93" s="51"/>
    </row>
    <row r="94" spans="8:24" ht="15.75">
      <c r="H94" s="39" t="s">
        <v>110</v>
      </c>
      <c r="I94" s="63">
        <f>ONSV_AUX_2020!Z62</f>
        <v>4869543</v>
      </c>
      <c r="J94" s="10">
        <f>I94</f>
        <v>4869543</v>
      </c>
      <c r="K94" s="11"/>
      <c r="L94" s="11"/>
      <c r="M94" s="11"/>
      <c r="N94" s="30" t="s">
        <v>150</v>
      </c>
      <c r="O94" s="63">
        <f>IF((J88-O91-O93-O92)&lt;0,0,(J88-O91-O93-O92))</f>
        <v>5264791.5446392875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ONSV_AUX_2020!Z63</f>
        <v>979973</v>
      </c>
      <c r="J95" s="10">
        <f>I95</f>
        <v>979973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29667430.999999996</v>
      </c>
    </row>
    <row r="96" spans="8:24" ht="15.75">
      <c r="H96" s="39" t="s">
        <v>112</v>
      </c>
      <c r="I96" s="63">
        <f>ONSV_AUX_2020!Z64</f>
        <v>166097</v>
      </c>
      <c r="J96" s="10">
        <f>I96</f>
        <v>166097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ONSV_AUX_2020!Z65</f>
        <v>334509</v>
      </c>
      <c r="J97" s="64">
        <f>I97-(L86*I82)</f>
        <v>334322.62346546858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6" customFormat="1" ht="15.75">
      <c r="A100" s="100" t="str">
        <f>"SÃO PAULO/"&amp;ONSV_AUX_2019!$A$1&amp;""</f>
        <v>SÃO PAULO/2019</v>
      </c>
      <c r="B100" s="101"/>
      <c r="C100" s="101"/>
      <c r="D100" s="101"/>
      <c r="E100" s="101"/>
      <c r="F100" s="101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ONSV_AUX_2019!Z27</f>
        <v>1833703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ONSV_AUX_2019!Z28</f>
        <v>11161625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ONSV_AUX_2019!Z29</f>
        <v>1822593</v>
      </c>
      <c r="J106" s="9"/>
      <c r="K106" s="2" t="s">
        <v>122</v>
      </c>
      <c r="L106" s="63">
        <f>I113+I116+I117+I122</f>
        <v>22111971</v>
      </c>
      <c r="N106" s="30" t="s">
        <v>123</v>
      </c>
      <c r="O106" s="63">
        <f>J113+J122</f>
        <v>18833710.268391404</v>
      </c>
      <c r="P106" s="67"/>
      <c r="Q106" s="68" t="s">
        <v>124</v>
      </c>
      <c r="R106" s="63">
        <f>J116+J117</f>
        <v>3271860.7316085934</v>
      </c>
      <c r="S106" s="69"/>
      <c r="T106" s="68" t="s">
        <v>125</v>
      </c>
      <c r="U106" s="70">
        <f>O110</f>
        <v>179904.47635598251</v>
      </c>
      <c r="V106" s="51"/>
      <c r="W106" s="68" t="s">
        <v>126</v>
      </c>
      <c r="X106" s="71">
        <f>R112</f>
        <v>260671.87916431393</v>
      </c>
    </row>
    <row r="107" spans="1:24" ht="15.75">
      <c r="H107" s="38" t="s">
        <v>102</v>
      </c>
      <c r="I107" s="63">
        <f>ONSV_AUX_2019!Z30</f>
        <v>6400</v>
      </c>
      <c r="J107" s="9"/>
      <c r="K107" s="29"/>
      <c r="L107" s="65"/>
      <c r="M107" s="22"/>
      <c r="N107" s="30" t="s">
        <v>127</v>
      </c>
      <c r="O107" s="72">
        <f>J113/O106</f>
        <v>0.98388187415757278</v>
      </c>
      <c r="P107" s="67"/>
      <c r="Q107" s="73" t="s">
        <v>128</v>
      </c>
      <c r="R107" s="66">
        <f>J116/R106</f>
        <v>0.61358930924148314</v>
      </c>
      <c r="S107" s="74"/>
      <c r="T107" s="68" t="s">
        <v>129</v>
      </c>
      <c r="U107" s="70">
        <f>I122-J122</f>
        <v>87.887814252288081</v>
      </c>
      <c r="V107" s="51"/>
      <c r="W107" s="68" t="s">
        <v>130</v>
      </c>
      <c r="X107" s="71">
        <f>I117-J117</f>
        <v>366.03463345719501</v>
      </c>
    </row>
    <row r="108" spans="1:24" ht="15.75">
      <c r="H108" s="38" t="s">
        <v>16</v>
      </c>
      <c r="I108" s="63">
        <f>ONSV_AUX_2019!Z31</f>
        <v>285906</v>
      </c>
      <c r="J108" s="9"/>
      <c r="K108" s="2" t="s">
        <v>131</v>
      </c>
      <c r="L108" s="66">
        <f>I113/L106</f>
        <v>0.83825684286579427</v>
      </c>
      <c r="M108" s="22"/>
      <c r="N108" s="30" t="s">
        <v>132</v>
      </c>
      <c r="O108" s="72">
        <f>J122/O106</f>
        <v>1.6118125842427292E-2</v>
      </c>
      <c r="P108" s="67"/>
      <c r="Q108" s="73" t="s">
        <v>133</v>
      </c>
      <c r="R108" s="66">
        <f>J117/R106</f>
        <v>0.38641069075851681</v>
      </c>
      <c r="S108" s="74"/>
      <c r="T108" s="68" t="s">
        <v>134</v>
      </c>
      <c r="U108" s="75">
        <f>O112</f>
        <v>123659.6358297652</v>
      </c>
      <c r="V108" s="76"/>
      <c r="W108" s="68" t="s">
        <v>135</v>
      </c>
      <c r="X108" s="75">
        <f>R115</f>
        <v>1003610.0862022289</v>
      </c>
    </row>
    <row r="109" spans="1:24" ht="15.75">
      <c r="H109" s="38" t="s">
        <v>94</v>
      </c>
      <c r="I109" s="63">
        <f>ONSV_AUX_2019!Z32</f>
        <v>13744517</v>
      </c>
      <c r="J109" s="10"/>
      <c r="K109" s="2" t="s">
        <v>2</v>
      </c>
      <c r="L109" s="66">
        <f>I116/L106</f>
        <v>9.0817774679606805E-2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5.7192911477678764E-2</v>
      </c>
      <c r="M110" s="22"/>
      <c r="N110" s="30" t="s">
        <v>136</v>
      </c>
      <c r="O110" s="63">
        <f>IF(O108*I105&gt;J122,J122,O108*I105)</f>
        <v>179904.47635598251</v>
      </c>
      <c r="P110" s="79"/>
      <c r="Q110" s="68" t="s">
        <v>137</v>
      </c>
      <c r="R110" s="63">
        <f>I106-I114-I115-I118-I121</f>
        <v>674598</v>
      </c>
      <c r="S110" s="80"/>
      <c r="T110" s="68" t="s">
        <v>138</v>
      </c>
      <c r="U110" s="70">
        <f>O118</f>
        <v>10981720.523644019</v>
      </c>
      <c r="V110" s="79"/>
      <c r="W110" s="68" t="s">
        <v>139</v>
      </c>
      <c r="X110" s="70">
        <f>I114</f>
        <v>685451</v>
      </c>
    </row>
    <row r="111" spans="1:24" ht="15.75">
      <c r="H111" s="26" t="s">
        <v>140</v>
      </c>
      <c r="K111" s="2" t="s">
        <v>0</v>
      </c>
      <c r="L111" s="66">
        <f>I122/L106</f>
        <v>1.3732470976920149E-2</v>
      </c>
      <c r="O111" s="51"/>
      <c r="P111" s="79"/>
      <c r="Q111" s="68" t="s">
        <v>141</v>
      </c>
      <c r="R111" s="63">
        <f>R107*R110</f>
        <v>413926.12083568604</v>
      </c>
      <c r="S111" s="51"/>
      <c r="T111" s="68" t="s">
        <v>142</v>
      </c>
      <c r="U111" s="70">
        <f>O116</f>
        <v>1833703</v>
      </c>
      <c r="V111" s="69"/>
      <c r="W111" s="68" t="s">
        <v>143</v>
      </c>
      <c r="X111" s="70">
        <f>I115</f>
        <v>177492</v>
      </c>
    </row>
    <row r="112" spans="1:24" ht="15.75">
      <c r="K112" s="11"/>
      <c r="L112" s="11"/>
      <c r="M112" s="11"/>
      <c r="N112" s="30" t="s">
        <v>144</v>
      </c>
      <c r="O112" s="63">
        <f>J122-O110</f>
        <v>123659.6358297652</v>
      </c>
      <c r="P112" s="79"/>
      <c r="Q112" s="68" t="s">
        <v>126</v>
      </c>
      <c r="R112" s="63">
        <f>R108*R110</f>
        <v>260671.87916431393</v>
      </c>
      <c r="S112" s="51"/>
      <c r="T112" s="68" t="s">
        <v>145</v>
      </c>
      <c r="U112" s="70">
        <f>O117</f>
        <v>285906</v>
      </c>
      <c r="V112" s="74"/>
      <c r="W112" s="51"/>
      <c r="X112" s="65"/>
    </row>
    <row r="113" spans="8:24" ht="15.75">
      <c r="H113" s="39" t="s">
        <v>104</v>
      </c>
      <c r="I113" s="63">
        <f>ONSV_AUX_2019!Z56</f>
        <v>18535511</v>
      </c>
      <c r="J113" s="64">
        <f>I113-(L108*I107)</f>
        <v>18530146.156205658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5364.8437943421304</v>
      </c>
      <c r="V113" s="74"/>
      <c r="W113" s="68" t="s">
        <v>147</v>
      </c>
      <c r="X113" s="70">
        <f>I121</f>
        <v>162061</v>
      </c>
    </row>
    <row r="114" spans="8:24" ht="15.75">
      <c r="H114" s="39" t="s">
        <v>105</v>
      </c>
      <c r="I114" s="63">
        <f>ONSV_AUX_2019!Z57</f>
        <v>685451</v>
      </c>
      <c r="J114" s="10">
        <f>I114</f>
        <v>685451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1593652.6454063645</v>
      </c>
      <c r="S114" s="51"/>
      <c r="T114" s="68" t="s">
        <v>150</v>
      </c>
      <c r="U114" s="75">
        <f>O119</f>
        <v>5428816.632561639</v>
      </c>
      <c r="V114" s="51"/>
      <c r="W114" s="68" t="s">
        <v>151</v>
      </c>
      <c r="X114" s="70">
        <f>I118</f>
        <v>122991</v>
      </c>
    </row>
    <row r="115" spans="8:24" ht="15.75">
      <c r="H115" s="39" t="s">
        <v>106</v>
      </c>
      <c r="I115" s="63">
        <f>ONSV_AUX_2019!Z58</f>
        <v>177492</v>
      </c>
      <c r="J115" s="10">
        <f>I115</f>
        <v>177492</v>
      </c>
      <c r="K115" s="11"/>
      <c r="L115" s="11"/>
      <c r="M115" s="11"/>
      <c r="O115" s="76"/>
      <c r="P115" s="79"/>
      <c r="Q115" s="68" t="s">
        <v>135</v>
      </c>
      <c r="R115" s="63">
        <f>J117-R112</f>
        <v>1003610.0862022289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ONSV_AUX_2019!Z59</f>
        <v>2008160</v>
      </c>
      <c r="J116" s="64">
        <f>I116-(L109*I107)</f>
        <v>2007578.7662420506</v>
      </c>
      <c r="K116" s="11"/>
      <c r="L116" s="11"/>
      <c r="M116" s="11"/>
      <c r="N116" s="30" t="s">
        <v>142</v>
      </c>
      <c r="O116" s="63">
        <f>I104</f>
        <v>1833703</v>
      </c>
      <c r="P116" s="79"/>
      <c r="Q116" s="51"/>
      <c r="R116" s="51"/>
      <c r="S116" s="80"/>
      <c r="T116" s="68" t="s">
        <v>141</v>
      </c>
      <c r="U116" s="71">
        <f>R111</f>
        <v>413926.12083568604</v>
      </c>
      <c r="V116" s="51"/>
      <c r="W116" s="68" t="s">
        <v>152</v>
      </c>
      <c r="X116" s="70">
        <f>I119</f>
        <v>4730424</v>
      </c>
    </row>
    <row r="117" spans="8:24" ht="15.75">
      <c r="H117" s="39" t="s">
        <v>108</v>
      </c>
      <c r="I117" s="63">
        <f>ONSV_AUX_2019!Z60</f>
        <v>1264648</v>
      </c>
      <c r="J117" s="64">
        <f>I117-(L110*I107)</f>
        <v>1264281.9653665428</v>
      </c>
      <c r="K117" s="11"/>
      <c r="L117" s="11"/>
      <c r="M117" s="11"/>
      <c r="N117" s="30" t="s">
        <v>145</v>
      </c>
      <c r="O117" s="63">
        <f>I108</f>
        <v>285906</v>
      </c>
      <c r="P117" s="79"/>
      <c r="Q117" s="51"/>
      <c r="R117" s="51"/>
      <c r="S117" s="51"/>
      <c r="T117" s="68" t="s">
        <v>153</v>
      </c>
      <c r="U117" s="71">
        <f>I116-J116</f>
        <v>581.23375794943422</v>
      </c>
      <c r="V117" s="51"/>
      <c r="W117" s="68" t="s">
        <v>154</v>
      </c>
      <c r="X117" s="70">
        <f>I120</f>
        <v>937359</v>
      </c>
    </row>
    <row r="118" spans="8:24" ht="15.75">
      <c r="H118" s="39" t="s">
        <v>109</v>
      </c>
      <c r="I118" s="63">
        <f>ONSV_AUX_2019!Z61</f>
        <v>122991</v>
      </c>
      <c r="J118" s="10">
        <f>I118</f>
        <v>122991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10981720.523644019</v>
      </c>
      <c r="P118" s="79"/>
      <c r="Q118" s="51"/>
      <c r="R118" s="81"/>
      <c r="S118" s="51"/>
      <c r="T118" s="68" t="s">
        <v>149</v>
      </c>
      <c r="U118" s="75">
        <f>R114</f>
        <v>1593652.6454063645</v>
      </c>
      <c r="V118" s="51"/>
      <c r="W118" s="51"/>
      <c r="X118" s="51"/>
    </row>
    <row r="119" spans="8:24" ht="15.75">
      <c r="H119" s="39" t="s">
        <v>110</v>
      </c>
      <c r="I119" s="63">
        <f>ONSV_AUX_2019!Z62</f>
        <v>4730424</v>
      </c>
      <c r="J119" s="10">
        <f>I119</f>
        <v>4730424</v>
      </c>
      <c r="K119" s="11"/>
      <c r="L119" s="11"/>
      <c r="M119" s="11"/>
      <c r="N119" s="30" t="s">
        <v>150</v>
      </c>
      <c r="O119" s="63">
        <f>IF((J113-O116-O118-O117)&lt;0,0,(J113-O116-O118-O117))</f>
        <v>5428816.632561639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ONSV_AUX_2019!Z63</f>
        <v>937359</v>
      </c>
      <c r="J120" s="10">
        <f>I120</f>
        <v>937359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28927749.000000004</v>
      </c>
    </row>
    <row r="121" spans="8:24" ht="15.75">
      <c r="H121" s="39" t="s">
        <v>112</v>
      </c>
      <c r="I121" s="63">
        <f>ONSV_AUX_2019!Z64</f>
        <v>162061</v>
      </c>
      <c r="J121" s="10">
        <f>I121</f>
        <v>162061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ONSV_AUX_2019!Z65</f>
        <v>303652</v>
      </c>
      <c r="J122" s="64">
        <f>I122-(L111*I107)</f>
        <v>303564.11218574771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9" tint="0.39997558519241921"/>
  </sheetPr>
  <dimension ref="A1:X122"/>
  <sheetViews>
    <sheetView showGridLines="0" topLeftCell="A88" zoomScale="90" zoomScaleNormal="90" workbookViewId="0">
      <selection activeCell="A76" sqref="A76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3" customFormat="1" ht="15.75">
      <c r="A1" s="100" t="str">
        <f>"SERGIPE/"&amp;ONSV_AUX_2023!$A$1&amp;""</f>
        <v>SERGIPE/2023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ONSV_AUX_2023!AA27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ONSV_AUX_2023!AA28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ONSV_AUX_2023!AA29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ONSV_AUX_2023!AA30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ONSV_AUX_2023!AA31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ONSV_AUX_2023!AA32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ONSV_AUX_2023!AA56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ONSV_AUX_2023!AA57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ONSV_AUX_2023!AA58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ONSV_AUX_2023!AA59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ONSV_AUX_2023!AA60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ONSV_AUX_2023!AA61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ONSV_AUX_2023!AA62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ONSV_AUX_2023!AA63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ONSV_AUX_2023!AA64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ONSV_AUX_2023!AA65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7" customFormat="1" ht="15.75">
      <c r="A25" s="100" t="str">
        <f>"SERGIPE/"&amp;ONSV_AUX_2022!$A$1&amp;""</f>
        <v>SERGIPE/2022</v>
      </c>
      <c r="B25" s="101"/>
      <c r="C25" s="101"/>
      <c r="D25" s="101"/>
      <c r="E25" s="101"/>
      <c r="F25" s="10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5.75">
      <c r="A26" s="1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ONSV_AUX_2022!AA27</f>
        <v>18556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ONSV_AUX_2022!AA28</f>
        <v>377753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ONSV_AUX_2022!AA29</f>
        <v>63211</v>
      </c>
      <c r="J31" s="9"/>
      <c r="K31" s="2" t="s">
        <v>122</v>
      </c>
      <c r="L31" s="63">
        <f>I38+I41+I42+I47</f>
        <v>442477</v>
      </c>
      <c r="N31" s="30" t="s">
        <v>123</v>
      </c>
      <c r="O31" s="63">
        <f>J38+J47</f>
        <v>371418.64143899007</v>
      </c>
      <c r="P31" s="67"/>
      <c r="Q31" s="68" t="s">
        <v>124</v>
      </c>
      <c r="R31" s="63">
        <f>J41+J42</f>
        <v>70357.358561009954</v>
      </c>
      <c r="S31" s="69"/>
      <c r="T31" s="68" t="s">
        <v>125</v>
      </c>
      <c r="U31" s="70">
        <f>O35</f>
        <v>7732.7298820051665</v>
      </c>
      <c r="V31" s="51"/>
      <c r="W31" s="68" t="s">
        <v>126</v>
      </c>
      <c r="X31" s="71">
        <f>R37</f>
        <v>7054.4972966836476</v>
      </c>
    </row>
    <row r="32" spans="1:24" ht="15.75">
      <c r="H32" s="38" t="s">
        <v>102</v>
      </c>
      <c r="I32" s="63">
        <f>ONSV_AUX_2022!AA30</f>
        <v>701</v>
      </c>
      <c r="J32" s="9"/>
      <c r="K32" s="29"/>
      <c r="L32" s="65"/>
      <c r="M32" s="22"/>
      <c r="N32" s="30" t="s">
        <v>127</v>
      </c>
      <c r="O32" s="72">
        <f>J38/O31</f>
        <v>0.97918055525687608</v>
      </c>
      <c r="P32" s="67"/>
      <c r="Q32" s="73" t="s">
        <v>128</v>
      </c>
      <c r="R32" s="66">
        <f>J41/R31</f>
        <v>0.72155132043877446</v>
      </c>
      <c r="S32" s="74"/>
      <c r="T32" s="68" t="s">
        <v>129</v>
      </c>
      <c r="U32" s="70">
        <f>I47-J47</f>
        <v>12.270117994833527</v>
      </c>
      <c r="V32" s="51"/>
      <c r="W32" s="68" t="s">
        <v>130</v>
      </c>
      <c r="X32" s="71">
        <f>I42-J42</f>
        <v>31.08641127109513</v>
      </c>
    </row>
    <row r="33" spans="8:24" ht="15.75">
      <c r="H33" s="38" t="s">
        <v>16</v>
      </c>
      <c r="I33" s="63">
        <f>ONSV_AUX_2022!AA31</f>
        <v>22051</v>
      </c>
      <c r="J33" s="9"/>
      <c r="K33" s="2" t="s">
        <v>131</v>
      </c>
      <c r="L33" s="66">
        <f>I38/L31</f>
        <v>0.82323601000729985</v>
      </c>
      <c r="M33" s="22"/>
      <c r="N33" s="30" t="s">
        <v>132</v>
      </c>
      <c r="O33" s="72">
        <f>J47/O31</f>
        <v>2.0819444743123802E-2</v>
      </c>
      <c r="P33" s="67"/>
      <c r="Q33" s="73" t="s">
        <v>133</v>
      </c>
      <c r="R33" s="66">
        <f>J42/R31</f>
        <v>0.27844867956122549</v>
      </c>
      <c r="S33" s="74"/>
      <c r="T33" s="68" t="s">
        <v>134</v>
      </c>
      <c r="U33" s="75">
        <f>O37</f>
        <v>0</v>
      </c>
      <c r="V33" s="76"/>
      <c r="W33" s="68" t="s">
        <v>135</v>
      </c>
      <c r="X33" s="75">
        <f>R40</f>
        <v>12536.416292045258</v>
      </c>
    </row>
    <row r="34" spans="8:24" ht="15.75">
      <c r="H34" s="38" t="s">
        <v>94</v>
      </c>
      <c r="I34" s="63">
        <f>ONSV_AUX_2022!AA32</f>
        <v>376141</v>
      </c>
      <c r="J34" s="10"/>
      <c r="K34" s="2" t="s">
        <v>2</v>
      </c>
      <c r="L34" s="66">
        <f>I41/L31</f>
        <v>0.11491444753060612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4.4345807804699454E-2</v>
      </c>
      <c r="M35" s="22"/>
      <c r="N35" s="30" t="s">
        <v>136</v>
      </c>
      <c r="O35" s="63">
        <f>IF(O33*I30&gt;J47,J47,O33*I30)</f>
        <v>7732.7298820051665</v>
      </c>
      <c r="P35" s="79"/>
      <c r="Q35" s="68" t="s">
        <v>137</v>
      </c>
      <c r="R35" s="63">
        <f>I31-I39-I40-I43-I46</f>
        <v>25335</v>
      </c>
      <c r="S35" s="80"/>
      <c r="T35" s="68" t="s">
        <v>138</v>
      </c>
      <c r="U35" s="70">
        <f>O43</f>
        <v>323078.91155698488</v>
      </c>
      <c r="V35" s="79"/>
      <c r="W35" s="68" t="s">
        <v>139</v>
      </c>
      <c r="X35" s="70">
        <f>I39</f>
        <v>23063</v>
      </c>
    </row>
    <row r="36" spans="8:24" ht="15.75">
      <c r="H36" s="26" t="s">
        <v>140</v>
      </c>
      <c r="K36" s="2" t="s">
        <v>0</v>
      </c>
      <c r="L36" s="66">
        <f>I47/L31</f>
        <v>1.7503734657394621E-2</v>
      </c>
      <c r="O36" s="51"/>
      <c r="P36" s="79"/>
      <c r="Q36" s="68" t="s">
        <v>141</v>
      </c>
      <c r="R36" s="63">
        <f>R32*R35</f>
        <v>18280.50270331635</v>
      </c>
      <c r="S36" s="51"/>
      <c r="T36" s="68" t="s">
        <v>142</v>
      </c>
      <c r="U36" s="70">
        <f>O41</f>
        <v>18556</v>
      </c>
      <c r="V36" s="69"/>
      <c r="W36" s="68" t="s">
        <v>143</v>
      </c>
      <c r="X36" s="70">
        <f>I40</f>
        <v>3082</v>
      </c>
    </row>
    <row r="37" spans="8:24" ht="15.75">
      <c r="K37" s="11"/>
      <c r="L37" s="11"/>
      <c r="M37" s="11"/>
      <c r="N37" s="30" t="s">
        <v>144</v>
      </c>
      <c r="O37" s="63">
        <f>J47-O35</f>
        <v>0</v>
      </c>
      <c r="P37" s="79"/>
      <c r="Q37" s="68" t="s">
        <v>126</v>
      </c>
      <c r="R37" s="63">
        <f>R33*R35</f>
        <v>7054.4972966836476</v>
      </c>
      <c r="S37" s="51"/>
      <c r="T37" s="68" t="s">
        <v>145</v>
      </c>
      <c r="U37" s="70">
        <f>O42</f>
        <v>22051</v>
      </c>
      <c r="V37" s="74"/>
      <c r="W37" s="51"/>
      <c r="X37" s="65"/>
    </row>
    <row r="38" spans="8:24" ht="15.75">
      <c r="H38" s="39" t="s">
        <v>104</v>
      </c>
      <c r="I38" s="63">
        <f>ONSV_AUX_2022!AA56</f>
        <v>364263</v>
      </c>
      <c r="J38" s="64">
        <f>I38-(L33*I32)</f>
        <v>363685.91155698488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577.08844301511999</v>
      </c>
      <c r="V38" s="74"/>
      <c r="W38" s="68" t="s">
        <v>147</v>
      </c>
      <c r="X38" s="70">
        <f>I46</f>
        <v>8126</v>
      </c>
    </row>
    <row r="39" spans="8:24" ht="15.75">
      <c r="H39" s="39" t="s">
        <v>105</v>
      </c>
      <c r="I39" s="63">
        <f>ONSV_AUX_2022!AA57</f>
        <v>23063</v>
      </c>
      <c r="J39" s="10">
        <f>I39</f>
        <v>23063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32485.942268964696</v>
      </c>
      <c r="S39" s="51"/>
      <c r="T39" s="68" t="s">
        <v>150</v>
      </c>
      <c r="U39" s="75">
        <f>O44</f>
        <v>0</v>
      </c>
      <c r="V39" s="51"/>
      <c r="W39" s="68" t="s">
        <v>151</v>
      </c>
      <c r="X39" s="70">
        <f>I43</f>
        <v>3605</v>
      </c>
    </row>
    <row r="40" spans="8:24" ht="15.75">
      <c r="H40" s="39" t="s">
        <v>106</v>
      </c>
      <c r="I40" s="63">
        <f>ONSV_AUX_2022!AA58</f>
        <v>3082</v>
      </c>
      <c r="J40" s="10">
        <f>I40</f>
        <v>3082</v>
      </c>
      <c r="K40" s="11"/>
      <c r="L40" s="11"/>
      <c r="M40" s="11"/>
      <c r="O40" s="76"/>
      <c r="P40" s="79"/>
      <c r="Q40" s="68" t="s">
        <v>135</v>
      </c>
      <c r="R40" s="63">
        <f>J42-R37</f>
        <v>12536.416292045258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ONSV_AUX_2022!AA59</f>
        <v>50847</v>
      </c>
      <c r="J41" s="64">
        <f>I41-(L34*I32)</f>
        <v>50766.444972281046</v>
      </c>
      <c r="K41" s="11"/>
      <c r="L41" s="11"/>
      <c r="M41" s="11"/>
      <c r="N41" s="30" t="s">
        <v>142</v>
      </c>
      <c r="O41" s="63">
        <f>I29</f>
        <v>18556</v>
      </c>
      <c r="P41" s="79"/>
      <c r="Q41" s="51"/>
      <c r="R41" s="51"/>
      <c r="S41" s="80"/>
      <c r="T41" s="68" t="s">
        <v>141</v>
      </c>
      <c r="U41" s="71">
        <f>R36</f>
        <v>18280.50270331635</v>
      </c>
      <c r="V41" s="51"/>
      <c r="W41" s="68" t="s">
        <v>152</v>
      </c>
      <c r="X41" s="70">
        <f>I44</f>
        <v>293869</v>
      </c>
    </row>
    <row r="42" spans="8:24" ht="15.75">
      <c r="H42" s="39" t="s">
        <v>108</v>
      </c>
      <c r="I42" s="63">
        <f>ONSV_AUX_2022!AA60</f>
        <v>19622</v>
      </c>
      <c r="J42" s="64">
        <f>I42-(L35*I32)</f>
        <v>19590.913588728905</v>
      </c>
      <c r="K42" s="11"/>
      <c r="L42" s="11"/>
      <c r="M42" s="11"/>
      <c r="N42" s="30" t="s">
        <v>145</v>
      </c>
      <c r="O42" s="63">
        <f>I33</f>
        <v>22051</v>
      </c>
      <c r="P42" s="79"/>
      <c r="Q42" s="51"/>
      <c r="R42" s="51"/>
      <c r="S42" s="51"/>
      <c r="T42" s="68" t="s">
        <v>153</v>
      </c>
      <c r="U42" s="71">
        <f>I41-J41</f>
        <v>80.555027718954079</v>
      </c>
      <c r="V42" s="51"/>
      <c r="W42" s="68" t="s">
        <v>154</v>
      </c>
      <c r="X42" s="70">
        <f>I45</f>
        <v>56546</v>
      </c>
    </row>
    <row r="43" spans="8:24" ht="15.75">
      <c r="H43" s="39" t="s">
        <v>109</v>
      </c>
      <c r="I43" s="63">
        <f>ONSV_AUX_2022!AA61</f>
        <v>3605</v>
      </c>
      <c r="J43" s="10">
        <f>I43</f>
        <v>3605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323078.91155698488</v>
      </c>
      <c r="P43" s="79"/>
      <c r="Q43" s="51"/>
      <c r="R43" s="81"/>
      <c r="S43" s="51"/>
      <c r="T43" s="68" t="s">
        <v>149</v>
      </c>
      <c r="U43" s="75">
        <f>R39</f>
        <v>32485.942268964696</v>
      </c>
      <c r="V43" s="51"/>
      <c r="W43" s="51"/>
      <c r="X43" s="51"/>
    </row>
    <row r="44" spans="8:24" ht="15.75">
      <c r="H44" s="39" t="s">
        <v>110</v>
      </c>
      <c r="I44" s="63">
        <f>ONSV_AUX_2022!AA62</f>
        <v>293869</v>
      </c>
      <c r="J44" s="10">
        <f>I44</f>
        <v>293869</v>
      </c>
      <c r="K44" s="11"/>
      <c r="L44" s="11"/>
      <c r="M44" s="11"/>
      <c r="N44" s="30" t="s">
        <v>150</v>
      </c>
      <c r="O44" s="63">
        <f>IF((J38-O41-O43-O42)&lt;0,0,(J38-O41-O43-O42))</f>
        <v>0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ONSV_AUX_2022!AA63</f>
        <v>56546</v>
      </c>
      <c r="J45" s="10">
        <f>I45</f>
        <v>56546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830768</v>
      </c>
    </row>
    <row r="46" spans="8:24" ht="15.75">
      <c r="H46" s="39" t="s">
        <v>112</v>
      </c>
      <c r="I46" s="63">
        <f>ONSV_AUX_2022!AA64</f>
        <v>8126</v>
      </c>
      <c r="J46" s="10">
        <f>I46</f>
        <v>8126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ONSV_AUX_2022!AA65</f>
        <v>7745</v>
      </c>
      <c r="J47" s="64">
        <f>I47-(L36*I32)</f>
        <v>7732.7298820051665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7" customFormat="1" ht="15.75">
      <c r="A50" s="100" t="str">
        <f>"SERGIPE/"&amp;ONSV_AUX_2021!$A$1&amp;""</f>
        <v>SERGIPE/2021</v>
      </c>
      <c r="B50" s="101"/>
      <c r="C50" s="101"/>
      <c r="D50" s="101"/>
      <c r="E50" s="101"/>
      <c r="F50" s="101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ONSV_AUX_2021!AA27</f>
        <v>18537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ONSV_AUX_2021!AA28</f>
        <v>357377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ONSV_AUX_2021!AA29</f>
        <v>61131</v>
      </c>
      <c r="J56" s="9"/>
      <c r="K56" s="2" t="s">
        <v>122</v>
      </c>
      <c r="L56" s="63">
        <f>I63+I66+I67+I72</f>
        <v>431621</v>
      </c>
      <c r="N56" s="30" t="s">
        <v>123</v>
      </c>
      <c r="O56" s="63">
        <f>J63+J72</f>
        <v>363642.72211036994</v>
      </c>
      <c r="P56" s="67"/>
      <c r="Q56" s="68" t="s">
        <v>124</v>
      </c>
      <c r="R56" s="63">
        <f>J66+J67</f>
        <v>67597.27788963003</v>
      </c>
      <c r="S56" s="69"/>
      <c r="T56" s="68" t="s">
        <v>125</v>
      </c>
      <c r="U56" s="70">
        <f>O60</f>
        <v>6602.309426206989</v>
      </c>
      <c r="V56" s="51"/>
      <c r="W56" s="68" t="s">
        <v>126</v>
      </c>
      <c r="X56" s="71">
        <f>R62</f>
        <v>6654.9768390558247</v>
      </c>
    </row>
    <row r="57" spans="1:24" ht="15.75">
      <c r="H57" s="38" t="s">
        <v>102</v>
      </c>
      <c r="I57" s="63">
        <f>ONSV_AUX_2021!AA30</f>
        <v>381</v>
      </c>
      <c r="J57" s="9"/>
      <c r="K57" s="29"/>
      <c r="L57" s="65"/>
      <c r="M57" s="22"/>
      <c r="N57" s="30" t="s">
        <v>127</v>
      </c>
      <c r="O57" s="72">
        <f>J63/O56</f>
        <v>0.98152564539350051</v>
      </c>
      <c r="P57" s="67"/>
      <c r="Q57" s="73" t="s">
        <v>128</v>
      </c>
      <c r="R57" s="66">
        <f>J66/R56</f>
        <v>0.72366495706283163</v>
      </c>
      <c r="S57" s="74"/>
      <c r="T57" s="68" t="s">
        <v>129</v>
      </c>
      <c r="U57" s="70">
        <f>I72-J72</f>
        <v>5.9354016602528645</v>
      </c>
      <c r="V57" s="51"/>
      <c r="W57" s="68" t="s">
        <v>130</v>
      </c>
      <c r="X57" s="71">
        <f>I67-J67</f>
        <v>16.503311933385703</v>
      </c>
    </row>
    <row r="58" spans="1:24" ht="15.75">
      <c r="H58" s="38" t="s">
        <v>16</v>
      </c>
      <c r="I58" s="63">
        <f>ONSV_AUX_2021!AA31</f>
        <v>21641</v>
      </c>
      <c r="J58" s="9"/>
      <c r="K58" s="2" t="s">
        <v>131</v>
      </c>
      <c r="L58" s="66">
        <f>I63/L56</f>
        <v>0.82767057209913331</v>
      </c>
      <c r="M58" s="22"/>
      <c r="N58" s="30" t="s">
        <v>132</v>
      </c>
      <c r="O58" s="72">
        <f>J72/O56</f>
        <v>1.8474354606499547E-2</v>
      </c>
      <c r="P58" s="67"/>
      <c r="Q58" s="73" t="s">
        <v>133</v>
      </c>
      <c r="R58" s="66">
        <f>J67/R56</f>
        <v>0.27633504293716832</v>
      </c>
      <c r="S58" s="74"/>
      <c r="T58" s="68" t="s">
        <v>134</v>
      </c>
      <c r="U58" s="75">
        <f>O62</f>
        <v>115.75517213275816</v>
      </c>
      <c r="V58" s="76"/>
      <c r="W58" s="68" t="s">
        <v>135</v>
      </c>
      <c r="X58" s="75">
        <f>R65</f>
        <v>12024.51984901079</v>
      </c>
    </row>
    <row r="59" spans="1:24" ht="15.75">
      <c r="H59" s="38" t="s">
        <v>94</v>
      </c>
      <c r="I59" s="63">
        <f>ONSV_AUX_2021!AA32</f>
        <v>366860</v>
      </c>
      <c r="J59" s="10"/>
      <c r="K59" s="2" t="s">
        <v>2</v>
      </c>
      <c r="L59" s="66">
        <f>I66/L56</f>
        <v>0.1134351665002398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4.3315779352719165E-2</v>
      </c>
      <c r="M60" s="22"/>
      <c r="N60" s="30" t="s">
        <v>136</v>
      </c>
      <c r="O60" s="63">
        <f>IF(O58*I55&gt;J72,J72,O58*I55)</f>
        <v>6602.309426206989</v>
      </c>
      <c r="P60" s="79"/>
      <c r="Q60" s="68" t="s">
        <v>137</v>
      </c>
      <c r="R60" s="63">
        <f>I56-I64-I65-I68-I71</f>
        <v>24083</v>
      </c>
      <c r="S60" s="80"/>
      <c r="T60" s="68" t="s">
        <v>138</v>
      </c>
      <c r="U60" s="70">
        <f>O68</f>
        <v>316746.65751203022</v>
      </c>
      <c r="V60" s="79"/>
      <c r="W60" s="68" t="s">
        <v>139</v>
      </c>
      <c r="X60" s="70">
        <f>I64</f>
        <v>22637</v>
      </c>
    </row>
    <row r="61" spans="1:24" ht="15.75">
      <c r="H61" s="26" t="s">
        <v>140</v>
      </c>
      <c r="K61" s="2" t="s">
        <v>0</v>
      </c>
      <c r="L61" s="66">
        <f>I72/L56</f>
        <v>1.5578482047907771E-2</v>
      </c>
      <c r="O61" s="51"/>
      <c r="P61" s="79"/>
      <c r="Q61" s="68" t="s">
        <v>141</v>
      </c>
      <c r="R61" s="63">
        <f>R57*R60</f>
        <v>17428.023160944173</v>
      </c>
      <c r="S61" s="51"/>
      <c r="T61" s="68" t="s">
        <v>142</v>
      </c>
      <c r="U61" s="70">
        <f>O66</f>
        <v>18537</v>
      </c>
      <c r="V61" s="69"/>
      <c r="W61" s="68" t="s">
        <v>143</v>
      </c>
      <c r="X61" s="70">
        <f>I65</f>
        <v>2946</v>
      </c>
    </row>
    <row r="62" spans="1:24" ht="15.75">
      <c r="K62" s="11"/>
      <c r="L62" s="11"/>
      <c r="M62" s="11"/>
      <c r="N62" s="30" t="s">
        <v>144</v>
      </c>
      <c r="O62" s="63">
        <f>J72-O60</f>
        <v>115.75517213275816</v>
      </c>
      <c r="P62" s="79"/>
      <c r="Q62" s="68" t="s">
        <v>126</v>
      </c>
      <c r="R62" s="63">
        <f>R58*R60</f>
        <v>6654.9768390558247</v>
      </c>
      <c r="S62" s="51"/>
      <c r="T62" s="68" t="s">
        <v>145</v>
      </c>
      <c r="U62" s="70">
        <f>O67</f>
        <v>21641</v>
      </c>
      <c r="V62" s="74"/>
      <c r="W62" s="51"/>
      <c r="X62" s="65"/>
    </row>
    <row r="63" spans="1:24" ht="15.75">
      <c r="H63" s="39" t="s">
        <v>104</v>
      </c>
      <c r="I63" s="63">
        <f>ONSV_AUX_2021!AA56</f>
        <v>357240</v>
      </c>
      <c r="J63" s="64">
        <f>I63-(L58*I57)</f>
        <v>356924.65751203022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315.342487969785</v>
      </c>
      <c r="V63" s="74"/>
      <c r="W63" s="68" t="s">
        <v>147</v>
      </c>
      <c r="X63" s="70">
        <f>I71</f>
        <v>7843</v>
      </c>
    </row>
    <row r="64" spans="1:24" ht="15.75">
      <c r="H64" s="39" t="s">
        <v>105</v>
      </c>
      <c r="I64" s="63">
        <f>ONSV_AUX_2021!AA57</f>
        <v>22637</v>
      </c>
      <c r="J64" s="10">
        <f>I64</f>
        <v>22637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31489.758040619239</v>
      </c>
      <c r="S64" s="51"/>
      <c r="T64" s="68" t="s">
        <v>150</v>
      </c>
      <c r="U64" s="75">
        <f>O69</f>
        <v>0</v>
      </c>
      <c r="V64" s="51"/>
      <c r="W64" s="68" t="s">
        <v>151</v>
      </c>
      <c r="X64" s="70">
        <f>I68</f>
        <v>3622</v>
      </c>
    </row>
    <row r="65" spans="1:24" ht="15.75">
      <c r="H65" s="39" t="s">
        <v>106</v>
      </c>
      <c r="I65" s="63">
        <f>ONSV_AUX_2021!AA58</f>
        <v>2946</v>
      </c>
      <c r="J65" s="10">
        <f>I65</f>
        <v>2946</v>
      </c>
      <c r="K65" s="11"/>
      <c r="L65" s="11"/>
      <c r="M65" s="11"/>
      <c r="O65" s="76"/>
      <c r="P65" s="79"/>
      <c r="Q65" s="68" t="s">
        <v>135</v>
      </c>
      <c r="R65" s="63">
        <f>J67-R62</f>
        <v>12024.51984901079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ONSV_AUX_2021!AA59</f>
        <v>48961</v>
      </c>
      <c r="J66" s="64">
        <f>I66-(L59*I57)</f>
        <v>48917.781201563412</v>
      </c>
      <c r="K66" s="11"/>
      <c r="L66" s="11"/>
      <c r="M66" s="11"/>
      <c r="N66" s="30" t="s">
        <v>142</v>
      </c>
      <c r="O66" s="63">
        <f>I54</f>
        <v>18537</v>
      </c>
      <c r="P66" s="79"/>
      <c r="Q66" s="51"/>
      <c r="R66" s="51"/>
      <c r="S66" s="80"/>
      <c r="T66" s="68" t="s">
        <v>141</v>
      </c>
      <c r="U66" s="71">
        <f>R61</f>
        <v>17428.023160944173</v>
      </c>
      <c r="V66" s="51"/>
      <c r="W66" s="68" t="s">
        <v>152</v>
      </c>
      <c r="X66" s="70">
        <f>I69</f>
        <v>279127</v>
      </c>
    </row>
    <row r="67" spans="1:24" ht="15.75">
      <c r="H67" s="39" t="s">
        <v>108</v>
      </c>
      <c r="I67" s="63">
        <f>ONSV_AUX_2021!AA60</f>
        <v>18696</v>
      </c>
      <c r="J67" s="64">
        <f>I67-(L60*I57)</f>
        <v>18679.496688066614</v>
      </c>
      <c r="K67" s="11"/>
      <c r="L67" s="11"/>
      <c r="M67" s="11"/>
      <c r="N67" s="30" t="s">
        <v>145</v>
      </c>
      <c r="O67" s="63">
        <f>I58</f>
        <v>21641</v>
      </c>
      <c r="P67" s="79"/>
      <c r="Q67" s="51"/>
      <c r="R67" s="51"/>
      <c r="S67" s="51"/>
      <c r="T67" s="68" t="s">
        <v>153</v>
      </c>
      <c r="U67" s="71">
        <f>I66-J66</f>
        <v>43.218798436588258</v>
      </c>
      <c r="V67" s="51"/>
      <c r="W67" s="68" t="s">
        <v>154</v>
      </c>
      <c r="X67" s="70">
        <f>I70</f>
        <v>52062</v>
      </c>
    </row>
    <row r="68" spans="1:24" ht="15.75">
      <c r="H68" s="39" t="s">
        <v>109</v>
      </c>
      <c r="I68" s="63">
        <f>ONSV_AUX_2021!AA61</f>
        <v>3622</v>
      </c>
      <c r="J68" s="10">
        <f>I68</f>
        <v>3622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316746.65751203022</v>
      </c>
      <c r="P68" s="79"/>
      <c r="Q68" s="51"/>
      <c r="R68" s="81"/>
      <c r="S68" s="51"/>
      <c r="T68" s="68" t="s">
        <v>149</v>
      </c>
      <c r="U68" s="75">
        <f>R64</f>
        <v>31489.758040619239</v>
      </c>
      <c r="V68" s="51"/>
      <c r="W68" s="51"/>
      <c r="X68" s="51"/>
    </row>
    <row r="69" spans="1:24" ht="15.75">
      <c r="H69" s="39" t="s">
        <v>110</v>
      </c>
      <c r="I69" s="63">
        <f>ONSV_AUX_2021!AA62</f>
        <v>279127</v>
      </c>
      <c r="J69" s="10">
        <f>I69</f>
        <v>279127</v>
      </c>
      <c r="K69" s="11"/>
      <c r="L69" s="11"/>
      <c r="M69" s="11"/>
      <c r="N69" s="30" t="s">
        <v>150</v>
      </c>
      <c r="O69" s="63">
        <f>IF((J63-O66-O68-O67)&lt;0,0,(J63-O66-O68-O67))</f>
        <v>0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ONSV_AUX_2021!AA63</f>
        <v>52062</v>
      </c>
      <c r="J70" s="10">
        <f>I70</f>
        <v>52062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799858</v>
      </c>
    </row>
    <row r="71" spans="1:24" ht="15.75">
      <c r="H71" s="39" t="s">
        <v>112</v>
      </c>
      <c r="I71" s="63">
        <f>ONSV_AUX_2021!AA64</f>
        <v>7843</v>
      </c>
      <c r="J71" s="10">
        <f>I71</f>
        <v>7843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ONSV_AUX_2021!AA65</f>
        <v>6724</v>
      </c>
      <c r="J72" s="64">
        <f>I72-(L61*I57)</f>
        <v>6718.0645983397471</v>
      </c>
      <c r="K72" s="12"/>
      <c r="L72" s="12"/>
      <c r="M72" s="12"/>
      <c r="N72" s="12"/>
      <c r="O72" s="12"/>
      <c r="P72" s="12"/>
      <c r="Q72" s="4"/>
      <c r="R72" s="4"/>
    </row>
    <row r="75" spans="1:24" s="37" customFormat="1" ht="15.75">
      <c r="A75" s="100" t="str">
        <f>"SERGIPE/"&amp;ONSV_AUX_2020!$A$1&amp;""</f>
        <v>SERGIPE/2020</v>
      </c>
      <c r="B75" s="101"/>
      <c r="C75" s="101"/>
      <c r="D75" s="101"/>
      <c r="E75" s="101"/>
      <c r="F75" s="10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ONSV_AUX_2020!AA27</f>
        <v>18509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ONSV_AUX_2020!AA28</f>
        <v>335598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ONSV_AUX_2020!AA29</f>
        <v>58498</v>
      </c>
      <c r="J81" s="9"/>
      <c r="K81" s="2" t="s">
        <v>122</v>
      </c>
      <c r="L81" s="63">
        <f>I88+I91+I92+I97</f>
        <v>416174</v>
      </c>
      <c r="N81" s="30" t="s">
        <v>123</v>
      </c>
      <c r="O81" s="63">
        <f>J88+J97</f>
        <v>352025.29833675339</v>
      </c>
      <c r="P81" s="67"/>
      <c r="Q81" s="68" t="s">
        <v>124</v>
      </c>
      <c r="R81" s="63">
        <f>J91+J92</f>
        <v>63977.701663246626</v>
      </c>
      <c r="S81" s="69"/>
      <c r="T81" s="68" t="s">
        <v>125</v>
      </c>
      <c r="U81" s="70">
        <f>O85</f>
        <v>5403.1878354203927</v>
      </c>
      <c r="V81" s="51"/>
      <c r="W81" s="68" t="s">
        <v>126</v>
      </c>
      <c r="X81" s="71">
        <f>R87</f>
        <v>6182.3754140366227</v>
      </c>
    </row>
    <row r="82" spans="8:24" ht="15.75">
      <c r="H82" s="38" t="s">
        <v>102</v>
      </c>
      <c r="I82" s="63">
        <f>ONSV_AUX_2020!AA30</f>
        <v>171</v>
      </c>
      <c r="J82" s="9"/>
      <c r="K82" s="29"/>
      <c r="L82" s="65"/>
      <c r="M82" s="22"/>
      <c r="N82" s="30" t="s">
        <v>127</v>
      </c>
      <c r="O82" s="72">
        <f>J88/O81</f>
        <v>0.98389982110912344</v>
      </c>
      <c r="P82" s="67"/>
      <c r="Q82" s="73" t="s">
        <v>128</v>
      </c>
      <c r="R82" s="66">
        <f>J91/R81</f>
        <v>0.7241734891569277</v>
      </c>
      <c r="S82" s="74"/>
      <c r="T82" s="68" t="s">
        <v>129</v>
      </c>
      <c r="U82" s="70">
        <f>I97-J97</f>
        <v>2.3297226640779627</v>
      </c>
      <c r="V82" s="51"/>
      <c r="W82" s="68" t="s">
        <v>130</v>
      </c>
      <c r="X82" s="71">
        <f>I92-J92</f>
        <v>7.2537784676605952</v>
      </c>
    </row>
    <row r="83" spans="8:24" ht="15.75">
      <c r="H83" s="38" t="s">
        <v>16</v>
      </c>
      <c r="I83" s="63">
        <f>ONSV_AUX_2020!AA31</f>
        <v>21770</v>
      </c>
      <c r="J83" s="9"/>
      <c r="K83" s="2" t="s">
        <v>131</v>
      </c>
      <c r="L83" s="66">
        <f>I88/L81</f>
        <v>0.83258444785113916</v>
      </c>
      <c r="M83" s="22"/>
      <c r="N83" s="30" t="s">
        <v>132</v>
      </c>
      <c r="O83" s="72">
        <f>J97/O81</f>
        <v>1.6100178890876563E-2</v>
      </c>
      <c r="P83" s="67"/>
      <c r="Q83" s="73" t="s">
        <v>133</v>
      </c>
      <c r="R83" s="66">
        <f>J92/R81</f>
        <v>0.2758265108430723</v>
      </c>
      <c r="S83" s="74"/>
      <c r="T83" s="68" t="s">
        <v>134</v>
      </c>
      <c r="U83" s="75">
        <f>O87</f>
        <v>264.48244191552931</v>
      </c>
      <c r="V83" s="76"/>
      <c r="W83" s="68" t="s">
        <v>135</v>
      </c>
      <c r="X83" s="75">
        <f>R90</f>
        <v>11464.370807495718</v>
      </c>
    </row>
    <row r="84" spans="8:24" ht="15.75">
      <c r="H84" s="38" t="s">
        <v>94</v>
      </c>
      <c r="I84" s="63">
        <f>ONSV_AUX_2020!AA32</f>
        <v>358466</v>
      </c>
      <c r="J84" s="10"/>
      <c r="K84" s="2" t="s">
        <v>2</v>
      </c>
      <c r="L84" s="66">
        <f>I91/L81</f>
        <v>0.11137168588138616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4.2419757120819655E-2</v>
      </c>
      <c r="M85" s="22"/>
      <c r="N85" s="30" t="s">
        <v>136</v>
      </c>
      <c r="O85" s="63">
        <f>IF(O83*I80&gt;J97,J97,O83*I80)</f>
        <v>5403.1878354203927</v>
      </c>
      <c r="P85" s="79"/>
      <c r="Q85" s="68" t="s">
        <v>137</v>
      </c>
      <c r="R85" s="63">
        <f>I81-I89-I90-I93-I96</f>
        <v>22414</v>
      </c>
      <c r="S85" s="80"/>
      <c r="T85" s="68" t="s">
        <v>138</v>
      </c>
      <c r="U85" s="70">
        <f>O93</f>
        <v>306078.62805941748</v>
      </c>
      <c r="V85" s="79"/>
      <c r="W85" s="68" t="s">
        <v>139</v>
      </c>
      <c r="X85" s="70">
        <f>I89</f>
        <v>22143</v>
      </c>
    </row>
    <row r="86" spans="8:24" ht="15.75">
      <c r="H86" s="26" t="s">
        <v>140</v>
      </c>
      <c r="K86" s="2" t="s">
        <v>0</v>
      </c>
      <c r="L86" s="66">
        <f>I97/L81</f>
        <v>1.3624109146655005E-2</v>
      </c>
      <c r="O86" s="51"/>
      <c r="P86" s="79"/>
      <c r="Q86" s="68" t="s">
        <v>141</v>
      </c>
      <c r="R86" s="63">
        <f>R82*R85</f>
        <v>16231.624585963378</v>
      </c>
      <c r="S86" s="51"/>
      <c r="T86" s="68" t="s">
        <v>142</v>
      </c>
      <c r="U86" s="70">
        <f>O91</f>
        <v>18509</v>
      </c>
      <c r="V86" s="69"/>
      <c r="W86" s="68" t="s">
        <v>143</v>
      </c>
      <c r="X86" s="70">
        <f>I90</f>
        <v>2770</v>
      </c>
    </row>
    <row r="87" spans="8:24" ht="15.75">
      <c r="K87" s="11"/>
      <c r="L87" s="11"/>
      <c r="M87" s="11"/>
      <c r="N87" s="30" t="s">
        <v>144</v>
      </c>
      <c r="O87" s="63">
        <f>J97-O85</f>
        <v>264.48244191552931</v>
      </c>
      <c r="P87" s="79"/>
      <c r="Q87" s="68" t="s">
        <v>126</v>
      </c>
      <c r="R87" s="63">
        <f>R83*R85</f>
        <v>6182.3754140366227</v>
      </c>
      <c r="S87" s="51"/>
      <c r="T87" s="68" t="s">
        <v>145</v>
      </c>
      <c r="U87" s="70">
        <f>O92</f>
        <v>21770</v>
      </c>
      <c r="V87" s="74"/>
      <c r="W87" s="51"/>
      <c r="X87" s="65"/>
    </row>
    <row r="88" spans="8:24" ht="15.75">
      <c r="H88" s="39" t="s">
        <v>104</v>
      </c>
      <c r="I88" s="63">
        <f>ONSV_AUX_2020!AA56</f>
        <v>346500</v>
      </c>
      <c r="J88" s="64">
        <f>I88-(L83*I82)</f>
        <v>346357.62805941748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142.37194058252499</v>
      </c>
      <c r="V88" s="74"/>
      <c r="W88" s="68" t="s">
        <v>147</v>
      </c>
      <c r="X88" s="70">
        <f>I96</f>
        <v>7607</v>
      </c>
    </row>
    <row r="89" spans="8:24" ht="15.75">
      <c r="H89" s="39" t="s">
        <v>105</v>
      </c>
      <c r="I89" s="63">
        <f>ONSV_AUX_2020!AA57</f>
        <v>22143</v>
      </c>
      <c r="J89" s="10">
        <f>I89</f>
        <v>22143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30099.330855750908</v>
      </c>
      <c r="S89" s="51"/>
      <c r="T89" s="68" t="s">
        <v>150</v>
      </c>
      <c r="U89" s="75">
        <f>O94</f>
        <v>0</v>
      </c>
      <c r="V89" s="51"/>
      <c r="W89" s="68" t="s">
        <v>151</v>
      </c>
      <c r="X89" s="70">
        <f>I93</f>
        <v>3564</v>
      </c>
    </row>
    <row r="90" spans="8:24" ht="15.75">
      <c r="H90" s="39" t="s">
        <v>106</v>
      </c>
      <c r="I90" s="63">
        <f>ONSV_AUX_2020!AA58</f>
        <v>2770</v>
      </c>
      <c r="J90" s="10">
        <f>I90</f>
        <v>2770</v>
      </c>
      <c r="K90" s="11"/>
      <c r="L90" s="11"/>
      <c r="M90" s="11"/>
      <c r="O90" s="76"/>
      <c r="P90" s="79"/>
      <c r="Q90" s="68" t="s">
        <v>135</v>
      </c>
      <c r="R90" s="63">
        <f>J92-R87</f>
        <v>11464.370807495718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ONSV_AUX_2020!AA59</f>
        <v>46350</v>
      </c>
      <c r="J91" s="64">
        <f>I91-(L84*I82)</f>
        <v>46330.955441714286</v>
      </c>
      <c r="K91" s="11"/>
      <c r="L91" s="11"/>
      <c r="M91" s="11"/>
      <c r="N91" s="30" t="s">
        <v>142</v>
      </c>
      <c r="O91" s="63">
        <f>I79</f>
        <v>18509</v>
      </c>
      <c r="P91" s="79"/>
      <c r="Q91" s="51"/>
      <c r="R91" s="51"/>
      <c r="S91" s="80"/>
      <c r="T91" s="68" t="s">
        <v>141</v>
      </c>
      <c r="U91" s="71">
        <f>R86</f>
        <v>16231.624585963378</v>
      </c>
      <c r="V91" s="51"/>
      <c r="W91" s="68" t="s">
        <v>152</v>
      </c>
      <c r="X91" s="70">
        <f>I94</f>
        <v>267716</v>
      </c>
    </row>
    <row r="92" spans="8:24" ht="15.75">
      <c r="H92" s="39" t="s">
        <v>108</v>
      </c>
      <c r="I92" s="63">
        <f>ONSV_AUX_2020!AA60</f>
        <v>17654</v>
      </c>
      <c r="J92" s="64">
        <f>I92-(L85*I82)</f>
        <v>17646.746221532339</v>
      </c>
      <c r="K92" s="11"/>
      <c r="L92" s="11"/>
      <c r="M92" s="11"/>
      <c r="N92" s="30" t="s">
        <v>145</v>
      </c>
      <c r="O92" s="63">
        <f>I83</f>
        <v>21770</v>
      </c>
      <c r="P92" s="79"/>
      <c r="Q92" s="51"/>
      <c r="R92" s="51"/>
      <c r="S92" s="51"/>
      <c r="T92" s="68" t="s">
        <v>153</v>
      </c>
      <c r="U92" s="71">
        <f>I91-J91</f>
        <v>19.04455828571372</v>
      </c>
      <c r="V92" s="51"/>
      <c r="W92" s="68" t="s">
        <v>154</v>
      </c>
      <c r="X92" s="70">
        <f>I95</f>
        <v>48474</v>
      </c>
    </row>
    <row r="93" spans="8:24" ht="15.75">
      <c r="H93" s="39" t="s">
        <v>109</v>
      </c>
      <c r="I93" s="63">
        <f>ONSV_AUX_2020!AA61</f>
        <v>3564</v>
      </c>
      <c r="J93" s="10">
        <f>I93</f>
        <v>3564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306078.62805941748</v>
      </c>
      <c r="P93" s="79"/>
      <c r="Q93" s="51"/>
      <c r="R93" s="81"/>
      <c r="S93" s="51"/>
      <c r="T93" s="68" t="s">
        <v>149</v>
      </c>
      <c r="U93" s="75">
        <f>R89</f>
        <v>30099.330855750908</v>
      </c>
      <c r="V93" s="51"/>
      <c r="W93" s="51"/>
      <c r="X93" s="51"/>
    </row>
    <row r="94" spans="8:24" ht="15.75">
      <c r="H94" s="39" t="s">
        <v>110</v>
      </c>
      <c r="I94" s="63">
        <f>ONSV_AUX_2020!AA62</f>
        <v>267716</v>
      </c>
      <c r="J94" s="10">
        <f>I94</f>
        <v>267716</v>
      </c>
      <c r="K94" s="11"/>
      <c r="L94" s="11"/>
      <c r="M94" s="11"/>
      <c r="N94" s="30" t="s">
        <v>150</v>
      </c>
      <c r="O94" s="63">
        <f>IF((J88-O91-O93-O92)&lt;0,0,(J88-O91-O93-O92))</f>
        <v>0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ONSV_AUX_2020!AA63</f>
        <v>48474</v>
      </c>
      <c r="J95" s="10">
        <f>I95</f>
        <v>48474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768448</v>
      </c>
    </row>
    <row r="96" spans="8:24" ht="15.75">
      <c r="H96" s="39" t="s">
        <v>112</v>
      </c>
      <c r="I96" s="63">
        <f>ONSV_AUX_2020!AA64</f>
        <v>7607</v>
      </c>
      <c r="J96" s="10">
        <f>I96</f>
        <v>7607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ONSV_AUX_2020!AA65</f>
        <v>5670</v>
      </c>
      <c r="J97" s="64">
        <f>I97-(L86*I82)</f>
        <v>5667.670277335922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7" customFormat="1" ht="15.75">
      <c r="A100" s="100" t="str">
        <f>"SERGIPE/"&amp;ONSV_AUX_2019!$A$1&amp;""</f>
        <v>SERGIPE/2019</v>
      </c>
      <c r="B100" s="101"/>
      <c r="C100" s="101"/>
      <c r="D100" s="101"/>
      <c r="E100" s="101"/>
      <c r="F100" s="101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ONSV_AUX_2019!AA27</f>
        <v>18490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ONSV_AUX_2019!AA28</f>
        <v>316342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ONSV_AUX_2019!AA29</f>
        <v>56307</v>
      </c>
      <c r="J106" s="9"/>
      <c r="K106" s="2" t="s">
        <v>122</v>
      </c>
      <c r="L106" s="63">
        <f>I113+I116+I117+I122</f>
        <v>402387</v>
      </c>
      <c r="N106" s="30" t="s">
        <v>123</v>
      </c>
      <c r="O106" s="63">
        <f>J113+J122</f>
        <v>341049.26862945373</v>
      </c>
      <c r="P106" s="67"/>
      <c r="Q106" s="68" t="s">
        <v>124</v>
      </c>
      <c r="R106" s="63">
        <f>J116+J117</f>
        <v>61263.731370546266</v>
      </c>
      <c r="S106" s="69"/>
      <c r="T106" s="68" t="s">
        <v>125</v>
      </c>
      <c r="U106" s="70">
        <f>O110</f>
        <v>4776.9578378948845</v>
      </c>
      <c r="V106" s="51"/>
      <c r="W106" s="68" t="s">
        <v>126</v>
      </c>
      <c r="X106" s="71">
        <f>R112</f>
        <v>5832.6041615667073</v>
      </c>
    </row>
    <row r="107" spans="1:24" ht="15.75">
      <c r="H107" s="38" t="s">
        <v>102</v>
      </c>
      <c r="I107" s="63">
        <f>ONSV_AUX_2019!AA30</f>
        <v>74</v>
      </c>
      <c r="J107" s="9"/>
      <c r="K107" s="29"/>
      <c r="L107" s="65"/>
      <c r="M107" s="22"/>
      <c r="N107" s="30" t="s">
        <v>127</v>
      </c>
      <c r="O107" s="72">
        <f>J113/O106</f>
        <v>0.98489938788433129</v>
      </c>
      <c r="P107" s="67"/>
      <c r="Q107" s="73" t="s">
        <v>128</v>
      </c>
      <c r="R107" s="66">
        <f>J116/R106</f>
        <v>0.72396572827417383</v>
      </c>
      <c r="S107" s="74"/>
      <c r="T107" s="68" t="s">
        <v>129</v>
      </c>
      <c r="U107" s="70">
        <f>I122-J122</f>
        <v>0.94728209410368436</v>
      </c>
      <c r="V107" s="51"/>
      <c r="W107" s="68" t="s">
        <v>130</v>
      </c>
      <c r="X107" s="71">
        <f>I117-J117</f>
        <v>3.1105279246112332</v>
      </c>
    </row>
    <row r="108" spans="1:24" ht="15.75">
      <c r="H108" s="38" t="s">
        <v>16</v>
      </c>
      <c r="I108" s="63">
        <f>ONSV_AUX_2019!AA31</f>
        <v>21953</v>
      </c>
      <c r="J108" s="9"/>
      <c r="K108" s="2" t="s">
        <v>131</v>
      </c>
      <c r="L108" s="66">
        <f>I113/L106</f>
        <v>0.83492011421840173</v>
      </c>
      <c r="M108" s="22"/>
      <c r="N108" s="30" t="s">
        <v>132</v>
      </c>
      <c r="O108" s="72">
        <f>J122/O106</f>
        <v>1.5100612115668753E-2</v>
      </c>
      <c r="P108" s="67"/>
      <c r="Q108" s="73" t="s">
        <v>133</v>
      </c>
      <c r="R108" s="66">
        <f>J117/R106</f>
        <v>0.27603427172582617</v>
      </c>
      <c r="S108" s="74"/>
      <c r="T108" s="68" t="s">
        <v>134</v>
      </c>
      <c r="U108" s="75">
        <f>O112</f>
        <v>373.09488001101181</v>
      </c>
      <c r="V108" s="76"/>
      <c r="W108" s="68" t="s">
        <v>135</v>
      </c>
      <c r="X108" s="75">
        <f>R115</f>
        <v>11078.285310508682</v>
      </c>
    </row>
    <row r="109" spans="1:24" ht="15.75">
      <c r="H109" s="38" t="s">
        <v>94</v>
      </c>
      <c r="I109" s="63">
        <f>ONSV_AUX_2019!AA32</f>
        <v>351477</v>
      </c>
      <c r="J109" s="10"/>
      <c r="K109" s="2" t="s">
        <v>2</v>
      </c>
      <c r="L109" s="66">
        <f>I116/L106</f>
        <v>0.11024461525844523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4.2034161143376901E-2</v>
      </c>
      <c r="M110" s="22"/>
      <c r="N110" s="30" t="s">
        <v>136</v>
      </c>
      <c r="O110" s="63">
        <f>IF(O108*I105&gt;J122,J122,O108*I105)</f>
        <v>4776.9578378948845</v>
      </c>
      <c r="P110" s="79"/>
      <c r="Q110" s="68" t="s">
        <v>137</v>
      </c>
      <c r="R110" s="63">
        <f>I106-I114-I115-I118-I121</f>
        <v>21130</v>
      </c>
      <c r="S110" s="80"/>
      <c r="T110" s="68" t="s">
        <v>138</v>
      </c>
      <c r="U110" s="70">
        <f>O118</f>
        <v>295456.21591154783</v>
      </c>
      <c r="V110" s="79"/>
      <c r="W110" s="68" t="s">
        <v>139</v>
      </c>
      <c r="X110" s="70">
        <f>I114</f>
        <v>21796</v>
      </c>
    </row>
    <row r="111" spans="1:24" ht="15.75">
      <c r="H111" s="26" t="s">
        <v>140</v>
      </c>
      <c r="K111" s="2" t="s">
        <v>0</v>
      </c>
      <c r="L111" s="66">
        <f>I122/L106</f>
        <v>1.2801109379776186E-2</v>
      </c>
      <c r="O111" s="51"/>
      <c r="P111" s="79"/>
      <c r="Q111" s="68" t="s">
        <v>141</v>
      </c>
      <c r="R111" s="63">
        <f>R107*R110</f>
        <v>15297.395838433293</v>
      </c>
      <c r="S111" s="51"/>
      <c r="T111" s="68" t="s">
        <v>142</v>
      </c>
      <c r="U111" s="70">
        <f>O116</f>
        <v>18490</v>
      </c>
      <c r="V111" s="69"/>
      <c r="W111" s="68" t="s">
        <v>143</v>
      </c>
      <c r="X111" s="70">
        <f>I115</f>
        <v>2630</v>
      </c>
    </row>
    <row r="112" spans="1:24" ht="15.75">
      <c r="K112" s="11"/>
      <c r="L112" s="11"/>
      <c r="M112" s="11"/>
      <c r="N112" s="30" t="s">
        <v>144</v>
      </c>
      <c r="O112" s="63">
        <f>J122-O110</f>
        <v>373.09488001101181</v>
      </c>
      <c r="P112" s="79"/>
      <c r="Q112" s="68" t="s">
        <v>126</v>
      </c>
      <c r="R112" s="63">
        <f>R108*R110</f>
        <v>5832.6041615667073</v>
      </c>
      <c r="S112" s="51"/>
      <c r="T112" s="68" t="s">
        <v>145</v>
      </c>
      <c r="U112" s="70">
        <f>O117</f>
        <v>21953</v>
      </c>
      <c r="V112" s="74"/>
      <c r="W112" s="51"/>
      <c r="X112" s="65"/>
    </row>
    <row r="113" spans="8:24" ht="15.75">
      <c r="H113" s="39" t="s">
        <v>104</v>
      </c>
      <c r="I113" s="63">
        <f>ONSV_AUX_2019!AA56</f>
        <v>335961</v>
      </c>
      <c r="J113" s="64">
        <f>I113-(L108*I107)</f>
        <v>335899.21591154783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61.784088452172</v>
      </c>
      <c r="V113" s="74"/>
      <c r="W113" s="68" t="s">
        <v>147</v>
      </c>
      <c r="X113" s="70">
        <f>I121</f>
        <v>7299</v>
      </c>
    </row>
    <row r="114" spans="8:24" ht="15.75">
      <c r="H114" s="39" t="s">
        <v>105</v>
      </c>
      <c r="I114" s="63">
        <f>ONSV_AUX_2019!AA57</f>
        <v>21796</v>
      </c>
      <c r="J114" s="10">
        <f>I114</f>
        <v>21796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29055.446060037582</v>
      </c>
      <c r="S114" s="51"/>
      <c r="T114" s="68" t="s">
        <v>150</v>
      </c>
      <c r="U114" s="75">
        <f>O119</f>
        <v>0</v>
      </c>
      <c r="V114" s="51"/>
      <c r="W114" s="68" t="s">
        <v>151</v>
      </c>
      <c r="X114" s="70">
        <f>I118</f>
        <v>3452</v>
      </c>
    </row>
    <row r="115" spans="8:24" ht="15.75">
      <c r="H115" s="39" t="s">
        <v>106</v>
      </c>
      <c r="I115" s="63">
        <f>ONSV_AUX_2019!AA58</f>
        <v>2630</v>
      </c>
      <c r="J115" s="10">
        <f>I115</f>
        <v>2630</v>
      </c>
      <c r="K115" s="11"/>
      <c r="L115" s="11"/>
      <c r="M115" s="11"/>
      <c r="O115" s="76"/>
      <c r="P115" s="79"/>
      <c r="Q115" s="68" t="s">
        <v>135</v>
      </c>
      <c r="R115" s="63">
        <f>J117-R112</f>
        <v>11078.285310508682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ONSV_AUX_2019!AA59</f>
        <v>44361</v>
      </c>
      <c r="J116" s="64">
        <f>I116-(L109*I107)</f>
        <v>44352.841898470877</v>
      </c>
      <c r="K116" s="11"/>
      <c r="L116" s="11"/>
      <c r="M116" s="11"/>
      <c r="N116" s="30" t="s">
        <v>142</v>
      </c>
      <c r="O116" s="63">
        <f>I104</f>
        <v>18490</v>
      </c>
      <c r="P116" s="79"/>
      <c r="Q116" s="51"/>
      <c r="R116" s="51"/>
      <c r="S116" s="80"/>
      <c r="T116" s="68" t="s">
        <v>141</v>
      </c>
      <c r="U116" s="71">
        <f>R111</f>
        <v>15297.395838433293</v>
      </c>
      <c r="V116" s="51"/>
      <c r="W116" s="68" t="s">
        <v>152</v>
      </c>
      <c r="X116" s="70">
        <f>I119</f>
        <v>258016</v>
      </c>
    </row>
    <row r="117" spans="8:24" ht="15.75">
      <c r="H117" s="39" t="s">
        <v>108</v>
      </c>
      <c r="I117" s="63">
        <f>ONSV_AUX_2019!AA60</f>
        <v>16914</v>
      </c>
      <c r="J117" s="64">
        <f>I117-(L110*I107)</f>
        <v>16910.889472075389</v>
      </c>
      <c r="K117" s="11"/>
      <c r="L117" s="11"/>
      <c r="M117" s="11"/>
      <c r="N117" s="30" t="s">
        <v>145</v>
      </c>
      <c r="O117" s="63">
        <f>I108</f>
        <v>21953</v>
      </c>
      <c r="P117" s="79"/>
      <c r="Q117" s="51"/>
      <c r="R117" s="51"/>
      <c r="S117" s="51"/>
      <c r="T117" s="68" t="s">
        <v>153</v>
      </c>
      <c r="U117" s="71">
        <f>I116-J116</f>
        <v>8.1581015291230869</v>
      </c>
      <c r="V117" s="51"/>
      <c r="W117" s="68" t="s">
        <v>154</v>
      </c>
      <c r="X117" s="70">
        <f>I120</f>
        <v>45580</v>
      </c>
    </row>
    <row r="118" spans="8:24" ht="15.75">
      <c r="H118" s="39" t="s">
        <v>109</v>
      </c>
      <c r="I118" s="63">
        <f>ONSV_AUX_2019!AA61</f>
        <v>3452</v>
      </c>
      <c r="J118" s="10">
        <f>I118</f>
        <v>3452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295456.21591154783</v>
      </c>
      <c r="P118" s="79"/>
      <c r="Q118" s="51"/>
      <c r="R118" s="81"/>
      <c r="S118" s="51"/>
      <c r="T118" s="68" t="s">
        <v>149</v>
      </c>
      <c r="U118" s="75">
        <f>R114</f>
        <v>29055.446060037582</v>
      </c>
      <c r="V118" s="51"/>
      <c r="W118" s="51"/>
      <c r="X118" s="51"/>
    </row>
    <row r="119" spans="8:24" ht="15.75">
      <c r="H119" s="39" t="s">
        <v>110</v>
      </c>
      <c r="I119" s="63">
        <f>ONSV_AUX_2019!AA62</f>
        <v>258016</v>
      </c>
      <c r="J119" s="10">
        <f>I119</f>
        <v>258016</v>
      </c>
      <c r="K119" s="11"/>
      <c r="L119" s="11"/>
      <c r="M119" s="11"/>
      <c r="N119" s="30" t="s">
        <v>150</v>
      </c>
      <c r="O119" s="63">
        <f>IF((J113-O116-O118-O117)&lt;0,0,(J113-O116-O118-O117))</f>
        <v>0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ONSV_AUX_2019!AA63</f>
        <v>45580</v>
      </c>
      <c r="J120" s="10">
        <f>I120</f>
        <v>45580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741160</v>
      </c>
    </row>
    <row r="121" spans="8:24" ht="15.75">
      <c r="H121" s="39" t="s">
        <v>112</v>
      </c>
      <c r="I121" s="63">
        <f>ONSV_AUX_2019!AA64</f>
        <v>7299</v>
      </c>
      <c r="J121" s="10">
        <f>I121</f>
        <v>7299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ONSV_AUX_2019!AA65</f>
        <v>5151</v>
      </c>
      <c r="J122" s="64">
        <f>I122-(L111*I107)</f>
        <v>5150.0527179058963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9" tint="0.39997558519241921"/>
  </sheetPr>
  <dimension ref="A1:X122"/>
  <sheetViews>
    <sheetView showGridLines="0" topLeftCell="A91" zoomScale="90" zoomScaleNormal="90" workbookViewId="0">
      <selection sqref="A1:F1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3" customFormat="1" ht="15.75">
      <c r="A1" s="100" t="str">
        <f>"TOCATINS/"&amp;ONSV_AUX_2023!$A$1&amp;""</f>
        <v>TOCATINS/2023</v>
      </c>
      <c r="B1" s="101"/>
      <c r="C1" s="101"/>
      <c r="D1" s="101"/>
      <c r="E1" s="101"/>
      <c r="F1" s="101"/>
    </row>
    <row r="2" spans="1:24" s="4" customFormat="1" ht="15.75">
      <c r="A2" s="34"/>
      <c r="B2" s="34"/>
      <c r="C2" s="34"/>
      <c r="D2" s="34"/>
      <c r="E2" s="34"/>
      <c r="F2" s="34"/>
    </row>
    <row r="3" spans="1:24" ht="15.75">
      <c r="A3" s="12"/>
      <c r="H3" s="25" t="s">
        <v>117</v>
      </c>
    </row>
    <row r="4" spans="1:24" ht="15.75">
      <c r="B4" s="5"/>
      <c r="J4" s="9"/>
      <c r="M4" s="27"/>
      <c r="N4" s="27"/>
      <c r="O4" s="27"/>
      <c r="P4" s="27"/>
      <c r="Q4" s="102"/>
      <c r="R4" s="102"/>
      <c r="S4" s="24"/>
      <c r="T4" s="103"/>
      <c r="U4" s="103"/>
      <c r="V4" s="103"/>
      <c r="W4" s="103"/>
      <c r="X4" s="103"/>
    </row>
    <row r="5" spans="1:24" ht="15.75">
      <c r="H5" s="38" t="s">
        <v>81</v>
      </c>
      <c r="I5" s="63">
        <f>ONSV_AUX_2023!AB27</f>
        <v>0</v>
      </c>
      <c r="J5" s="9"/>
      <c r="K5" s="103" t="s">
        <v>118</v>
      </c>
      <c r="L5" s="103"/>
      <c r="M5" s="9"/>
      <c r="N5" s="28" t="s">
        <v>119</v>
      </c>
      <c r="O5" s="28"/>
      <c r="Q5" s="28" t="s">
        <v>120</v>
      </c>
      <c r="R5" s="28"/>
      <c r="S5" s="28"/>
      <c r="T5" s="27" t="s">
        <v>121</v>
      </c>
      <c r="U5" s="27"/>
      <c r="V5" s="27"/>
      <c r="W5" s="27"/>
      <c r="X5" s="27"/>
    </row>
    <row r="6" spans="1:24" ht="15.75">
      <c r="H6" s="38" t="s">
        <v>84</v>
      </c>
      <c r="I6" s="63">
        <f>ONSV_AUX_2023!AB28</f>
        <v>0</v>
      </c>
      <c r="J6" s="9"/>
      <c r="K6" s="9"/>
      <c r="L6" s="9"/>
      <c r="M6" s="9"/>
      <c r="N6" s="9"/>
      <c r="O6" s="9"/>
      <c r="P6" s="22"/>
      <c r="Q6" s="11"/>
      <c r="R6" s="11"/>
      <c r="S6" s="11"/>
    </row>
    <row r="7" spans="1:24" ht="15.75">
      <c r="H7" s="38" t="s">
        <v>85</v>
      </c>
      <c r="I7" s="63">
        <f>ONSV_AUX_2023!AB29</f>
        <v>0</v>
      </c>
      <c r="J7" s="9"/>
      <c r="K7" s="2" t="s">
        <v>122</v>
      </c>
      <c r="L7" s="63" t="e">
        <f>I14+I17+I18+I23</f>
        <v>#DIV/0!</v>
      </c>
      <c r="N7" s="30" t="s">
        <v>123</v>
      </c>
      <c r="O7" s="63" t="e">
        <f>J14+J23</f>
        <v>#DIV/0!</v>
      </c>
      <c r="P7" s="67"/>
      <c r="Q7" s="68" t="s">
        <v>124</v>
      </c>
      <c r="R7" s="63" t="e">
        <f>J17+J18</f>
        <v>#DIV/0!</v>
      </c>
      <c r="S7" s="69"/>
      <c r="T7" s="68" t="s">
        <v>125</v>
      </c>
      <c r="U7" s="70" t="e">
        <f>O11</f>
        <v>#DIV/0!</v>
      </c>
      <c r="V7" s="51"/>
      <c r="W7" s="68" t="s">
        <v>126</v>
      </c>
      <c r="X7" s="71" t="e">
        <f>R13</f>
        <v>#DIV/0!</v>
      </c>
    </row>
    <row r="8" spans="1:24" ht="15.75">
      <c r="H8" s="38" t="s">
        <v>102</v>
      </c>
      <c r="I8" s="63">
        <f>ONSV_AUX_2023!AB30</f>
        <v>0</v>
      </c>
      <c r="J8" s="9"/>
      <c r="K8" s="29"/>
      <c r="L8" s="65"/>
      <c r="M8" s="22"/>
      <c r="N8" s="30" t="s">
        <v>127</v>
      </c>
      <c r="O8" s="72" t="e">
        <f>J14/O7</f>
        <v>#DIV/0!</v>
      </c>
      <c r="P8" s="67"/>
      <c r="Q8" s="73" t="s">
        <v>128</v>
      </c>
      <c r="R8" s="66" t="e">
        <f>J17/R7</f>
        <v>#DIV/0!</v>
      </c>
      <c r="S8" s="74"/>
      <c r="T8" s="68" t="s">
        <v>129</v>
      </c>
      <c r="U8" s="70" t="e">
        <f>I23-J23</f>
        <v>#DIV/0!</v>
      </c>
      <c r="V8" s="51"/>
      <c r="W8" s="68" t="s">
        <v>130</v>
      </c>
      <c r="X8" s="71" t="e">
        <f>I18-J18</f>
        <v>#DIV/0!</v>
      </c>
    </row>
    <row r="9" spans="1:24" ht="15.75">
      <c r="H9" s="38" t="s">
        <v>16</v>
      </c>
      <c r="I9" s="63">
        <f>ONSV_AUX_2023!AB31</f>
        <v>0</v>
      </c>
      <c r="J9" s="9"/>
      <c r="K9" s="2" t="s">
        <v>131</v>
      </c>
      <c r="L9" s="66" t="e">
        <f>I14/L7</f>
        <v>#DIV/0!</v>
      </c>
      <c r="M9" s="22"/>
      <c r="N9" s="30" t="s">
        <v>132</v>
      </c>
      <c r="O9" s="72" t="e">
        <f>J23/O7</f>
        <v>#DIV/0!</v>
      </c>
      <c r="P9" s="67"/>
      <c r="Q9" s="73" t="s">
        <v>133</v>
      </c>
      <c r="R9" s="66" t="e">
        <f>J18/R7</f>
        <v>#DIV/0!</v>
      </c>
      <c r="S9" s="74"/>
      <c r="T9" s="68" t="s">
        <v>134</v>
      </c>
      <c r="U9" s="75" t="e">
        <f>O13</f>
        <v>#DIV/0!</v>
      </c>
      <c r="V9" s="76"/>
      <c r="W9" s="68" t="s">
        <v>135</v>
      </c>
      <c r="X9" s="75" t="e">
        <f>R16</f>
        <v>#DIV/0!</v>
      </c>
    </row>
    <row r="10" spans="1:24" ht="15.75">
      <c r="H10" s="38" t="s">
        <v>94</v>
      </c>
      <c r="I10" s="63">
        <f>ONSV_AUX_2023!AB32</f>
        <v>0</v>
      </c>
      <c r="J10" s="10"/>
      <c r="K10" s="2" t="s">
        <v>2</v>
      </c>
      <c r="L10" s="66" t="e">
        <f>I17/L7</f>
        <v>#DIV/0!</v>
      </c>
      <c r="M10" s="22"/>
      <c r="N10" s="22"/>
      <c r="O10" s="77"/>
      <c r="P10" s="51"/>
      <c r="Q10" s="51"/>
      <c r="R10" s="51"/>
      <c r="S10" s="51"/>
      <c r="T10" s="51"/>
      <c r="U10" s="65"/>
      <c r="V10" s="78"/>
      <c r="W10" s="51"/>
      <c r="X10" s="65"/>
    </row>
    <row r="11" spans="1:24" ht="15.75">
      <c r="K11" s="2" t="s">
        <v>3</v>
      </c>
      <c r="L11" s="66" t="e">
        <f>I18/L7</f>
        <v>#DIV/0!</v>
      </c>
      <c r="M11" s="22"/>
      <c r="N11" s="30" t="s">
        <v>136</v>
      </c>
      <c r="O11" s="63" t="e">
        <f>IF(O9*I6&gt;J23,J23,O9*I6)</f>
        <v>#DIV/0!</v>
      </c>
      <c r="P11" s="79"/>
      <c r="Q11" s="68" t="s">
        <v>137</v>
      </c>
      <c r="R11" s="63" t="e">
        <f>I7-I15-I16-I19-I22</f>
        <v>#DIV/0!</v>
      </c>
      <c r="S11" s="80"/>
      <c r="T11" s="68" t="s">
        <v>138</v>
      </c>
      <c r="U11" s="70" t="e">
        <f>O19</f>
        <v>#DIV/0!</v>
      </c>
      <c r="V11" s="79"/>
      <c r="W11" s="68" t="s">
        <v>139</v>
      </c>
      <c r="X11" s="70" t="e">
        <f>I15</f>
        <v>#DIV/0!</v>
      </c>
    </row>
    <row r="12" spans="1:24" ht="15.75">
      <c r="H12" s="26" t="s">
        <v>140</v>
      </c>
      <c r="K12" s="2" t="s">
        <v>0</v>
      </c>
      <c r="L12" s="66" t="e">
        <f>I23/L7</f>
        <v>#DIV/0!</v>
      </c>
      <c r="O12" s="51"/>
      <c r="P12" s="79"/>
      <c r="Q12" s="68" t="s">
        <v>141</v>
      </c>
      <c r="R12" s="63" t="e">
        <f>R8*R11</f>
        <v>#DIV/0!</v>
      </c>
      <c r="S12" s="51"/>
      <c r="T12" s="68" t="s">
        <v>142</v>
      </c>
      <c r="U12" s="70">
        <f>O17</f>
        <v>0</v>
      </c>
      <c r="V12" s="69"/>
      <c r="W12" s="68" t="s">
        <v>143</v>
      </c>
      <c r="X12" s="70" t="e">
        <f>I16</f>
        <v>#DIV/0!</v>
      </c>
    </row>
    <row r="13" spans="1:24" ht="15.75">
      <c r="K13" s="11"/>
      <c r="L13" s="11"/>
      <c r="M13" s="11"/>
      <c r="N13" s="30" t="s">
        <v>144</v>
      </c>
      <c r="O13" s="63" t="e">
        <f>J23-O11</f>
        <v>#DIV/0!</v>
      </c>
      <c r="P13" s="79"/>
      <c r="Q13" s="68" t="s">
        <v>126</v>
      </c>
      <c r="R13" s="63" t="e">
        <f>R9*R11</f>
        <v>#DIV/0!</v>
      </c>
      <c r="S13" s="51"/>
      <c r="T13" s="68" t="s">
        <v>145</v>
      </c>
      <c r="U13" s="70">
        <f>O18</f>
        <v>0</v>
      </c>
      <c r="V13" s="74"/>
      <c r="W13" s="51"/>
      <c r="X13" s="65"/>
    </row>
    <row r="14" spans="1:24" ht="15.75">
      <c r="H14" s="39" t="s">
        <v>104</v>
      </c>
      <c r="I14" s="63" t="e">
        <f>ONSV_AUX_2023!AB56</f>
        <v>#DIV/0!</v>
      </c>
      <c r="J14" s="64" t="e">
        <f>I14-(L9*I8)</f>
        <v>#DIV/0!</v>
      </c>
      <c r="K14" s="11"/>
      <c r="L14" s="11"/>
      <c r="M14" s="11"/>
      <c r="O14" s="79"/>
      <c r="P14" s="79"/>
      <c r="Q14" s="51"/>
      <c r="R14" s="81"/>
      <c r="S14" s="51"/>
      <c r="T14" s="68" t="s">
        <v>146</v>
      </c>
      <c r="U14" s="71" t="e">
        <f>I14-J14</f>
        <v>#DIV/0!</v>
      </c>
      <c r="V14" s="74"/>
      <c r="W14" s="68" t="s">
        <v>147</v>
      </c>
      <c r="X14" s="70" t="e">
        <f>I22</f>
        <v>#DIV/0!</v>
      </c>
    </row>
    <row r="15" spans="1:24" ht="15.75">
      <c r="H15" s="39" t="s">
        <v>105</v>
      </c>
      <c r="I15" s="63" t="e">
        <f>ONSV_AUX_2023!AB57</f>
        <v>#DIV/0!</v>
      </c>
      <c r="J15" s="10" t="e">
        <f>I15</f>
        <v>#DIV/0!</v>
      </c>
      <c r="K15" s="11"/>
      <c r="L15" s="11"/>
      <c r="M15" s="11"/>
      <c r="N15" s="28" t="s">
        <v>148</v>
      </c>
      <c r="O15" s="79"/>
      <c r="P15" s="79"/>
      <c r="Q15" s="68" t="s">
        <v>149</v>
      </c>
      <c r="R15" s="63" t="e">
        <f>J17-R12</f>
        <v>#DIV/0!</v>
      </c>
      <c r="S15" s="51"/>
      <c r="T15" s="68" t="s">
        <v>150</v>
      </c>
      <c r="U15" s="75" t="e">
        <f>O20</f>
        <v>#DIV/0!</v>
      </c>
      <c r="V15" s="51"/>
      <c r="W15" s="68" t="s">
        <v>151</v>
      </c>
      <c r="X15" s="70" t="e">
        <f>I19</f>
        <v>#DIV/0!</v>
      </c>
    </row>
    <row r="16" spans="1:24" ht="15.75">
      <c r="H16" s="39" t="s">
        <v>106</v>
      </c>
      <c r="I16" s="63" t="e">
        <f>ONSV_AUX_2023!AB58</f>
        <v>#DIV/0!</v>
      </c>
      <c r="J16" s="10" t="e">
        <f>I16</f>
        <v>#DIV/0!</v>
      </c>
      <c r="K16" s="11"/>
      <c r="L16" s="11"/>
      <c r="M16" s="11"/>
      <c r="O16" s="76"/>
      <c r="P16" s="79"/>
      <c r="Q16" s="68" t="s">
        <v>135</v>
      </c>
      <c r="R16" s="63" t="e">
        <f>J18-R13</f>
        <v>#DIV/0!</v>
      </c>
      <c r="S16" s="51"/>
      <c r="T16" s="51"/>
      <c r="U16" s="65"/>
      <c r="V16" s="80"/>
      <c r="W16" s="51"/>
      <c r="X16" s="65"/>
    </row>
    <row r="17" spans="1:24" ht="15.75">
      <c r="H17" s="39" t="s">
        <v>107</v>
      </c>
      <c r="I17" s="63" t="e">
        <f>ONSV_AUX_2023!AB59</f>
        <v>#DIV/0!</v>
      </c>
      <c r="J17" s="64" t="e">
        <f>I17-(L10*I8)</f>
        <v>#DIV/0!</v>
      </c>
      <c r="K17" s="11"/>
      <c r="L17" s="11"/>
      <c r="M17" s="11"/>
      <c r="N17" s="30" t="s">
        <v>142</v>
      </c>
      <c r="O17" s="63">
        <f>I5</f>
        <v>0</v>
      </c>
      <c r="P17" s="79"/>
      <c r="Q17" s="51"/>
      <c r="R17" s="51"/>
      <c r="S17" s="80"/>
      <c r="T17" s="68" t="s">
        <v>141</v>
      </c>
      <c r="U17" s="71" t="e">
        <f>R12</f>
        <v>#DIV/0!</v>
      </c>
      <c r="V17" s="51"/>
      <c r="W17" s="68" t="s">
        <v>152</v>
      </c>
      <c r="X17" s="70" t="e">
        <f>I20</f>
        <v>#DIV/0!</v>
      </c>
    </row>
    <row r="18" spans="1:24" ht="15.75">
      <c r="H18" s="39" t="s">
        <v>108</v>
      </c>
      <c r="I18" s="63" t="e">
        <f>ONSV_AUX_2023!AB60</f>
        <v>#DIV/0!</v>
      </c>
      <c r="J18" s="64" t="e">
        <f>I18-(L11*I8)</f>
        <v>#DIV/0!</v>
      </c>
      <c r="K18" s="11"/>
      <c r="L18" s="11"/>
      <c r="M18" s="11"/>
      <c r="N18" s="30" t="s">
        <v>145</v>
      </c>
      <c r="O18" s="63">
        <f>I9</f>
        <v>0</v>
      </c>
      <c r="P18" s="79"/>
      <c r="Q18" s="51"/>
      <c r="R18" s="51"/>
      <c r="S18" s="51"/>
      <c r="T18" s="68" t="s">
        <v>153</v>
      </c>
      <c r="U18" s="71" t="e">
        <f>I17-J17</f>
        <v>#DIV/0!</v>
      </c>
      <c r="V18" s="51"/>
      <c r="W18" s="68" t="s">
        <v>154</v>
      </c>
      <c r="X18" s="70" t="e">
        <f>I21</f>
        <v>#DIV/0!</v>
      </c>
    </row>
    <row r="19" spans="1:24" ht="15.75">
      <c r="H19" s="39" t="s">
        <v>109</v>
      </c>
      <c r="I19" s="63" t="e">
        <f>ONSV_AUX_2023!AB61</f>
        <v>#DIV/0!</v>
      </c>
      <c r="J19" s="10" t="e">
        <f>I19</f>
        <v>#DIV/0!</v>
      </c>
      <c r="K19" s="11"/>
      <c r="L19" s="11"/>
      <c r="M19" s="11"/>
      <c r="N19" s="30" t="s">
        <v>138</v>
      </c>
      <c r="O19" s="63" t="e">
        <f>IF(OR((O8*I6&gt;J14),((O17+O18+(O8*I6))&gt;J14)),(J14-O17-O18),(O8*I6))</f>
        <v>#DIV/0!</v>
      </c>
      <c r="P19" s="79"/>
      <c r="Q19" s="51"/>
      <c r="R19" s="81"/>
      <c r="S19" s="51"/>
      <c r="T19" s="68" t="s">
        <v>149</v>
      </c>
      <c r="U19" s="75" t="e">
        <f>R15</f>
        <v>#DIV/0!</v>
      </c>
      <c r="V19" s="51"/>
      <c r="W19" s="51"/>
      <c r="X19" s="51"/>
    </row>
    <row r="20" spans="1:24" ht="15.75">
      <c r="H20" s="39" t="s">
        <v>110</v>
      </c>
      <c r="I20" s="63" t="e">
        <f>ONSV_AUX_2023!AB62</f>
        <v>#DIV/0!</v>
      </c>
      <c r="J20" s="10" t="e">
        <f t="shared" ref="J20:J22" si="0">I20</f>
        <v>#DIV/0!</v>
      </c>
      <c r="K20" s="11"/>
      <c r="L20" s="11"/>
      <c r="M20" s="11"/>
      <c r="N20" s="30" t="s">
        <v>150</v>
      </c>
      <c r="O20" s="63" t="e">
        <f>IF((J14-O17-O19-O18)&lt;0,0,(J14-O17-O19-O18))</f>
        <v>#DIV/0!</v>
      </c>
      <c r="P20" s="51"/>
      <c r="Q20" s="51"/>
      <c r="R20" s="51"/>
      <c r="S20" s="51"/>
      <c r="T20" s="51"/>
      <c r="U20" s="65"/>
      <c r="V20" s="51"/>
      <c r="W20" s="51"/>
      <c r="X20" s="51"/>
    </row>
    <row r="21" spans="1:24" ht="15.75">
      <c r="H21" s="39" t="s">
        <v>111</v>
      </c>
      <c r="I21" s="63" t="e">
        <f>ONSV_AUX_2023!AB63</f>
        <v>#DIV/0!</v>
      </c>
      <c r="J21" s="10" t="e">
        <f t="shared" si="0"/>
        <v>#DIV/0!</v>
      </c>
      <c r="K21" s="11"/>
      <c r="L21" s="11"/>
      <c r="M21" s="11"/>
      <c r="O21" s="51"/>
      <c r="P21" s="79"/>
      <c r="Q21" s="51"/>
      <c r="R21" s="51"/>
      <c r="S21" s="51"/>
      <c r="T21" s="82" t="s">
        <v>155</v>
      </c>
      <c r="U21" s="83" t="e">
        <f>(SUM(U7:U19,X7:X18)/SUM(I14:I23))-1</f>
        <v>#DIV/0!</v>
      </c>
      <c r="V21" s="51"/>
      <c r="W21" s="82" t="s">
        <v>10</v>
      </c>
      <c r="X21" s="70" t="e">
        <f>SUM(U7:U19,X7:X18)</f>
        <v>#DIV/0!</v>
      </c>
    </row>
    <row r="22" spans="1:24" ht="15.75">
      <c r="H22" s="39" t="s">
        <v>112</v>
      </c>
      <c r="I22" s="63" t="e">
        <f>ONSV_AUX_2023!AB64</f>
        <v>#DIV/0!</v>
      </c>
      <c r="J22" s="10" t="e">
        <f t="shared" si="0"/>
        <v>#DIV/0!</v>
      </c>
      <c r="K22" s="11"/>
      <c r="L22" s="11"/>
      <c r="M22" s="11"/>
      <c r="O22" s="51"/>
      <c r="P22" s="79"/>
      <c r="Q22" s="51"/>
      <c r="R22" s="51"/>
      <c r="S22" s="51"/>
      <c r="T22" s="51"/>
      <c r="U22" s="51"/>
      <c r="V22" s="51"/>
      <c r="W22" s="51"/>
      <c r="X22" s="51"/>
    </row>
    <row r="23" spans="1:24" ht="15.75">
      <c r="H23" s="39" t="s">
        <v>113</v>
      </c>
      <c r="I23" s="63" t="e">
        <f>ONSV_AUX_2023!AB65</f>
        <v>#DIV/0!</v>
      </c>
      <c r="J23" s="64" t="e">
        <f>I23-(L12*I8)</f>
        <v>#DIV/0!</v>
      </c>
      <c r="K23" s="12"/>
      <c r="L23" s="12"/>
      <c r="M23" s="12"/>
      <c r="N23" s="12"/>
      <c r="O23" s="12"/>
      <c r="P23" s="12"/>
      <c r="Q23" s="4"/>
      <c r="R23" s="4"/>
    </row>
    <row r="25" spans="1:24" s="36" customFormat="1" ht="15.75">
      <c r="A25" s="100" t="str">
        <f>"TOCATINS/"&amp;ONSV_AUX_2022!$A$1&amp;""</f>
        <v>TOCATINS/2022</v>
      </c>
      <c r="B25" s="101"/>
      <c r="C25" s="101"/>
      <c r="D25" s="101"/>
      <c r="E25" s="101"/>
      <c r="F25" s="10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5.75">
      <c r="A26" s="3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5" t="s">
        <v>117</v>
      </c>
      <c r="N27" s="28"/>
      <c r="O27" s="28"/>
      <c r="P27" s="9"/>
      <c r="Q27" s="28"/>
      <c r="R27" s="28"/>
      <c r="S27" s="28"/>
      <c r="T27" s="103"/>
      <c r="U27" s="103"/>
      <c r="V27" s="103"/>
      <c r="W27" s="103"/>
      <c r="X27" s="103"/>
    </row>
    <row r="28" spans="1:24" ht="15.75">
      <c r="B28" s="5"/>
      <c r="J28" s="9"/>
      <c r="M28" s="27"/>
    </row>
    <row r="29" spans="1:24" ht="15.75">
      <c r="H29" s="38" t="s">
        <v>81</v>
      </c>
      <c r="I29" s="63">
        <f>ONSV_AUX_2022!AB27</f>
        <v>11044</v>
      </c>
      <c r="J29" s="9"/>
      <c r="K29" s="103" t="s">
        <v>118</v>
      </c>
      <c r="L29" s="103"/>
      <c r="M29" s="9"/>
      <c r="N29" s="28" t="s">
        <v>119</v>
      </c>
      <c r="O29" s="28"/>
      <c r="Q29" s="28" t="s">
        <v>120</v>
      </c>
      <c r="R29" s="28"/>
      <c r="S29" s="28"/>
      <c r="T29" s="27" t="s">
        <v>121</v>
      </c>
      <c r="U29" s="27"/>
      <c r="V29" s="27"/>
      <c r="W29" s="27"/>
      <c r="X29" s="27"/>
    </row>
    <row r="30" spans="1:24" ht="15.75">
      <c r="H30" s="38" t="s">
        <v>84</v>
      </c>
      <c r="I30" s="63">
        <f>ONSV_AUX_2022!AB28</f>
        <v>329774</v>
      </c>
      <c r="J30" s="9"/>
      <c r="K30" s="9"/>
      <c r="L30" s="9"/>
      <c r="M30" s="9"/>
      <c r="N30" s="9"/>
      <c r="O30" s="9"/>
      <c r="P30" s="22"/>
      <c r="Q30" s="11"/>
      <c r="R30" s="11"/>
      <c r="S30" s="11"/>
    </row>
    <row r="31" spans="1:24" ht="15.75">
      <c r="H31" s="38" t="s">
        <v>85</v>
      </c>
      <c r="I31" s="63">
        <f>ONSV_AUX_2022!AB29</f>
        <v>88764</v>
      </c>
      <c r="J31" s="9"/>
      <c r="K31" s="2" t="s">
        <v>122</v>
      </c>
      <c r="L31" s="63">
        <f>I38+I41+I42+I47</f>
        <v>353903</v>
      </c>
      <c r="N31" s="30" t="s">
        <v>123</v>
      </c>
      <c r="O31" s="63">
        <f>J38+J47</f>
        <v>258346.45213518958</v>
      </c>
      <c r="P31" s="67"/>
      <c r="Q31" s="68" t="s">
        <v>124</v>
      </c>
      <c r="R31" s="63">
        <f>J41+J42</f>
        <v>95168.547864810404</v>
      </c>
      <c r="S31" s="69"/>
      <c r="T31" s="68" t="s">
        <v>125</v>
      </c>
      <c r="U31" s="70">
        <f>O35</f>
        <v>6830.5031887268542</v>
      </c>
      <c r="V31" s="51"/>
      <c r="W31" s="68" t="s">
        <v>126</v>
      </c>
      <c r="X31" s="71">
        <f>R37</f>
        <v>7105.1493287710064</v>
      </c>
    </row>
    <row r="32" spans="1:24" ht="15.75">
      <c r="H32" s="38" t="s">
        <v>102</v>
      </c>
      <c r="I32" s="63">
        <f>ONSV_AUX_2022!AB30</f>
        <v>388</v>
      </c>
      <c r="J32" s="9"/>
      <c r="K32" s="29"/>
      <c r="L32" s="65"/>
      <c r="M32" s="22"/>
      <c r="N32" s="30" t="s">
        <v>127</v>
      </c>
      <c r="O32" s="72">
        <f>J38/O31</f>
        <v>0.973560685148668</v>
      </c>
      <c r="P32" s="67"/>
      <c r="Q32" s="73" t="s">
        <v>128</v>
      </c>
      <c r="R32" s="66">
        <f>J41/R31</f>
        <v>0.85245557503175085</v>
      </c>
      <c r="S32" s="74"/>
      <c r="T32" s="68" t="s">
        <v>129</v>
      </c>
      <c r="U32" s="70">
        <f>I47-J47</f>
        <v>7.496811273145795</v>
      </c>
      <c r="V32" s="51"/>
      <c r="W32" s="68" t="s">
        <v>130</v>
      </c>
      <c r="X32" s="71">
        <f>I42-J42</f>
        <v>15.411330223252662</v>
      </c>
    </row>
    <row r="33" spans="8:24" ht="15.75">
      <c r="H33" s="38" t="s">
        <v>16</v>
      </c>
      <c r="I33" s="63">
        <f>ONSV_AUX_2022!AB31</f>
        <v>351</v>
      </c>
      <c r="J33" s="9"/>
      <c r="K33" s="2" t="s">
        <v>131</v>
      </c>
      <c r="L33" s="66">
        <f>I38/L31</f>
        <v>0.71147178746718731</v>
      </c>
      <c r="M33" s="22"/>
      <c r="N33" s="30" t="s">
        <v>132</v>
      </c>
      <c r="O33" s="72">
        <f>J47/O31</f>
        <v>2.6439314851332017E-2</v>
      </c>
      <c r="P33" s="67"/>
      <c r="Q33" s="73" t="s">
        <v>133</v>
      </c>
      <c r="R33" s="66">
        <f>J42/R31</f>
        <v>0.14754442496824915</v>
      </c>
      <c r="S33" s="74"/>
      <c r="T33" s="68" t="s">
        <v>134</v>
      </c>
      <c r="U33" s="75">
        <f>O37</f>
        <v>0</v>
      </c>
      <c r="V33" s="76"/>
      <c r="W33" s="68" t="s">
        <v>135</v>
      </c>
      <c r="X33" s="75">
        <f>R40</f>
        <v>6936.439341005741</v>
      </c>
    </row>
    <row r="34" spans="8:24" ht="15.75">
      <c r="H34" s="38" t="s">
        <v>94</v>
      </c>
      <c r="I34" s="63">
        <f>ONSV_AUX_2022!AB32</f>
        <v>333963</v>
      </c>
      <c r="J34" s="10"/>
      <c r="K34" s="2" t="s">
        <v>2</v>
      </c>
      <c r="L34" s="66">
        <f>I41/L31</f>
        <v>0.22948661073797058</v>
      </c>
      <c r="M34" s="22"/>
      <c r="N34" s="22"/>
      <c r="O34" s="77"/>
      <c r="P34" s="51"/>
      <c r="Q34" s="51"/>
      <c r="R34" s="51"/>
      <c r="S34" s="51"/>
      <c r="T34" s="51"/>
      <c r="U34" s="65"/>
      <c r="V34" s="78"/>
      <c r="W34" s="51"/>
      <c r="X34" s="65"/>
    </row>
    <row r="35" spans="8:24" ht="15.75">
      <c r="K35" s="2" t="s">
        <v>3</v>
      </c>
      <c r="L35" s="66">
        <f>I42/L31</f>
        <v>3.9719923255807379E-2</v>
      </c>
      <c r="M35" s="22"/>
      <c r="N35" s="30" t="s">
        <v>136</v>
      </c>
      <c r="O35" s="63">
        <f>IF(O33*I30&gt;J47,J47,O33*I30)</f>
        <v>6830.5031887268542</v>
      </c>
      <c r="P35" s="79"/>
      <c r="Q35" s="68" t="s">
        <v>137</v>
      </c>
      <c r="R35" s="63">
        <f>I31-I39-I40-I43-I46</f>
        <v>48156</v>
      </c>
      <c r="S35" s="80"/>
      <c r="T35" s="68" t="s">
        <v>138</v>
      </c>
      <c r="U35" s="70">
        <f>O43</f>
        <v>240120.94894646274</v>
      </c>
      <c r="V35" s="79"/>
      <c r="W35" s="68" t="s">
        <v>139</v>
      </c>
      <c r="X35" s="70">
        <f>I39</f>
        <v>24448</v>
      </c>
    </row>
    <row r="36" spans="8:24" ht="15.75">
      <c r="H36" s="26" t="s">
        <v>140</v>
      </c>
      <c r="K36" s="2" t="s">
        <v>0</v>
      </c>
      <c r="L36" s="66">
        <f>I47/L31</f>
        <v>1.9321678539034708E-2</v>
      </c>
      <c r="O36" s="51"/>
      <c r="P36" s="79"/>
      <c r="Q36" s="68" t="s">
        <v>141</v>
      </c>
      <c r="R36" s="63">
        <f>R32*R35</f>
        <v>41050.850671228996</v>
      </c>
      <c r="S36" s="51"/>
      <c r="T36" s="68" t="s">
        <v>142</v>
      </c>
      <c r="U36" s="70">
        <f>O41</f>
        <v>11044</v>
      </c>
      <c r="V36" s="69"/>
      <c r="W36" s="68" t="s">
        <v>143</v>
      </c>
      <c r="X36" s="70">
        <f>I40</f>
        <v>8148</v>
      </c>
    </row>
    <row r="37" spans="8:24" ht="15.75">
      <c r="K37" s="11"/>
      <c r="L37" s="11"/>
      <c r="M37" s="11"/>
      <c r="N37" s="30" t="s">
        <v>144</v>
      </c>
      <c r="O37" s="63">
        <f>J47-O35</f>
        <v>0</v>
      </c>
      <c r="P37" s="79"/>
      <c r="Q37" s="68" t="s">
        <v>126</v>
      </c>
      <c r="R37" s="63">
        <f>R33*R35</f>
        <v>7105.1493287710064</v>
      </c>
      <c r="S37" s="51"/>
      <c r="T37" s="68" t="s">
        <v>145</v>
      </c>
      <c r="U37" s="70">
        <f>O42</f>
        <v>351</v>
      </c>
      <c r="V37" s="74"/>
      <c r="W37" s="51"/>
      <c r="X37" s="65"/>
    </row>
    <row r="38" spans="8:24" ht="15.75">
      <c r="H38" s="39" t="s">
        <v>104</v>
      </c>
      <c r="I38" s="63">
        <f>ONSV_AUX_2022!AB56</f>
        <v>251792</v>
      </c>
      <c r="J38" s="64">
        <f>I38-(L33*I32)</f>
        <v>251515.94894646274</v>
      </c>
      <c r="K38" s="11"/>
      <c r="L38" s="11"/>
      <c r="M38" s="11"/>
      <c r="O38" s="79"/>
      <c r="P38" s="79"/>
      <c r="Q38" s="51"/>
      <c r="R38" s="81"/>
      <c r="S38" s="51"/>
      <c r="T38" s="68" t="s">
        <v>146</v>
      </c>
      <c r="U38" s="71">
        <f>I38-J38</f>
        <v>276.05105353725958</v>
      </c>
      <c r="V38" s="74"/>
      <c r="W38" s="68" t="s">
        <v>147</v>
      </c>
      <c r="X38" s="70">
        <f>I46</f>
        <v>6225</v>
      </c>
    </row>
    <row r="39" spans="8:24" ht="15.75">
      <c r="H39" s="39" t="s">
        <v>105</v>
      </c>
      <c r="I39" s="63">
        <f>ONSV_AUX_2022!AB57</f>
        <v>24448</v>
      </c>
      <c r="J39" s="10">
        <f>I39</f>
        <v>24448</v>
      </c>
      <c r="K39" s="11"/>
      <c r="L39" s="11"/>
      <c r="M39" s="11"/>
      <c r="N39" s="28" t="s">
        <v>148</v>
      </c>
      <c r="O39" s="79"/>
      <c r="P39" s="79"/>
      <c r="Q39" s="68" t="s">
        <v>149</v>
      </c>
      <c r="R39" s="63">
        <f>J41-R36</f>
        <v>40076.108523804665</v>
      </c>
      <c r="S39" s="51"/>
      <c r="T39" s="68" t="s">
        <v>150</v>
      </c>
      <c r="U39" s="75">
        <f>O44</f>
        <v>0</v>
      </c>
      <c r="V39" s="51"/>
      <c r="W39" s="68" t="s">
        <v>151</v>
      </c>
      <c r="X39" s="70">
        <f>I43</f>
        <v>1787</v>
      </c>
    </row>
    <row r="40" spans="8:24" ht="15.75">
      <c r="H40" s="39" t="s">
        <v>106</v>
      </c>
      <c r="I40" s="63">
        <f>ONSV_AUX_2022!AB58</f>
        <v>8148</v>
      </c>
      <c r="J40" s="10">
        <f>I40</f>
        <v>8148</v>
      </c>
      <c r="K40" s="11"/>
      <c r="L40" s="11"/>
      <c r="M40" s="11"/>
      <c r="O40" s="76"/>
      <c r="P40" s="79"/>
      <c r="Q40" s="68" t="s">
        <v>135</v>
      </c>
      <c r="R40" s="63">
        <f>J42-R37</f>
        <v>6936.439341005741</v>
      </c>
      <c r="S40" s="51"/>
      <c r="T40" s="51"/>
      <c r="U40" s="65"/>
      <c r="V40" s="80"/>
      <c r="W40" s="51"/>
      <c r="X40" s="65"/>
    </row>
    <row r="41" spans="8:24" ht="15.75">
      <c r="H41" s="39" t="s">
        <v>107</v>
      </c>
      <c r="I41" s="63">
        <f>ONSV_AUX_2022!AB59</f>
        <v>81216</v>
      </c>
      <c r="J41" s="64">
        <f>I41-(L34*I32)</f>
        <v>81126.959195033662</v>
      </c>
      <c r="K41" s="11"/>
      <c r="L41" s="11"/>
      <c r="M41" s="11"/>
      <c r="N41" s="30" t="s">
        <v>142</v>
      </c>
      <c r="O41" s="63">
        <f>I29</f>
        <v>11044</v>
      </c>
      <c r="P41" s="79"/>
      <c r="Q41" s="51"/>
      <c r="R41" s="51"/>
      <c r="S41" s="80"/>
      <c r="T41" s="68" t="s">
        <v>141</v>
      </c>
      <c r="U41" s="71">
        <f>R36</f>
        <v>41050.850671228996</v>
      </c>
      <c r="V41" s="51"/>
      <c r="W41" s="68" t="s">
        <v>152</v>
      </c>
      <c r="X41" s="70">
        <f>I44</f>
        <v>260512</v>
      </c>
    </row>
    <row r="42" spans="8:24" ht="15.75">
      <c r="H42" s="39" t="s">
        <v>108</v>
      </c>
      <c r="I42" s="63">
        <f>ONSV_AUX_2022!AB60</f>
        <v>14057</v>
      </c>
      <c r="J42" s="64">
        <f>I42-(L35*I32)</f>
        <v>14041.588669776747</v>
      </c>
      <c r="K42" s="11"/>
      <c r="L42" s="11"/>
      <c r="M42" s="11"/>
      <c r="N42" s="30" t="s">
        <v>145</v>
      </c>
      <c r="O42" s="63">
        <f>I33</f>
        <v>351</v>
      </c>
      <c r="P42" s="79"/>
      <c r="Q42" s="51"/>
      <c r="R42" s="51"/>
      <c r="S42" s="51"/>
      <c r="T42" s="68" t="s">
        <v>153</v>
      </c>
      <c r="U42" s="71">
        <f>I41-J41</f>
        <v>89.040804966338328</v>
      </c>
      <c r="V42" s="51"/>
      <c r="W42" s="68" t="s">
        <v>154</v>
      </c>
      <c r="X42" s="70">
        <f>I45</f>
        <v>109154</v>
      </c>
    </row>
    <row r="43" spans="8:24" ht="15.75">
      <c r="H43" s="39" t="s">
        <v>109</v>
      </c>
      <c r="I43" s="63">
        <f>ONSV_AUX_2022!AB61</f>
        <v>1787</v>
      </c>
      <c r="J43" s="10">
        <f>I43</f>
        <v>1787</v>
      </c>
      <c r="K43" s="11"/>
      <c r="L43" s="11"/>
      <c r="M43" s="11"/>
      <c r="N43" s="30" t="s">
        <v>138</v>
      </c>
      <c r="O43" s="63">
        <f>IF(OR((O32*I30&gt;J38),((O41+O42+(O32*I30))&gt;J38)),(J38-O41-O42),(O32*I30))</f>
        <v>240120.94894646274</v>
      </c>
      <c r="P43" s="79"/>
      <c r="Q43" s="51"/>
      <c r="R43" s="81"/>
      <c r="S43" s="51"/>
      <c r="T43" s="68" t="s">
        <v>149</v>
      </c>
      <c r="U43" s="75">
        <f>R39</f>
        <v>40076.108523804665</v>
      </c>
      <c r="V43" s="51"/>
      <c r="W43" s="51"/>
      <c r="X43" s="51"/>
    </row>
    <row r="44" spans="8:24" ht="15.75">
      <c r="H44" s="39" t="s">
        <v>110</v>
      </c>
      <c r="I44" s="63">
        <f>ONSV_AUX_2022!AB62</f>
        <v>260512</v>
      </c>
      <c r="J44" s="10">
        <f>I44</f>
        <v>260512</v>
      </c>
      <c r="K44" s="11"/>
      <c r="L44" s="11"/>
      <c r="M44" s="11"/>
      <c r="N44" s="30" t="s">
        <v>150</v>
      </c>
      <c r="O44" s="63">
        <f>IF((J38-O41-O43-O42)&lt;0,0,(J38-O41-O43-O42))</f>
        <v>0</v>
      </c>
      <c r="P44" s="51"/>
      <c r="Q44" s="51"/>
      <c r="R44" s="51"/>
      <c r="S44" s="51"/>
      <c r="T44" s="51"/>
      <c r="U44" s="65"/>
      <c r="V44" s="51"/>
      <c r="W44" s="51"/>
      <c r="X44" s="51"/>
    </row>
    <row r="45" spans="8:24" ht="15.75">
      <c r="H45" s="39" t="s">
        <v>111</v>
      </c>
      <c r="I45" s="63">
        <f>ONSV_AUX_2022!AB63</f>
        <v>109154</v>
      </c>
      <c r="J45" s="10">
        <f>I45</f>
        <v>109154</v>
      </c>
      <c r="K45" s="11"/>
      <c r="L45" s="11"/>
      <c r="M45" s="11"/>
      <c r="O45" s="51"/>
      <c r="P45" s="79"/>
      <c r="Q45" s="51"/>
      <c r="R45" s="51"/>
      <c r="S45" s="51"/>
      <c r="T45" s="82" t="s">
        <v>155</v>
      </c>
      <c r="U45" s="83">
        <f>(SUM(U31:U43,X31:X42)/SUM(I38:I47))-1</f>
        <v>0</v>
      </c>
      <c r="V45" s="51"/>
      <c r="W45" s="82" t="s">
        <v>10</v>
      </c>
      <c r="X45" s="70">
        <f>SUM(U31:U43,X31:X42)</f>
        <v>764177</v>
      </c>
    </row>
    <row r="46" spans="8:24" ht="15.75">
      <c r="H46" s="39" t="s">
        <v>112</v>
      </c>
      <c r="I46" s="63">
        <f>ONSV_AUX_2022!AB64</f>
        <v>6225</v>
      </c>
      <c r="J46" s="10">
        <f>I46</f>
        <v>6225</v>
      </c>
      <c r="K46" s="11"/>
      <c r="L46" s="11"/>
      <c r="M46" s="11"/>
      <c r="O46" s="51"/>
      <c r="P46" s="79"/>
      <c r="Q46" s="51"/>
      <c r="R46" s="51"/>
      <c r="S46" s="51"/>
      <c r="T46" s="51"/>
      <c r="U46" s="51"/>
      <c r="V46" s="51"/>
      <c r="W46" s="51"/>
      <c r="X46" s="51"/>
    </row>
    <row r="47" spans="8:24" ht="15.75">
      <c r="H47" s="39" t="s">
        <v>113</v>
      </c>
      <c r="I47" s="63">
        <f>ONSV_AUX_2022!AB65</f>
        <v>6838</v>
      </c>
      <c r="J47" s="64">
        <f>I47-(L36*I32)</f>
        <v>6830.5031887268542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41"/>
      <c r="I48" s="42"/>
      <c r="J48" s="42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6" customFormat="1" ht="15.75">
      <c r="A50" s="100" t="str">
        <f>"TOCATINS/"&amp;ONSV_AUX_2021!$A$1&amp;""</f>
        <v>TOCATINS/2021</v>
      </c>
      <c r="B50" s="101"/>
      <c r="C50" s="101"/>
      <c r="D50" s="101"/>
      <c r="E50" s="101"/>
      <c r="F50" s="101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2" spans="1:24" ht="15.75">
      <c r="H52" s="25" t="s">
        <v>117</v>
      </c>
      <c r="N52" s="28"/>
      <c r="O52" s="28"/>
      <c r="P52" s="9"/>
      <c r="Q52" s="28"/>
      <c r="R52" s="28"/>
      <c r="S52" s="28"/>
      <c r="T52" s="103"/>
      <c r="U52" s="103"/>
      <c r="V52" s="103"/>
      <c r="W52" s="103"/>
      <c r="X52" s="103"/>
    </row>
    <row r="53" spans="1:24" ht="15.75">
      <c r="J53" s="9"/>
      <c r="M53" s="27"/>
      <c r="N53" s="9"/>
      <c r="O53" s="9"/>
      <c r="P53" s="9"/>
      <c r="Q53" s="11"/>
      <c r="R53" s="11"/>
      <c r="S53" s="11"/>
    </row>
    <row r="54" spans="1:24" ht="15.75">
      <c r="H54" s="38" t="s">
        <v>81</v>
      </c>
      <c r="I54" s="63">
        <f>ONSV_AUX_2021!AB27</f>
        <v>11019</v>
      </c>
      <c r="J54" s="9"/>
      <c r="K54" s="103" t="s">
        <v>118</v>
      </c>
      <c r="L54" s="103"/>
      <c r="M54" s="9"/>
      <c r="N54" s="28" t="s">
        <v>119</v>
      </c>
      <c r="O54" s="28"/>
      <c r="Q54" s="28" t="s">
        <v>120</v>
      </c>
      <c r="R54" s="28"/>
      <c r="S54" s="28"/>
      <c r="T54" s="27" t="s">
        <v>121</v>
      </c>
      <c r="U54" s="27"/>
      <c r="V54" s="27"/>
      <c r="W54" s="27"/>
      <c r="X54" s="27"/>
    </row>
    <row r="55" spans="1:24" ht="15.75">
      <c r="H55" s="38" t="s">
        <v>84</v>
      </c>
      <c r="I55" s="63">
        <f>ONSV_AUX_2021!AB28</f>
        <v>307822</v>
      </c>
      <c r="J55" s="9"/>
      <c r="K55" s="9"/>
      <c r="L55" s="9"/>
      <c r="M55" s="9"/>
      <c r="N55" s="9"/>
      <c r="O55" s="9"/>
      <c r="P55" s="22"/>
      <c r="Q55" s="11"/>
      <c r="R55" s="11"/>
      <c r="S55" s="11"/>
    </row>
    <row r="56" spans="1:24" ht="15.75">
      <c r="H56" s="38" t="s">
        <v>85</v>
      </c>
      <c r="I56" s="63">
        <f>ONSV_AUX_2021!AB29</f>
        <v>82853</v>
      </c>
      <c r="J56" s="9"/>
      <c r="K56" s="2" t="s">
        <v>122</v>
      </c>
      <c r="L56" s="63">
        <f>I63+I66+I67+I72</f>
        <v>336692</v>
      </c>
      <c r="N56" s="30" t="s">
        <v>123</v>
      </c>
      <c r="O56" s="63">
        <f>J63+J72</f>
        <v>247287.89981347939</v>
      </c>
      <c r="P56" s="67"/>
      <c r="Q56" s="68" t="s">
        <v>124</v>
      </c>
      <c r="R56" s="63">
        <f>J66+J67</f>
        <v>89178.10018652062</v>
      </c>
      <c r="S56" s="69"/>
      <c r="T56" s="68" t="s">
        <v>125</v>
      </c>
      <c r="U56" s="70">
        <f>O60</f>
        <v>5467.3276644529715</v>
      </c>
      <c r="V56" s="51"/>
      <c r="W56" s="68" t="s">
        <v>126</v>
      </c>
      <c r="X56" s="71">
        <f>R62</f>
        <v>6357.9597929133324</v>
      </c>
    </row>
    <row r="57" spans="1:24" ht="15.75">
      <c r="H57" s="38" t="s">
        <v>102</v>
      </c>
      <c r="I57" s="63">
        <f>ONSV_AUX_2021!AB30</f>
        <v>226</v>
      </c>
      <c r="J57" s="9"/>
      <c r="K57" s="29"/>
      <c r="L57" s="65"/>
      <c r="M57" s="22"/>
      <c r="N57" s="30" t="s">
        <v>127</v>
      </c>
      <c r="O57" s="72">
        <f>J63/O56</f>
        <v>0.97789084031779638</v>
      </c>
      <c r="P57" s="67"/>
      <c r="Q57" s="73" t="s">
        <v>128</v>
      </c>
      <c r="R57" s="66">
        <f>J66/R56</f>
        <v>0.85692193908424663</v>
      </c>
      <c r="S57" s="74"/>
      <c r="T57" s="68" t="s">
        <v>129</v>
      </c>
      <c r="U57" s="70">
        <f>I72-J72</f>
        <v>3.6723355470285242</v>
      </c>
      <c r="V57" s="51"/>
      <c r="W57" s="68" t="s">
        <v>130</v>
      </c>
      <c r="X57" s="71">
        <f>I67-J67</f>
        <v>8.5703491618460248</v>
      </c>
    </row>
    <row r="58" spans="1:24" ht="15.75">
      <c r="H58" s="38" t="s">
        <v>16</v>
      </c>
      <c r="I58" s="63">
        <f>ONSV_AUX_2021!AB31</f>
        <v>324</v>
      </c>
      <c r="J58" s="9"/>
      <c r="K58" s="2" t="s">
        <v>131</v>
      </c>
      <c r="L58" s="66">
        <f>I63/L56</f>
        <v>0.71870730519287662</v>
      </c>
      <c r="M58" s="22"/>
      <c r="N58" s="30" t="s">
        <v>132</v>
      </c>
      <c r="O58" s="72">
        <f>J72/O56</f>
        <v>2.2109159682203557E-2</v>
      </c>
      <c r="P58" s="67"/>
      <c r="Q58" s="73" t="s">
        <v>133</v>
      </c>
      <c r="R58" s="66">
        <f>J67/R56</f>
        <v>0.14307806091575337</v>
      </c>
      <c r="S58" s="74"/>
      <c r="T58" s="68" t="s">
        <v>134</v>
      </c>
      <c r="U58" s="75">
        <f>O62</f>
        <v>0</v>
      </c>
      <c r="V58" s="76"/>
      <c r="W58" s="68" t="s">
        <v>135</v>
      </c>
      <c r="X58" s="75">
        <f>R65</f>
        <v>6401.4698579248216</v>
      </c>
    </row>
    <row r="59" spans="1:24" ht="15.75">
      <c r="H59" s="38" t="s">
        <v>94</v>
      </c>
      <c r="I59" s="63">
        <f>ONSV_AUX_2021!AB32</f>
        <v>328514</v>
      </c>
      <c r="J59" s="10"/>
      <c r="K59" s="2" t="s">
        <v>2</v>
      </c>
      <c r="L59" s="66">
        <f>I66/L56</f>
        <v>0.22712152352892256</v>
      </c>
      <c r="M59" s="22"/>
      <c r="N59" s="22"/>
      <c r="O59" s="77"/>
      <c r="P59" s="51"/>
      <c r="Q59" s="51"/>
      <c r="R59" s="51"/>
      <c r="S59" s="51"/>
      <c r="T59" s="51"/>
      <c r="U59" s="65"/>
      <c r="V59" s="78"/>
      <c r="W59" s="51"/>
      <c r="X59" s="65"/>
    </row>
    <row r="60" spans="1:24" ht="15.75">
      <c r="K60" s="2" t="s">
        <v>3</v>
      </c>
      <c r="L60" s="66">
        <f>I67/L56</f>
        <v>3.7921898946217905E-2</v>
      </c>
      <c r="M60" s="22"/>
      <c r="N60" s="30" t="s">
        <v>136</v>
      </c>
      <c r="O60" s="63">
        <f>IF(O58*I55&gt;J72,J72,O58*I55)</f>
        <v>5467.3276644529715</v>
      </c>
      <c r="P60" s="79"/>
      <c r="Q60" s="68" t="s">
        <v>137</v>
      </c>
      <c r="R60" s="63">
        <f>I56-I64-I65-I68-I71</f>
        <v>44437</v>
      </c>
      <c r="S60" s="80"/>
      <c r="T60" s="68" t="s">
        <v>138</v>
      </c>
      <c r="U60" s="70">
        <f>O68</f>
        <v>230477.57214902641</v>
      </c>
      <c r="V60" s="79"/>
      <c r="W60" s="68" t="s">
        <v>139</v>
      </c>
      <c r="X60" s="70">
        <f>I64</f>
        <v>23487</v>
      </c>
    </row>
    <row r="61" spans="1:24" ht="15.75">
      <c r="H61" s="26" t="s">
        <v>140</v>
      </c>
      <c r="K61" s="2" t="s">
        <v>0</v>
      </c>
      <c r="L61" s="66">
        <f>I72/L56</f>
        <v>1.624927233198294E-2</v>
      </c>
      <c r="O61" s="51"/>
      <c r="P61" s="79"/>
      <c r="Q61" s="68" t="s">
        <v>141</v>
      </c>
      <c r="R61" s="63">
        <f>R57*R60</f>
        <v>38079.040207086669</v>
      </c>
      <c r="S61" s="51"/>
      <c r="T61" s="68" t="s">
        <v>142</v>
      </c>
      <c r="U61" s="70">
        <f>O66</f>
        <v>11019</v>
      </c>
      <c r="V61" s="69"/>
      <c r="W61" s="68" t="s">
        <v>143</v>
      </c>
      <c r="X61" s="70">
        <f>I65</f>
        <v>6996</v>
      </c>
    </row>
    <row r="62" spans="1:24" ht="15.75">
      <c r="K62" s="11"/>
      <c r="L62" s="11"/>
      <c r="M62" s="11"/>
      <c r="N62" s="30" t="s">
        <v>144</v>
      </c>
      <c r="O62" s="63">
        <f>J72-O60</f>
        <v>0</v>
      </c>
      <c r="P62" s="79"/>
      <c r="Q62" s="68" t="s">
        <v>126</v>
      </c>
      <c r="R62" s="63">
        <f>R58*R60</f>
        <v>6357.9597929133324</v>
      </c>
      <c r="S62" s="51"/>
      <c r="T62" s="68" t="s">
        <v>145</v>
      </c>
      <c r="U62" s="70">
        <f>O67</f>
        <v>324</v>
      </c>
      <c r="V62" s="74"/>
      <c r="W62" s="51"/>
      <c r="X62" s="65"/>
    </row>
    <row r="63" spans="1:24" ht="15.75">
      <c r="H63" s="39" t="s">
        <v>104</v>
      </c>
      <c r="I63" s="63">
        <f>ONSV_AUX_2021!AB56</f>
        <v>241983</v>
      </c>
      <c r="J63" s="64">
        <f>I63-(L58*I57)</f>
        <v>241820.57214902641</v>
      </c>
      <c r="K63" s="11"/>
      <c r="L63" s="11"/>
      <c r="M63" s="11"/>
      <c r="O63" s="79"/>
      <c r="P63" s="79"/>
      <c r="Q63" s="51"/>
      <c r="R63" s="81"/>
      <c r="S63" s="51"/>
      <c r="T63" s="68" t="s">
        <v>146</v>
      </c>
      <c r="U63" s="71">
        <f>I63-J63</f>
        <v>162.42785097358865</v>
      </c>
      <c r="V63" s="74"/>
      <c r="W63" s="68" t="s">
        <v>147</v>
      </c>
      <c r="X63" s="70">
        <f>I71</f>
        <v>6226</v>
      </c>
    </row>
    <row r="64" spans="1:24" ht="15.75">
      <c r="H64" s="39" t="s">
        <v>105</v>
      </c>
      <c r="I64" s="63">
        <f>ONSV_AUX_2021!AB57</f>
        <v>23487</v>
      </c>
      <c r="J64" s="10">
        <f>I64</f>
        <v>23487</v>
      </c>
      <c r="K64" s="11"/>
      <c r="L64" s="11"/>
      <c r="M64" s="11"/>
      <c r="N64" s="28" t="s">
        <v>148</v>
      </c>
      <c r="O64" s="79"/>
      <c r="P64" s="79"/>
      <c r="Q64" s="68" t="s">
        <v>149</v>
      </c>
      <c r="R64" s="63">
        <f>J66-R61</f>
        <v>38339.630328595798</v>
      </c>
      <c r="S64" s="51"/>
      <c r="T64" s="68" t="s">
        <v>150</v>
      </c>
      <c r="U64" s="75">
        <f>O69</f>
        <v>0</v>
      </c>
      <c r="V64" s="51"/>
      <c r="W64" s="68" t="s">
        <v>151</v>
      </c>
      <c r="X64" s="70">
        <f>I68</f>
        <v>1707</v>
      </c>
    </row>
    <row r="65" spans="1:24" ht="15.75">
      <c r="H65" s="39" t="s">
        <v>106</v>
      </c>
      <c r="I65" s="63">
        <f>ONSV_AUX_2021!AB58</f>
        <v>6996</v>
      </c>
      <c r="J65" s="10">
        <f>I65</f>
        <v>6996</v>
      </c>
      <c r="K65" s="11"/>
      <c r="L65" s="11"/>
      <c r="M65" s="11"/>
      <c r="O65" s="76"/>
      <c r="P65" s="79"/>
      <c r="Q65" s="68" t="s">
        <v>135</v>
      </c>
      <c r="R65" s="63">
        <f>J67-R62</f>
        <v>6401.4698579248216</v>
      </c>
      <c r="S65" s="51"/>
      <c r="T65" s="51"/>
      <c r="U65" s="65"/>
      <c r="V65" s="80"/>
      <c r="W65" s="51"/>
      <c r="X65" s="65"/>
    </row>
    <row r="66" spans="1:24" ht="15.75">
      <c r="H66" s="39" t="s">
        <v>107</v>
      </c>
      <c r="I66" s="63">
        <f>ONSV_AUX_2021!AB59</f>
        <v>76470</v>
      </c>
      <c r="J66" s="64">
        <f>I66-(L59*I57)</f>
        <v>76418.670535682468</v>
      </c>
      <c r="K66" s="11"/>
      <c r="L66" s="11"/>
      <c r="M66" s="11"/>
      <c r="N66" s="30" t="s">
        <v>142</v>
      </c>
      <c r="O66" s="63">
        <f>I54</f>
        <v>11019</v>
      </c>
      <c r="P66" s="79"/>
      <c r="Q66" s="51"/>
      <c r="R66" s="51"/>
      <c r="S66" s="80"/>
      <c r="T66" s="68" t="s">
        <v>141</v>
      </c>
      <c r="U66" s="71">
        <f>R61</f>
        <v>38079.040207086669</v>
      </c>
      <c r="V66" s="51"/>
      <c r="W66" s="68" t="s">
        <v>152</v>
      </c>
      <c r="X66" s="70">
        <f>I69</f>
        <v>250975</v>
      </c>
    </row>
    <row r="67" spans="1:24" ht="15.75">
      <c r="H67" s="39" t="s">
        <v>108</v>
      </c>
      <c r="I67" s="63">
        <f>ONSV_AUX_2021!AB60</f>
        <v>12768</v>
      </c>
      <c r="J67" s="64">
        <f>I67-(L60*I57)</f>
        <v>12759.429650838154</v>
      </c>
      <c r="K67" s="11"/>
      <c r="L67" s="11"/>
      <c r="M67" s="11"/>
      <c r="N67" s="30" t="s">
        <v>145</v>
      </c>
      <c r="O67" s="63">
        <f>I58</f>
        <v>324</v>
      </c>
      <c r="P67" s="79"/>
      <c r="Q67" s="51"/>
      <c r="R67" s="51"/>
      <c r="S67" s="51"/>
      <c r="T67" s="68" t="s">
        <v>153</v>
      </c>
      <c r="U67" s="71">
        <f>I66-J66</f>
        <v>51.329464317532256</v>
      </c>
      <c r="V67" s="51"/>
      <c r="W67" s="68" t="s">
        <v>154</v>
      </c>
      <c r="X67" s="70">
        <f>I70</f>
        <v>104379</v>
      </c>
    </row>
    <row r="68" spans="1:24" ht="15.75">
      <c r="H68" s="39" t="s">
        <v>109</v>
      </c>
      <c r="I68" s="63">
        <f>ONSV_AUX_2021!AB61</f>
        <v>1707</v>
      </c>
      <c r="J68" s="10">
        <f>I68</f>
        <v>1707</v>
      </c>
      <c r="K68" s="11"/>
      <c r="L68" s="11"/>
      <c r="M68" s="11"/>
      <c r="N68" s="30" t="s">
        <v>138</v>
      </c>
      <c r="O68" s="63">
        <f>IF(OR((O57*I55&gt;J63),((O66+O67+(O57*I55))&gt;J63)),(J63-O66-O67),(O57*I55))</f>
        <v>230477.57214902641</v>
      </c>
      <c r="P68" s="79"/>
      <c r="Q68" s="51"/>
      <c r="R68" s="81"/>
      <c r="S68" s="51"/>
      <c r="T68" s="68" t="s">
        <v>149</v>
      </c>
      <c r="U68" s="75">
        <f>R64</f>
        <v>38339.630328595798</v>
      </c>
      <c r="V68" s="51"/>
      <c r="W68" s="51"/>
      <c r="X68" s="51"/>
    </row>
    <row r="69" spans="1:24" ht="15.75">
      <c r="H69" s="39" t="s">
        <v>110</v>
      </c>
      <c r="I69" s="63">
        <f>ONSV_AUX_2021!AB62</f>
        <v>250975</v>
      </c>
      <c r="J69" s="10">
        <f>I69</f>
        <v>250975</v>
      </c>
      <c r="K69" s="11"/>
      <c r="L69" s="11"/>
      <c r="M69" s="11"/>
      <c r="N69" s="30" t="s">
        <v>150</v>
      </c>
      <c r="O69" s="63">
        <f>IF((J63-O66-O68-O67)&lt;0,0,(J63-O66-O68-O67))</f>
        <v>0</v>
      </c>
      <c r="P69" s="51"/>
      <c r="Q69" s="51"/>
      <c r="R69" s="51"/>
      <c r="S69" s="51"/>
      <c r="T69" s="51"/>
      <c r="U69" s="65"/>
      <c r="V69" s="51"/>
      <c r="W69" s="51"/>
      <c r="X69" s="51"/>
    </row>
    <row r="70" spans="1:24" ht="15.75">
      <c r="H70" s="39" t="s">
        <v>111</v>
      </c>
      <c r="I70" s="63">
        <f>ONSV_AUX_2021!AB63</f>
        <v>104379</v>
      </c>
      <c r="J70" s="10">
        <f>I70</f>
        <v>104379</v>
      </c>
      <c r="K70" s="11"/>
      <c r="L70" s="11"/>
      <c r="M70" s="11"/>
      <c r="O70" s="51"/>
      <c r="P70" s="79"/>
      <c r="Q70" s="51"/>
      <c r="R70" s="51"/>
      <c r="S70" s="51"/>
      <c r="T70" s="82" t="s">
        <v>155</v>
      </c>
      <c r="U70" s="83">
        <f>(SUM(U56:U68,X56:X67)/SUM(I63:I72))-1</f>
        <v>0</v>
      </c>
      <c r="V70" s="51"/>
      <c r="W70" s="82" t="s">
        <v>10</v>
      </c>
      <c r="X70" s="70">
        <f>SUM(U56:U68,X56:X67)</f>
        <v>730462</v>
      </c>
    </row>
    <row r="71" spans="1:24" ht="15.75">
      <c r="H71" s="39" t="s">
        <v>112</v>
      </c>
      <c r="I71" s="63">
        <f>ONSV_AUX_2021!AB64</f>
        <v>6226</v>
      </c>
      <c r="J71" s="10">
        <f>I71</f>
        <v>6226</v>
      </c>
      <c r="K71" s="11"/>
      <c r="L71" s="11"/>
      <c r="M71" s="11"/>
      <c r="O71" s="51"/>
      <c r="P71" s="79"/>
      <c r="Q71" s="51"/>
      <c r="R71" s="51"/>
      <c r="S71" s="51"/>
      <c r="T71" s="51"/>
      <c r="U71" s="51"/>
      <c r="V71" s="51"/>
      <c r="W71" s="51"/>
      <c r="X71" s="51"/>
    </row>
    <row r="72" spans="1:24" ht="15.75">
      <c r="H72" s="39" t="s">
        <v>113</v>
      </c>
      <c r="I72" s="63">
        <f>ONSV_AUX_2021!AB65</f>
        <v>5471</v>
      </c>
      <c r="J72" s="64">
        <f>I72-(L61*I57)</f>
        <v>5467.3276644529715</v>
      </c>
      <c r="K72" s="12"/>
      <c r="L72" s="12"/>
      <c r="M72" s="12"/>
      <c r="N72" s="12"/>
      <c r="O72" s="12"/>
      <c r="P72" s="12"/>
      <c r="Q72" s="4"/>
      <c r="R72" s="4"/>
    </row>
    <row r="75" spans="1:24" s="36" customFormat="1" ht="15.75">
      <c r="A75" s="100" t="str">
        <f>"TOCATINS/"&amp;ONSV_AUX_2020!$A$1&amp;""</f>
        <v>TOCATINS/2020</v>
      </c>
      <c r="B75" s="101"/>
      <c r="C75" s="101"/>
      <c r="D75" s="101"/>
      <c r="E75" s="101"/>
      <c r="F75" s="10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5" t="s">
        <v>117</v>
      </c>
      <c r="P77" s="9"/>
    </row>
    <row r="78" spans="1:24" ht="15.75">
      <c r="J78" s="9"/>
      <c r="M78" s="27"/>
      <c r="P78" s="9"/>
    </row>
    <row r="79" spans="1:24" ht="15.75">
      <c r="H79" s="38" t="s">
        <v>81</v>
      </c>
      <c r="I79" s="63">
        <f>ONSV_AUX_2020!AB27</f>
        <v>10977</v>
      </c>
      <c r="J79" s="9"/>
      <c r="K79" s="103" t="s">
        <v>118</v>
      </c>
      <c r="L79" s="103"/>
      <c r="M79" s="9"/>
      <c r="N79" s="28" t="s">
        <v>119</v>
      </c>
      <c r="O79" s="28"/>
      <c r="Q79" s="28" t="s">
        <v>120</v>
      </c>
      <c r="R79" s="28"/>
      <c r="S79" s="28"/>
      <c r="T79" s="27" t="s">
        <v>121</v>
      </c>
      <c r="U79" s="27"/>
      <c r="V79" s="27"/>
      <c r="W79" s="27"/>
      <c r="X79" s="27"/>
    </row>
    <row r="80" spans="1:24" ht="15.75">
      <c r="H80" s="38" t="s">
        <v>84</v>
      </c>
      <c r="I80" s="63">
        <f>ONSV_AUX_2020!AB28</f>
        <v>285453</v>
      </c>
      <c r="J80" s="9"/>
      <c r="K80" s="9"/>
      <c r="L80" s="9"/>
      <c r="M80" s="9"/>
      <c r="N80" s="9"/>
      <c r="O80" s="9"/>
      <c r="P80" s="22"/>
      <c r="Q80" s="11"/>
      <c r="R80" s="11"/>
      <c r="S80" s="11"/>
    </row>
    <row r="81" spans="8:24" ht="15.75">
      <c r="H81" s="38" t="s">
        <v>85</v>
      </c>
      <c r="I81" s="63">
        <f>ONSV_AUX_2020!AB29</f>
        <v>78004</v>
      </c>
      <c r="J81" s="9"/>
      <c r="K81" s="2" t="s">
        <v>122</v>
      </c>
      <c r="L81" s="63">
        <f>I88+I91+I92+I97</f>
        <v>317420</v>
      </c>
      <c r="N81" s="30" t="s">
        <v>123</v>
      </c>
      <c r="O81" s="63">
        <f>J88+J97</f>
        <v>233462.29024636128</v>
      </c>
      <c r="P81" s="67"/>
      <c r="Q81" s="68" t="s">
        <v>124</v>
      </c>
      <c r="R81" s="63">
        <f>J91+J92</f>
        <v>83831.709753638715</v>
      </c>
      <c r="S81" s="69"/>
      <c r="T81" s="68" t="s">
        <v>125</v>
      </c>
      <c r="U81" s="70">
        <f>O85</f>
        <v>4546.194669523029</v>
      </c>
      <c r="V81" s="51"/>
      <c r="W81" s="68" t="s">
        <v>126</v>
      </c>
      <c r="X81" s="71">
        <f>R87</f>
        <v>5853.721802897514</v>
      </c>
    </row>
    <row r="82" spans="8:24" ht="15.75">
      <c r="H82" s="38" t="s">
        <v>102</v>
      </c>
      <c r="I82" s="63">
        <f>ONSV_AUX_2020!AB30</f>
        <v>126</v>
      </c>
      <c r="J82" s="9"/>
      <c r="K82" s="29"/>
      <c r="L82" s="65"/>
      <c r="M82" s="22"/>
      <c r="N82" s="30" t="s">
        <v>127</v>
      </c>
      <c r="O82" s="72">
        <f>J88/O81</f>
        <v>0.98052707071139567</v>
      </c>
      <c r="P82" s="67"/>
      <c r="Q82" s="73" t="s">
        <v>128</v>
      </c>
      <c r="R82" s="66">
        <f>J91/R81</f>
        <v>0.85830799499195132</v>
      </c>
      <c r="S82" s="74"/>
      <c r="T82" s="68" t="s">
        <v>129</v>
      </c>
      <c r="U82" s="70">
        <f>I97-J97</f>
        <v>1.8053304769709939</v>
      </c>
      <c r="V82" s="51"/>
      <c r="W82" s="68" t="s">
        <v>130</v>
      </c>
      <c r="X82" s="71">
        <f>I92-J92</f>
        <v>4.7169617541421758</v>
      </c>
    </row>
    <row r="83" spans="8:24" ht="15.75">
      <c r="H83" s="38" t="s">
        <v>16</v>
      </c>
      <c r="I83" s="63">
        <f>ONSV_AUX_2020!AB31</f>
        <v>296</v>
      </c>
      <c r="J83" s="9"/>
      <c r="K83" s="2" t="s">
        <v>131</v>
      </c>
      <c r="L83" s="66">
        <f>I88/L81</f>
        <v>0.72146367588683757</v>
      </c>
      <c r="M83" s="22"/>
      <c r="N83" s="30" t="s">
        <v>132</v>
      </c>
      <c r="O83" s="72">
        <f>J97/O81</f>
        <v>1.9472929288604397E-2</v>
      </c>
      <c r="P83" s="67"/>
      <c r="Q83" s="73" t="s">
        <v>133</v>
      </c>
      <c r="R83" s="66">
        <f>J92/R81</f>
        <v>0.14169200500804865</v>
      </c>
      <c r="S83" s="74"/>
      <c r="T83" s="68" t="s">
        <v>134</v>
      </c>
      <c r="U83" s="75">
        <f>O87</f>
        <v>0</v>
      </c>
      <c r="V83" s="76"/>
      <c r="W83" s="68" t="s">
        <v>135</v>
      </c>
      <c r="X83" s="75">
        <f>R90</f>
        <v>6024.5612353483439</v>
      </c>
    </row>
    <row r="84" spans="8:24" ht="15.75">
      <c r="H84" s="38" t="s">
        <v>94</v>
      </c>
      <c r="I84" s="63">
        <f>ONSV_AUX_2020!AB32</f>
        <v>324031</v>
      </c>
      <c r="J84" s="10"/>
      <c r="K84" s="2" t="s">
        <v>2</v>
      </c>
      <c r="L84" s="66">
        <f>I91/L81</f>
        <v>0.2267721000567072</v>
      </c>
      <c r="M84" s="22"/>
      <c r="N84" s="22"/>
      <c r="O84" s="77"/>
      <c r="P84" s="51"/>
      <c r="Q84" s="51"/>
      <c r="R84" s="51"/>
      <c r="S84" s="51"/>
      <c r="T84" s="51"/>
      <c r="U84" s="65"/>
      <c r="V84" s="78"/>
      <c r="W84" s="51"/>
      <c r="X84" s="65"/>
    </row>
    <row r="85" spans="8:24" ht="15.75">
      <c r="K85" s="2" t="s">
        <v>3</v>
      </c>
      <c r="L85" s="66">
        <f>I92/L81</f>
        <v>3.7436204397958542E-2</v>
      </c>
      <c r="M85" s="22"/>
      <c r="N85" s="30" t="s">
        <v>136</v>
      </c>
      <c r="O85" s="63">
        <f>IF(O83*I80&gt;J97,J97,O83*I80)</f>
        <v>4546.194669523029</v>
      </c>
      <c r="P85" s="79"/>
      <c r="Q85" s="68" t="s">
        <v>137</v>
      </c>
      <c r="R85" s="63">
        <f>I81-I89-I90-I93-I96</f>
        <v>41313</v>
      </c>
      <c r="S85" s="80"/>
      <c r="T85" s="68" t="s">
        <v>138</v>
      </c>
      <c r="U85" s="70">
        <f>O93</f>
        <v>217643.09557683827</v>
      </c>
      <c r="V85" s="79"/>
      <c r="W85" s="68" t="s">
        <v>139</v>
      </c>
      <c r="X85" s="70">
        <f>I89</f>
        <v>23076</v>
      </c>
    </row>
    <row r="86" spans="8:24" ht="15.75">
      <c r="H86" s="26" t="s">
        <v>140</v>
      </c>
      <c r="K86" s="2" t="s">
        <v>0</v>
      </c>
      <c r="L86" s="66">
        <f>I97/L81</f>
        <v>1.432801965849663E-2</v>
      </c>
      <c r="O86" s="51"/>
      <c r="P86" s="79"/>
      <c r="Q86" s="68" t="s">
        <v>141</v>
      </c>
      <c r="R86" s="63">
        <f>R82*R85</f>
        <v>35459.278197102481</v>
      </c>
      <c r="S86" s="51"/>
      <c r="T86" s="68" t="s">
        <v>142</v>
      </c>
      <c r="U86" s="70">
        <f>O91</f>
        <v>10977</v>
      </c>
      <c r="V86" s="69"/>
      <c r="W86" s="68" t="s">
        <v>143</v>
      </c>
      <c r="X86" s="70">
        <f>I90</f>
        <v>6191</v>
      </c>
    </row>
    <row r="87" spans="8:24" ht="15.75">
      <c r="K87" s="11"/>
      <c r="L87" s="11"/>
      <c r="M87" s="11"/>
      <c r="N87" s="30" t="s">
        <v>144</v>
      </c>
      <c r="O87" s="63">
        <f>J97-O85</f>
        <v>0</v>
      </c>
      <c r="P87" s="79"/>
      <c r="Q87" s="68" t="s">
        <v>126</v>
      </c>
      <c r="R87" s="63">
        <f>R83*R85</f>
        <v>5853.721802897514</v>
      </c>
      <c r="S87" s="51"/>
      <c r="T87" s="68" t="s">
        <v>145</v>
      </c>
      <c r="U87" s="70">
        <f>O92</f>
        <v>296</v>
      </c>
      <c r="V87" s="74"/>
      <c r="W87" s="51"/>
      <c r="X87" s="65"/>
    </row>
    <row r="88" spans="8:24" ht="15.75">
      <c r="H88" s="39" t="s">
        <v>104</v>
      </c>
      <c r="I88" s="63">
        <f>ONSV_AUX_2020!AB56</f>
        <v>229007</v>
      </c>
      <c r="J88" s="64">
        <f>I88-(L83*I82)</f>
        <v>228916.09557683827</v>
      </c>
      <c r="K88" s="11"/>
      <c r="L88" s="11"/>
      <c r="M88" s="11"/>
      <c r="O88" s="79"/>
      <c r="P88" s="79"/>
      <c r="Q88" s="51"/>
      <c r="R88" s="81"/>
      <c r="S88" s="51"/>
      <c r="T88" s="68" t="s">
        <v>146</v>
      </c>
      <c r="U88" s="71">
        <f>I88-J88</f>
        <v>90.904423161729937</v>
      </c>
      <c r="V88" s="74"/>
      <c r="W88" s="68" t="s">
        <v>147</v>
      </c>
      <c r="X88" s="70">
        <f>I96</f>
        <v>5748</v>
      </c>
    </row>
    <row r="89" spans="8:24" ht="15.75">
      <c r="H89" s="39" t="s">
        <v>105</v>
      </c>
      <c r="I89" s="63">
        <f>ONSV_AUX_2020!AB57</f>
        <v>23076</v>
      </c>
      <c r="J89" s="10">
        <f>I89</f>
        <v>23076</v>
      </c>
      <c r="K89" s="11"/>
      <c r="L89" s="11"/>
      <c r="M89" s="11"/>
      <c r="N89" s="28" t="s">
        <v>148</v>
      </c>
      <c r="O89" s="79"/>
      <c r="P89" s="79"/>
      <c r="Q89" s="68" t="s">
        <v>149</v>
      </c>
      <c r="R89" s="63">
        <f>J91-R86</f>
        <v>36494.148518290371</v>
      </c>
      <c r="S89" s="51"/>
      <c r="T89" s="68" t="s">
        <v>150</v>
      </c>
      <c r="U89" s="75">
        <f>O94</f>
        <v>0</v>
      </c>
      <c r="V89" s="51"/>
      <c r="W89" s="68" t="s">
        <v>151</v>
      </c>
      <c r="X89" s="70">
        <f>I93</f>
        <v>1676</v>
      </c>
    </row>
    <row r="90" spans="8:24" ht="15.75">
      <c r="H90" s="39" t="s">
        <v>106</v>
      </c>
      <c r="I90" s="63">
        <f>ONSV_AUX_2020!AB58</f>
        <v>6191</v>
      </c>
      <c r="J90" s="10">
        <f>I90</f>
        <v>6191</v>
      </c>
      <c r="K90" s="11"/>
      <c r="L90" s="11"/>
      <c r="M90" s="11"/>
      <c r="O90" s="76"/>
      <c r="P90" s="79"/>
      <c r="Q90" s="68" t="s">
        <v>135</v>
      </c>
      <c r="R90" s="63">
        <f>J92-R87</f>
        <v>6024.5612353483439</v>
      </c>
      <c r="S90" s="51"/>
      <c r="T90" s="51"/>
      <c r="U90" s="65"/>
      <c r="V90" s="80"/>
      <c r="W90" s="51"/>
      <c r="X90" s="65"/>
    </row>
    <row r="91" spans="8:24" ht="15.75">
      <c r="H91" s="39" t="s">
        <v>107</v>
      </c>
      <c r="I91" s="63">
        <f>ONSV_AUX_2020!AB59</f>
        <v>71982</v>
      </c>
      <c r="J91" s="64">
        <f>I91-(L84*I82)</f>
        <v>71953.426715392852</v>
      </c>
      <c r="K91" s="11"/>
      <c r="L91" s="11"/>
      <c r="M91" s="11"/>
      <c r="N91" s="30" t="s">
        <v>142</v>
      </c>
      <c r="O91" s="63">
        <f>I79</f>
        <v>10977</v>
      </c>
      <c r="P91" s="79"/>
      <c r="Q91" s="51"/>
      <c r="R91" s="51"/>
      <c r="S91" s="80"/>
      <c r="T91" s="68" t="s">
        <v>141</v>
      </c>
      <c r="U91" s="71">
        <f>R86</f>
        <v>35459.278197102481</v>
      </c>
      <c r="V91" s="51"/>
      <c r="W91" s="68" t="s">
        <v>152</v>
      </c>
      <c r="X91" s="70">
        <f>I94</f>
        <v>243624</v>
      </c>
    </row>
    <row r="92" spans="8:24" ht="15.75">
      <c r="H92" s="39" t="s">
        <v>108</v>
      </c>
      <c r="I92" s="63">
        <f>ONSV_AUX_2020!AB60</f>
        <v>11883</v>
      </c>
      <c r="J92" s="64">
        <f>I92-(L85*I82)</f>
        <v>11878.283038245858</v>
      </c>
      <c r="K92" s="11"/>
      <c r="L92" s="11"/>
      <c r="M92" s="11"/>
      <c r="N92" s="30" t="s">
        <v>145</v>
      </c>
      <c r="O92" s="63">
        <f>I83</f>
        <v>296</v>
      </c>
      <c r="P92" s="79"/>
      <c r="Q92" s="51"/>
      <c r="R92" s="51"/>
      <c r="S92" s="51"/>
      <c r="T92" s="68" t="s">
        <v>153</v>
      </c>
      <c r="U92" s="71">
        <f>I91-J91</f>
        <v>28.573284607147798</v>
      </c>
      <c r="V92" s="51"/>
      <c r="W92" s="68" t="s">
        <v>154</v>
      </c>
      <c r="X92" s="70">
        <f>I95</f>
        <v>100714</v>
      </c>
    </row>
    <row r="93" spans="8:24" ht="15.75">
      <c r="H93" s="39" t="s">
        <v>109</v>
      </c>
      <c r="I93" s="63">
        <f>ONSV_AUX_2020!AB61</f>
        <v>1676</v>
      </c>
      <c r="J93" s="10">
        <f>I93</f>
        <v>1676</v>
      </c>
      <c r="K93" s="11"/>
      <c r="L93" s="11"/>
      <c r="M93" s="11"/>
      <c r="N93" s="30" t="s">
        <v>138</v>
      </c>
      <c r="O93" s="63">
        <f>IF(OR((O82*I80&gt;J88),((O91+O92+(O82*I80))&gt;J88)),(J88-O91-O92),(O82*I80))</f>
        <v>217643.09557683827</v>
      </c>
      <c r="P93" s="79"/>
      <c r="Q93" s="51"/>
      <c r="R93" s="81"/>
      <c r="S93" s="51"/>
      <c r="T93" s="68" t="s">
        <v>149</v>
      </c>
      <c r="U93" s="75">
        <f>R89</f>
        <v>36494.148518290371</v>
      </c>
      <c r="V93" s="51"/>
      <c r="W93" s="51"/>
      <c r="X93" s="51"/>
    </row>
    <row r="94" spans="8:24" ht="15.75">
      <c r="H94" s="39" t="s">
        <v>110</v>
      </c>
      <c r="I94" s="63">
        <f>ONSV_AUX_2020!AB62</f>
        <v>243624</v>
      </c>
      <c r="J94" s="10">
        <f>I94</f>
        <v>243624</v>
      </c>
      <c r="K94" s="11"/>
      <c r="L94" s="11"/>
      <c r="M94" s="11"/>
      <c r="N94" s="30" t="s">
        <v>150</v>
      </c>
      <c r="O94" s="63">
        <f>IF((J88-O91-O93-O92)&lt;0,0,(J88-O91-O93-O92))</f>
        <v>0</v>
      </c>
      <c r="P94" s="51"/>
      <c r="Q94" s="51"/>
      <c r="R94" s="51"/>
      <c r="S94" s="51"/>
      <c r="T94" s="51"/>
      <c r="U94" s="65"/>
      <c r="V94" s="51"/>
      <c r="W94" s="51"/>
      <c r="X94" s="51"/>
    </row>
    <row r="95" spans="8:24" ht="15.75">
      <c r="H95" s="39" t="s">
        <v>111</v>
      </c>
      <c r="I95" s="63">
        <f>ONSV_AUX_2020!AB63</f>
        <v>100714</v>
      </c>
      <c r="J95" s="10">
        <f>I95</f>
        <v>100714</v>
      </c>
      <c r="K95" s="11"/>
      <c r="L95" s="11"/>
      <c r="M95" s="11"/>
      <c r="O95" s="51"/>
      <c r="P95" s="79"/>
      <c r="Q95" s="51"/>
      <c r="R95" s="51"/>
      <c r="S95" s="51"/>
      <c r="T95" s="82" t="s">
        <v>155</v>
      </c>
      <c r="U95" s="83">
        <f>(SUM(U81:U93,X81:X92)/SUM(I88:I97))-1</f>
        <v>0</v>
      </c>
      <c r="V95" s="51"/>
      <c r="W95" s="82" t="s">
        <v>10</v>
      </c>
      <c r="X95" s="70">
        <f>SUM(U81:U93,X81:X92)</f>
        <v>698449</v>
      </c>
    </row>
    <row r="96" spans="8:24" ht="15.75">
      <c r="H96" s="39" t="s">
        <v>112</v>
      </c>
      <c r="I96" s="63">
        <f>ONSV_AUX_2020!AB64</f>
        <v>5748</v>
      </c>
      <c r="J96" s="10">
        <f>I96</f>
        <v>5748</v>
      </c>
      <c r="K96" s="11"/>
      <c r="L96" s="11"/>
      <c r="M96" s="11"/>
      <c r="O96" s="51"/>
      <c r="P96" s="79"/>
      <c r="Q96" s="51"/>
      <c r="R96" s="51"/>
      <c r="S96" s="51"/>
      <c r="T96" s="51"/>
      <c r="U96" s="51"/>
      <c r="V96" s="51"/>
      <c r="W96" s="51"/>
      <c r="X96" s="51"/>
    </row>
    <row r="97" spans="1:24" ht="15.75">
      <c r="H97" s="39" t="s">
        <v>113</v>
      </c>
      <c r="I97" s="63">
        <f>ONSV_AUX_2020!AB65</f>
        <v>4548</v>
      </c>
      <c r="J97" s="64">
        <f>I97-(L86*I82)</f>
        <v>4546.194669523029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2"/>
      <c r="J98" s="23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2"/>
      <c r="J99" s="23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6" customFormat="1" ht="15.75">
      <c r="A100" s="100" t="str">
        <f>"TOCATINS/"&amp;ONSV_AUX_2019!$A$1&amp;""</f>
        <v>TOCATINS/2019</v>
      </c>
      <c r="B100" s="101"/>
      <c r="C100" s="101"/>
      <c r="D100" s="101"/>
      <c r="E100" s="101"/>
      <c r="F100" s="101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5" t="s">
        <v>117</v>
      </c>
      <c r="N102" s="28"/>
      <c r="O102" s="28"/>
      <c r="P102" s="9"/>
      <c r="Q102" s="28"/>
      <c r="R102" s="28"/>
      <c r="S102" s="28"/>
      <c r="T102" s="27"/>
      <c r="U102" s="27"/>
      <c r="V102" s="27"/>
      <c r="W102" s="27"/>
      <c r="X102" s="27"/>
    </row>
    <row r="103" spans="1:24" ht="15.75">
      <c r="J103" s="9"/>
      <c r="M103" s="27"/>
      <c r="N103" s="9"/>
      <c r="O103" s="9"/>
      <c r="P103" s="9"/>
      <c r="Q103" s="11"/>
      <c r="R103" s="11"/>
      <c r="S103" s="11"/>
    </row>
    <row r="104" spans="1:24" ht="15.75">
      <c r="H104" s="38" t="s">
        <v>81</v>
      </c>
      <c r="I104" s="63">
        <f>ONSV_AUX_2019!AB27</f>
        <v>10952</v>
      </c>
      <c r="J104" s="9"/>
      <c r="K104" s="103" t="s">
        <v>118</v>
      </c>
      <c r="L104" s="103"/>
      <c r="M104" s="9"/>
      <c r="N104" s="28" t="s">
        <v>119</v>
      </c>
      <c r="O104" s="28"/>
      <c r="Q104" s="28" t="s">
        <v>120</v>
      </c>
      <c r="R104" s="28"/>
      <c r="S104" s="28"/>
      <c r="T104" s="27" t="s">
        <v>121</v>
      </c>
      <c r="U104" s="27"/>
      <c r="V104" s="27"/>
      <c r="W104" s="27"/>
      <c r="X104" s="27"/>
    </row>
    <row r="105" spans="1:24" ht="15.75">
      <c r="H105" s="38" t="s">
        <v>84</v>
      </c>
      <c r="I105" s="63">
        <f>ONSV_AUX_2019!AB28</f>
        <v>266473</v>
      </c>
      <c r="J105" s="9"/>
      <c r="K105" s="9"/>
      <c r="L105" s="9"/>
      <c r="M105" s="9"/>
      <c r="N105" s="9"/>
      <c r="O105" s="9"/>
      <c r="P105" s="22"/>
      <c r="Q105" s="11"/>
      <c r="R105" s="11"/>
      <c r="S105" s="11"/>
    </row>
    <row r="106" spans="1:24" ht="15.75">
      <c r="H106" s="38" t="s">
        <v>85</v>
      </c>
      <c r="I106" s="63">
        <f>ONSV_AUX_2019!AB29</f>
        <v>73633</v>
      </c>
      <c r="J106" s="9"/>
      <c r="K106" s="2" t="s">
        <v>122</v>
      </c>
      <c r="L106" s="63">
        <f>I113+I116+I117+I122</f>
        <v>301001</v>
      </c>
      <c r="N106" s="30" t="s">
        <v>123</v>
      </c>
      <c r="O106" s="63">
        <f>J113+J122</f>
        <v>221932.91535908516</v>
      </c>
      <c r="P106" s="67"/>
      <c r="Q106" s="68" t="s">
        <v>124</v>
      </c>
      <c r="R106" s="63">
        <f>J116+J117</f>
        <v>79015.084640914807</v>
      </c>
      <c r="S106" s="69"/>
      <c r="T106" s="68" t="s">
        <v>125</v>
      </c>
      <c r="U106" s="70">
        <f>O110</f>
        <v>4041.288288078777</v>
      </c>
      <c r="V106" s="51"/>
      <c r="W106" s="68" t="s">
        <v>126</v>
      </c>
      <c r="X106" s="71">
        <f>R112</f>
        <v>5493.2136810537904</v>
      </c>
    </row>
    <row r="107" spans="1:24" ht="15.75">
      <c r="H107" s="38" t="s">
        <v>102</v>
      </c>
      <c r="I107" s="63">
        <f>ONSV_AUX_2019!AB30</f>
        <v>53</v>
      </c>
      <c r="J107" s="9"/>
      <c r="K107" s="29"/>
      <c r="L107" s="65"/>
      <c r="M107" s="22"/>
      <c r="N107" s="30" t="s">
        <v>127</v>
      </c>
      <c r="O107" s="72">
        <f>J113/O106</f>
        <v>0.98179049609860713</v>
      </c>
      <c r="P107" s="67"/>
      <c r="Q107" s="73" t="s">
        <v>128</v>
      </c>
      <c r="R107" s="66">
        <f>J116/R106</f>
        <v>0.85635652735071943</v>
      </c>
      <c r="S107" s="74"/>
      <c r="T107" s="68" t="s">
        <v>129</v>
      </c>
      <c r="U107" s="70">
        <f>I122-J122</f>
        <v>0.71171192122301363</v>
      </c>
      <c r="V107" s="51"/>
      <c r="W107" s="68" t="s">
        <v>130</v>
      </c>
      <c r="X107" s="71">
        <f>I117-J117</f>
        <v>1.9988505021574383</v>
      </c>
    </row>
    <row r="108" spans="1:24" ht="15.75">
      <c r="H108" s="38" t="s">
        <v>16</v>
      </c>
      <c r="I108" s="63">
        <f>ONSV_AUX_2019!AB31</f>
        <v>273</v>
      </c>
      <c r="J108" s="9"/>
      <c r="K108" s="2" t="s">
        <v>131</v>
      </c>
      <c r="L108" s="66">
        <f>I113/L106</f>
        <v>0.72401752818096954</v>
      </c>
      <c r="M108" s="22"/>
      <c r="N108" s="30" t="s">
        <v>132</v>
      </c>
      <c r="O108" s="72">
        <f>J122/O106</f>
        <v>1.8209503901392969E-2</v>
      </c>
      <c r="P108" s="67"/>
      <c r="Q108" s="73" t="s">
        <v>133</v>
      </c>
      <c r="R108" s="66">
        <f>J117/R106</f>
        <v>0.14364347264928065</v>
      </c>
      <c r="S108" s="74"/>
      <c r="T108" s="68" t="s">
        <v>134</v>
      </c>
      <c r="U108" s="75">
        <f>O112</f>
        <v>0</v>
      </c>
      <c r="V108" s="76"/>
      <c r="W108" s="68" t="s">
        <v>135</v>
      </c>
      <c r="X108" s="75">
        <f>R115</f>
        <v>5856.7874684440521</v>
      </c>
    </row>
    <row r="109" spans="1:24" ht="15.75">
      <c r="H109" s="38" t="s">
        <v>94</v>
      </c>
      <c r="I109" s="63">
        <f>ONSV_AUX_2019!AB32</f>
        <v>319588</v>
      </c>
      <c r="J109" s="10"/>
      <c r="K109" s="2" t="s">
        <v>2</v>
      </c>
      <c r="L109" s="66">
        <f>I116/L106</f>
        <v>0.22483978458543327</v>
      </c>
      <c r="M109" s="22"/>
      <c r="N109" s="22"/>
      <c r="O109" s="77"/>
      <c r="P109" s="51"/>
      <c r="Q109" s="51"/>
      <c r="R109" s="51"/>
      <c r="S109" s="51"/>
      <c r="T109" s="51"/>
      <c r="U109" s="65"/>
      <c r="V109" s="78"/>
      <c r="W109" s="51"/>
      <c r="X109" s="65"/>
    </row>
    <row r="110" spans="1:24" ht="15.75">
      <c r="K110" s="2" t="s">
        <v>3</v>
      </c>
      <c r="L110" s="66">
        <f>I117/L106</f>
        <v>3.7714160418071699E-2</v>
      </c>
      <c r="M110" s="22"/>
      <c r="N110" s="30" t="s">
        <v>136</v>
      </c>
      <c r="O110" s="63">
        <f>IF(O108*I105&gt;J122,J122,O108*I105)</f>
        <v>4041.288288078777</v>
      </c>
      <c r="P110" s="79"/>
      <c r="Q110" s="68" t="s">
        <v>137</v>
      </c>
      <c r="R110" s="63">
        <f>I106-I114-I115-I118-I121</f>
        <v>38242</v>
      </c>
      <c r="S110" s="80"/>
      <c r="T110" s="68" t="s">
        <v>138</v>
      </c>
      <c r="U110" s="70">
        <f>O118</f>
        <v>206666.6270710064</v>
      </c>
      <c r="V110" s="79"/>
      <c r="W110" s="68" t="s">
        <v>139</v>
      </c>
      <c r="X110" s="70">
        <f>I114</f>
        <v>22625</v>
      </c>
    </row>
    <row r="111" spans="1:24" ht="15.75">
      <c r="H111" s="26" t="s">
        <v>140</v>
      </c>
      <c r="K111" s="2" t="s">
        <v>0</v>
      </c>
      <c r="L111" s="66">
        <f>I122/L106</f>
        <v>1.342852681552553E-2</v>
      </c>
      <c r="O111" s="51"/>
      <c r="P111" s="79"/>
      <c r="Q111" s="68" t="s">
        <v>141</v>
      </c>
      <c r="R111" s="63">
        <f>R107*R110</f>
        <v>32748.786318946211</v>
      </c>
      <c r="S111" s="51"/>
      <c r="T111" s="68" t="s">
        <v>142</v>
      </c>
      <c r="U111" s="70">
        <f>O116</f>
        <v>10952</v>
      </c>
      <c r="V111" s="69"/>
      <c r="W111" s="68" t="s">
        <v>143</v>
      </c>
      <c r="X111" s="70">
        <f>I115</f>
        <v>5565</v>
      </c>
    </row>
    <row r="112" spans="1:24" ht="15.75">
      <c r="K112" s="11"/>
      <c r="L112" s="11"/>
      <c r="M112" s="11"/>
      <c r="N112" s="30" t="s">
        <v>144</v>
      </c>
      <c r="O112" s="63">
        <f>J122-O110</f>
        <v>0</v>
      </c>
      <c r="P112" s="79"/>
      <c r="Q112" s="68" t="s">
        <v>126</v>
      </c>
      <c r="R112" s="63">
        <f>R108*R110</f>
        <v>5493.2136810537904</v>
      </c>
      <c r="S112" s="51"/>
      <c r="T112" s="68" t="s">
        <v>145</v>
      </c>
      <c r="U112" s="70">
        <f>O117</f>
        <v>273</v>
      </c>
      <c r="V112" s="74"/>
      <c r="W112" s="51"/>
      <c r="X112" s="65"/>
    </row>
    <row r="113" spans="8:24" ht="15.75">
      <c r="H113" s="39" t="s">
        <v>104</v>
      </c>
      <c r="I113" s="63">
        <f>ONSV_AUX_2019!AB56</f>
        <v>217930</v>
      </c>
      <c r="J113" s="64">
        <f>I113-(L108*I107)</f>
        <v>217891.6270710064</v>
      </c>
      <c r="K113" s="11"/>
      <c r="L113" s="11"/>
      <c r="M113" s="11"/>
      <c r="O113" s="79"/>
      <c r="P113" s="79"/>
      <c r="Q113" s="51"/>
      <c r="R113" s="81"/>
      <c r="S113" s="51"/>
      <c r="T113" s="68" t="s">
        <v>146</v>
      </c>
      <c r="U113" s="71">
        <f>I113-J113</f>
        <v>38.372928993601818</v>
      </c>
      <c r="V113" s="74"/>
      <c r="W113" s="68" t="s">
        <v>147</v>
      </c>
      <c r="X113" s="70">
        <f>I121</f>
        <v>5571</v>
      </c>
    </row>
    <row r="114" spans="8:24" ht="15.75">
      <c r="H114" s="39" t="s">
        <v>105</v>
      </c>
      <c r="I114" s="63">
        <f>ONSV_AUX_2019!AB57</f>
        <v>22625</v>
      </c>
      <c r="J114" s="10">
        <f>I114</f>
        <v>22625</v>
      </c>
      <c r="K114" s="11"/>
      <c r="L114" s="11"/>
      <c r="M114" s="11"/>
      <c r="N114" s="28" t="s">
        <v>148</v>
      </c>
      <c r="O114" s="79"/>
      <c r="P114" s="79"/>
      <c r="Q114" s="68" t="s">
        <v>149</v>
      </c>
      <c r="R114" s="63">
        <f>J116-R111</f>
        <v>34916.29717247076</v>
      </c>
      <c r="S114" s="51"/>
      <c r="T114" s="68" t="s">
        <v>150</v>
      </c>
      <c r="U114" s="75">
        <f>O119</f>
        <v>0</v>
      </c>
      <c r="V114" s="51"/>
      <c r="W114" s="68" t="s">
        <v>151</v>
      </c>
      <c r="X114" s="70">
        <f>I118</f>
        <v>1630</v>
      </c>
    </row>
    <row r="115" spans="8:24" ht="15.75">
      <c r="H115" s="39" t="s">
        <v>106</v>
      </c>
      <c r="I115" s="63">
        <f>ONSV_AUX_2019!AB58</f>
        <v>5565</v>
      </c>
      <c r="J115" s="10">
        <f>I115</f>
        <v>5565</v>
      </c>
      <c r="K115" s="11"/>
      <c r="L115" s="11"/>
      <c r="M115" s="11"/>
      <c r="O115" s="76"/>
      <c r="P115" s="79"/>
      <c r="Q115" s="68" t="s">
        <v>135</v>
      </c>
      <c r="R115" s="63">
        <f>J117-R112</f>
        <v>5856.7874684440521</v>
      </c>
      <c r="S115" s="51"/>
      <c r="T115" s="51"/>
      <c r="U115" s="65"/>
      <c r="V115" s="80"/>
      <c r="W115" s="51"/>
      <c r="X115" s="65"/>
    </row>
    <row r="116" spans="8:24" ht="15.75">
      <c r="H116" s="39" t="s">
        <v>107</v>
      </c>
      <c r="I116" s="63">
        <f>ONSV_AUX_2019!AB59</f>
        <v>67677</v>
      </c>
      <c r="J116" s="64">
        <f>I116-(L109*I107)</f>
        <v>67665.083491416968</v>
      </c>
      <c r="K116" s="11"/>
      <c r="L116" s="11"/>
      <c r="M116" s="11"/>
      <c r="N116" s="30" t="s">
        <v>142</v>
      </c>
      <c r="O116" s="63">
        <f>I104</f>
        <v>10952</v>
      </c>
      <c r="P116" s="79"/>
      <c r="Q116" s="51"/>
      <c r="R116" s="51"/>
      <c r="S116" s="80"/>
      <c r="T116" s="68" t="s">
        <v>141</v>
      </c>
      <c r="U116" s="71">
        <f>R111</f>
        <v>32748.786318946211</v>
      </c>
      <c r="V116" s="51"/>
      <c r="W116" s="68" t="s">
        <v>152</v>
      </c>
      <c r="X116" s="70">
        <f>I119</f>
        <v>236743</v>
      </c>
    </row>
    <row r="117" spans="8:24" ht="15.75">
      <c r="H117" s="39" t="s">
        <v>108</v>
      </c>
      <c r="I117" s="63">
        <f>ONSV_AUX_2019!AB60</f>
        <v>11352</v>
      </c>
      <c r="J117" s="64">
        <f>I117-(L110*I107)</f>
        <v>11350.001149497843</v>
      </c>
      <c r="K117" s="11"/>
      <c r="L117" s="11"/>
      <c r="M117" s="11"/>
      <c r="N117" s="30" t="s">
        <v>145</v>
      </c>
      <c r="O117" s="63">
        <f>I108</f>
        <v>273</v>
      </c>
      <c r="P117" s="79"/>
      <c r="Q117" s="51"/>
      <c r="R117" s="51"/>
      <c r="S117" s="51"/>
      <c r="T117" s="68" t="s">
        <v>153</v>
      </c>
      <c r="U117" s="71">
        <f>I116-J116</f>
        <v>11.916508583031828</v>
      </c>
      <c r="V117" s="51"/>
      <c r="W117" s="68" t="s">
        <v>154</v>
      </c>
      <c r="X117" s="70">
        <f>I120</f>
        <v>97304</v>
      </c>
    </row>
    <row r="118" spans="8:24" ht="15.75">
      <c r="H118" s="39" t="s">
        <v>109</v>
      </c>
      <c r="I118" s="63">
        <f>ONSV_AUX_2019!AB61</f>
        <v>1630</v>
      </c>
      <c r="J118" s="10">
        <f>I118</f>
        <v>1630</v>
      </c>
      <c r="K118" s="11"/>
      <c r="L118" s="11"/>
      <c r="M118" s="11"/>
      <c r="N118" s="30" t="s">
        <v>138</v>
      </c>
      <c r="O118" s="63">
        <f>IF(OR((O107*I105&gt;J113),((O116+O117+(O107*I105))&gt;J113)),(J113-O116-O117),(O107*I105))</f>
        <v>206666.6270710064</v>
      </c>
      <c r="P118" s="79"/>
      <c r="Q118" s="51"/>
      <c r="R118" s="81"/>
      <c r="S118" s="51"/>
      <c r="T118" s="68" t="s">
        <v>149</v>
      </c>
      <c r="U118" s="75">
        <f>R114</f>
        <v>34916.29717247076</v>
      </c>
      <c r="V118" s="51"/>
      <c r="W118" s="51"/>
      <c r="X118" s="51"/>
    </row>
    <row r="119" spans="8:24" ht="15.75">
      <c r="H119" s="39" t="s">
        <v>110</v>
      </c>
      <c r="I119" s="63">
        <f>ONSV_AUX_2019!AB62</f>
        <v>236743</v>
      </c>
      <c r="J119" s="10">
        <f>I119</f>
        <v>236743</v>
      </c>
      <c r="K119" s="11"/>
      <c r="L119" s="11"/>
      <c r="M119" s="11"/>
      <c r="N119" s="30" t="s">
        <v>150</v>
      </c>
      <c r="O119" s="63">
        <f>IF((J113-O116-O118-O117)&lt;0,0,(J113-O116-O118-O117))</f>
        <v>0</v>
      </c>
      <c r="P119" s="51"/>
      <c r="Q119" s="51"/>
      <c r="R119" s="51"/>
      <c r="S119" s="51"/>
      <c r="T119" s="51"/>
      <c r="U119" s="65"/>
      <c r="V119" s="51"/>
      <c r="W119" s="51"/>
      <c r="X119" s="51"/>
    </row>
    <row r="120" spans="8:24" ht="15.75">
      <c r="H120" s="39" t="s">
        <v>111</v>
      </c>
      <c r="I120" s="63">
        <f>ONSV_AUX_2019!AB63</f>
        <v>97304</v>
      </c>
      <c r="J120" s="10">
        <f>I120</f>
        <v>97304</v>
      </c>
      <c r="K120" s="11"/>
      <c r="L120" s="11"/>
      <c r="M120" s="11"/>
      <c r="O120" s="51"/>
      <c r="P120" s="79"/>
      <c r="Q120" s="51"/>
      <c r="R120" s="51"/>
      <c r="S120" s="51"/>
      <c r="T120" s="82" t="s">
        <v>155</v>
      </c>
      <c r="U120" s="83">
        <f>(SUM(U106:U118,X106:X117)/SUM(I113:I122))-1</f>
        <v>0</v>
      </c>
      <c r="V120" s="51"/>
      <c r="W120" s="82" t="s">
        <v>10</v>
      </c>
      <c r="X120" s="70">
        <f>SUM(U106:U118,X106:X117)</f>
        <v>670439</v>
      </c>
    </row>
    <row r="121" spans="8:24" ht="15.75">
      <c r="H121" s="39" t="s">
        <v>112</v>
      </c>
      <c r="I121" s="63">
        <f>ONSV_AUX_2019!AB64</f>
        <v>5571</v>
      </c>
      <c r="J121" s="10">
        <f>I121</f>
        <v>5571</v>
      </c>
      <c r="K121" s="11"/>
      <c r="L121" s="11"/>
      <c r="M121" s="11"/>
      <c r="O121" s="51"/>
      <c r="P121" s="79"/>
      <c r="Q121" s="51"/>
      <c r="R121" s="51"/>
      <c r="S121" s="51"/>
      <c r="T121" s="51"/>
      <c r="U121" s="51"/>
      <c r="V121" s="51"/>
      <c r="W121" s="51"/>
      <c r="X121" s="51"/>
    </row>
    <row r="122" spans="8:24" ht="15.75">
      <c r="H122" s="39" t="s">
        <v>113</v>
      </c>
      <c r="I122" s="63">
        <f>ONSV_AUX_2019!AB65</f>
        <v>4042</v>
      </c>
      <c r="J122" s="64">
        <f>I122-(L111*I107)</f>
        <v>4041.288288078777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A1:AM36"/>
  <sheetViews>
    <sheetView showGridLines="0" tabSelected="1" workbookViewId="0">
      <pane xSplit="1" topLeftCell="W1" activePane="topRight" state="frozen"/>
      <selection pane="topRight" activeCell="Y28" sqref="Y28"/>
    </sheetView>
  </sheetViews>
  <sheetFormatPr defaultRowHeight="15"/>
  <cols>
    <col min="1" max="1" width="28.85546875" style="4" customWidth="1"/>
    <col min="2" max="2" width="2.5703125" customWidth="1"/>
    <col min="7" max="7" width="5.5703125" customWidth="1"/>
    <col min="8" max="9" width="10.140625" bestFit="1" customWidth="1"/>
    <col min="12" max="13" width="10.140625" bestFit="1" customWidth="1"/>
    <col min="14" max="14" width="5.140625" customWidth="1"/>
    <col min="15" max="15" width="10.140625" bestFit="1" customWidth="1"/>
    <col min="18" max="18" width="10.140625" bestFit="1" customWidth="1"/>
    <col min="19" max="19" width="5.140625" customWidth="1"/>
    <col min="24" max="24" width="5.140625" customWidth="1"/>
    <col min="25" max="25" width="10.28515625" bestFit="1" customWidth="1"/>
    <col min="26" max="26" width="5.140625" customWidth="1"/>
    <col min="27" max="27" width="17.28515625" bestFit="1" customWidth="1"/>
    <col min="28" max="28" width="5.140625" customWidth="1"/>
    <col min="29" max="29" width="7.5703125" bestFit="1" customWidth="1"/>
    <col min="30" max="30" width="5.140625" customWidth="1"/>
    <col min="31" max="31" width="13.140625" bestFit="1" customWidth="1"/>
    <col min="32" max="32" width="5.140625" customWidth="1"/>
    <col min="33" max="33" width="12" bestFit="1" customWidth="1"/>
    <col min="34" max="34" width="5.140625" customWidth="1"/>
    <col min="35" max="35" width="10" bestFit="1" customWidth="1"/>
    <col min="37" max="37" width="11.140625" bestFit="1" customWidth="1"/>
  </cols>
  <sheetData>
    <row r="1" spans="1:39">
      <c r="A1" s="49"/>
    </row>
    <row r="2" spans="1:39" ht="15.75" customHeight="1">
      <c r="A2" s="88" t="str">
        <f>"Frota por tipo de veículo e combustível - Junho/"&amp;ONSV_AUX_2020!A1&amp;""</f>
        <v>Frota por tipo de veículo e combustível - Junho/2020</v>
      </c>
      <c r="C2" s="92" t="s">
        <v>0</v>
      </c>
      <c r="D2" s="92"/>
      <c r="E2" s="92"/>
      <c r="F2" s="92"/>
      <c r="H2" s="92" t="s">
        <v>1</v>
      </c>
      <c r="I2" s="92"/>
      <c r="J2" s="92"/>
      <c r="K2" s="92"/>
      <c r="L2" s="92"/>
      <c r="M2" s="92"/>
      <c r="O2" s="93" t="s">
        <v>2</v>
      </c>
      <c r="P2" s="94"/>
      <c r="Q2" s="94"/>
      <c r="R2" s="95"/>
      <c r="T2" s="93" t="s">
        <v>3</v>
      </c>
      <c r="U2" s="94"/>
      <c r="V2" s="94"/>
      <c r="W2" s="95"/>
      <c r="Y2" s="30" t="s">
        <v>4</v>
      </c>
      <c r="AA2" s="30" t="s">
        <v>5</v>
      </c>
      <c r="AC2" s="30" t="s">
        <v>6</v>
      </c>
      <c r="AE2" s="30" t="s">
        <v>7</v>
      </c>
      <c r="AG2" s="30" t="s">
        <v>8</v>
      </c>
      <c r="AI2" s="30" t="s">
        <v>9</v>
      </c>
      <c r="AK2" s="90" t="s">
        <v>10</v>
      </c>
    </row>
    <row r="3" spans="1:39" ht="15.75">
      <c r="A3" s="89"/>
      <c r="C3" s="30" t="s">
        <v>11</v>
      </c>
      <c r="D3" s="30" t="s">
        <v>12</v>
      </c>
      <c r="E3" s="30" t="s">
        <v>13</v>
      </c>
      <c r="F3" s="30" t="s">
        <v>14</v>
      </c>
      <c r="H3" s="30" t="s">
        <v>11</v>
      </c>
      <c r="I3" s="30" t="s">
        <v>15</v>
      </c>
      <c r="J3" s="30" t="s">
        <v>16</v>
      </c>
      <c r="K3" s="30" t="s">
        <v>12</v>
      </c>
      <c r="L3" s="30" t="s">
        <v>13</v>
      </c>
      <c r="M3" s="30" t="s">
        <v>14</v>
      </c>
      <c r="O3" s="30" t="s">
        <v>17</v>
      </c>
      <c r="P3" s="30" t="s">
        <v>12</v>
      </c>
      <c r="Q3" s="30" t="s">
        <v>12</v>
      </c>
      <c r="R3" s="30" t="s">
        <v>14</v>
      </c>
      <c r="T3" s="30" t="s">
        <v>17</v>
      </c>
      <c r="U3" s="30" t="s">
        <v>12</v>
      </c>
      <c r="V3" s="30" t="s">
        <v>13</v>
      </c>
      <c r="W3" s="30" t="s">
        <v>14</v>
      </c>
      <c r="Y3" s="30" t="s">
        <v>17</v>
      </c>
      <c r="AA3" s="30" t="s">
        <v>17</v>
      </c>
      <c r="AC3" s="30" t="s">
        <v>17</v>
      </c>
      <c r="AE3" s="30" t="s">
        <v>17</v>
      </c>
      <c r="AG3" s="30" t="s">
        <v>13</v>
      </c>
      <c r="AI3" s="30" t="s">
        <v>13</v>
      </c>
      <c r="AK3" s="91"/>
      <c r="AM3" t="s">
        <v>18</v>
      </c>
    </row>
    <row r="4" spans="1:39">
      <c r="A4" s="44" t="s">
        <v>19</v>
      </c>
      <c r="C4" s="48">
        <f>SUM(C5,C13,C32,C28,C23)</f>
        <v>734376.96474623587</v>
      </c>
      <c r="D4" s="48">
        <f>SUM(D5,D13,D32,D28,D23)</f>
        <v>520.37163894530568</v>
      </c>
      <c r="E4" s="48">
        <f t="shared" ref="E4" si="0">SUM(E5,E13,E32,E28,E23)</f>
        <v>308126.66361481877</v>
      </c>
      <c r="F4" s="48">
        <f>SUM(F5,F13,F32,F28,F23)</f>
        <v>1043024</v>
      </c>
      <c r="H4" s="48">
        <f>SUM(H5,H13,H32,H28,H23)</f>
        <v>38955948.017086506</v>
      </c>
      <c r="I4" s="48">
        <f t="shared" ref="I4:L4" si="1">SUM(I5,I13,I32,I28,I23)</f>
        <v>4156459</v>
      </c>
      <c r="J4" s="48">
        <f t="shared" si="1"/>
        <v>2403474</v>
      </c>
      <c r="K4" s="48">
        <f t="shared" ref="K4" si="2">SUM(K5,K13,K32,K28,K23)</f>
        <v>27857.047653243077</v>
      </c>
      <c r="L4" s="48">
        <f t="shared" si="1"/>
        <v>11740812.935260247</v>
      </c>
      <c r="M4" s="48">
        <f>SUM(M5,M13,M32,M28,M23)</f>
        <v>57284551</v>
      </c>
      <c r="O4" s="48">
        <f>SUM(O5,O13,O32,O28,O23)</f>
        <v>2428794.4956778204</v>
      </c>
      <c r="P4" s="48">
        <f t="shared" ref="P4" si="3">SUM(P5,P13,P32,P28,P23)</f>
        <v>3902.5756792119901</v>
      </c>
      <c r="Q4" s="48">
        <f t="shared" ref="Q4:R4" si="4">SUM(Q5,Q13,Q32,Q28,Q23)</f>
        <v>5669420.9286429677</v>
      </c>
      <c r="R4" s="48">
        <f t="shared" si="4"/>
        <v>8102118</v>
      </c>
      <c r="T4" s="48">
        <f>SUM(T5,T13,T32,T28,T23)</f>
        <v>1000308.5043221791</v>
      </c>
      <c r="U4" s="48">
        <f t="shared" ref="U4" si="5">SUM(U5,U13,U32,U28,U23)</f>
        <v>1808.005028598438</v>
      </c>
      <c r="V4" s="48">
        <f t="shared" ref="V4:W4" si="6">SUM(V5,V13,V32,V28,V23)</f>
        <v>2659202.4906492224</v>
      </c>
      <c r="W4" s="48">
        <f t="shared" si="6"/>
        <v>3661319</v>
      </c>
      <c r="Y4" s="48">
        <f>SUM(Y5,Y13,Y32,Y28,Y23)</f>
        <v>2854169</v>
      </c>
      <c r="AA4" s="48">
        <f>SUM(AA5,AA13,AA32,AA28,AA23)</f>
        <v>715203</v>
      </c>
      <c r="AC4" s="48">
        <f>SUM(AC5,AC13,AC32,AC28,AC23)</f>
        <v>654001</v>
      </c>
      <c r="AE4" s="48">
        <f>SUM(AE5,AE13,AE32,AE28,AE23)</f>
        <v>416842</v>
      </c>
      <c r="AG4" s="48">
        <f>SUM(AG5,AG13,AG32,AG28,AG23)</f>
        <v>23455155</v>
      </c>
      <c r="AI4" s="48">
        <f>SUM(AI5,AI13,AI32,AI28,AI23)</f>
        <v>4656377</v>
      </c>
      <c r="AK4" s="48">
        <f t="shared" ref="AK4:AK36" si="7">SUM(F4,M4,R4,W4,Y4,AA4,AC4,AE4,AG4,AI4)</f>
        <v>102842759</v>
      </c>
    </row>
    <row r="5" spans="1:39">
      <c r="A5" s="44" t="s">
        <v>20</v>
      </c>
      <c r="C5" s="48">
        <f>SUM(C6:C12)</f>
        <v>33948.586776912685</v>
      </c>
      <c r="D5" s="48">
        <f>SUM(D6:D12)</f>
        <v>15.41322308731651</v>
      </c>
      <c r="E5" s="48">
        <f t="shared" ref="E5:AE5" si="8">SUM(E6:E12)</f>
        <v>0</v>
      </c>
      <c r="F5" s="48">
        <f>SUM(C5:E5)</f>
        <v>33964</v>
      </c>
      <c r="H5" s="48">
        <f t="shared" si="8"/>
        <v>1783127.3626772722</v>
      </c>
      <c r="I5" s="48">
        <f t="shared" si="8"/>
        <v>68044</v>
      </c>
      <c r="J5" s="48">
        <f t="shared" si="8"/>
        <v>3223</v>
      </c>
      <c r="K5" s="48">
        <f t="shared" ref="K5" si="9">SUM(K6:K12)</f>
        <v>840.6373227279546</v>
      </c>
      <c r="L5" s="48">
        <f t="shared" si="8"/>
        <v>0</v>
      </c>
      <c r="M5" s="48">
        <f>SUM(H5:L5)</f>
        <v>1855235.0000000002</v>
      </c>
      <c r="O5" s="48">
        <f t="shared" si="8"/>
        <v>218995.09546509117</v>
      </c>
      <c r="P5" s="48">
        <f t="shared" si="8"/>
        <v>230.46851876311484</v>
      </c>
      <c r="Q5" s="48">
        <f t="shared" si="8"/>
        <v>294116.43601614569</v>
      </c>
      <c r="R5" s="48">
        <f t="shared" ref="R5:R36" si="10">SUM(O5:Q5)</f>
        <v>513342</v>
      </c>
      <c r="T5" s="48">
        <f t="shared" si="8"/>
        <v>45863.904534908819</v>
      </c>
      <c r="U5" s="48">
        <f t="shared" ref="U5" si="11">SUM(U6:U12)</f>
        <v>50.480935421537652</v>
      </c>
      <c r="V5" s="48">
        <f t="shared" si="8"/>
        <v>64887.614529669634</v>
      </c>
      <c r="W5" s="48">
        <f>SUM(T5:V5)</f>
        <v>110802</v>
      </c>
      <c r="Y5" s="48">
        <f t="shared" ref="Y5" si="12">SUM(Y6:Y12)</f>
        <v>157437</v>
      </c>
      <c r="AA5" s="48">
        <f t="shared" si="8"/>
        <v>29601</v>
      </c>
      <c r="AC5" s="48">
        <f t="shared" si="8"/>
        <v>44893</v>
      </c>
      <c r="AE5" s="48">
        <f t="shared" si="8"/>
        <v>15246</v>
      </c>
      <c r="AG5" s="48">
        <f>SUM(AG6:AG12)</f>
        <v>2144742</v>
      </c>
      <c r="AI5" s="48">
        <f>SUM(AI6:AI12)</f>
        <v>566293</v>
      </c>
      <c r="AK5" s="48">
        <f t="shared" si="7"/>
        <v>5471555</v>
      </c>
    </row>
    <row r="6" spans="1:39">
      <c r="A6" s="45" t="s">
        <v>21</v>
      </c>
      <c r="C6" s="47">
        <f>AC!$U81</f>
        <v>1415.1248386415377</v>
      </c>
      <c r="D6" s="47">
        <f>AC!$U82</f>
        <v>0.87516135846226462</v>
      </c>
      <c r="E6" s="47">
        <f>AC!$U$83</f>
        <v>0</v>
      </c>
      <c r="F6" s="48">
        <f>SUM(C6:E6)</f>
        <v>1416</v>
      </c>
      <c r="H6" s="47">
        <f>AC!$U$85</f>
        <v>89655.302391625795</v>
      </c>
      <c r="I6" s="47">
        <f>AC!$U$86</f>
        <v>3625</v>
      </c>
      <c r="J6" s="47">
        <f>AC!$U$87</f>
        <v>16</v>
      </c>
      <c r="K6" s="47">
        <f>AC!$U$88</f>
        <v>57.697608374204719</v>
      </c>
      <c r="L6" s="47">
        <f>AC!$U$89</f>
        <v>0</v>
      </c>
      <c r="M6" s="48">
        <f>SUM(H6:L6)</f>
        <v>93354</v>
      </c>
      <c r="O6" s="47">
        <f>AC!$U$91</f>
        <v>14857.691446552299</v>
      </c>
      <c r="P6" s="47">
        <f>AC!$U$92</f>
        <v>17.663920639017306</v>
      </c>
      <c r="Q6" s="47">
        <f>AC!$U$93</f>
        <v>13704.644632808684</v>
      </c>
      <c r="R6" s="48">
        <f t="shared" si="10"/>
        <v>28580</v>
      </c>
      <c r="T6" s="47">
        <f>AC!$X$81</f>
        <v>2324.3085534477023</v>
      </c>
      <c r="U6" s="47">
        <f>AC!$X$82</f>
        <v>2.7633096283079794</v>
      </c>
      <c r="V6" s="47">
        <f>AC!$X$83</f>
        <v>2143.9281369239898</v>
      </c>
      <c r="W6" s="48">
        <f>SUM(T6:V6)</f>
        <v>4471</v>
      </c>
      <c r="Y6" s="47">
        <f>AC!$X$85</f>
        <v>7522</v>
      </c>
      <c r="AA6" s="47">
        <f>AC!$X$86</f>
        <v>1059</v>
      </c>
      <c r="AC6" s="47">
        <f>AC!$X$88</f>
        <v>1247</v>
      </c>
      <c r="AE6" s="47">
        <f>AC!$X$89</f>
        <v>385</v>
      </c>
      <c r="AG6" s="47">
        <f>AC!$X$91</f>
        <v>125641</v>
      </c>
      <c r="AI6" s="47">
        <f>AC!$X$92</f>
        <v>28573</v>
      </c>
      <c r="AK6" s="47">
        <f t="shared" si="7"/>
        <v>292248</v>
      </c>
      <c r="AM6" t="str">
        <f>IF((AK6=AC!$X$95),"ok","erro")</f>
        <v>ok</v>
      </c>
    </row>
    <row r="7" spans="1:39">
      <c r="A7" s="45" t="s">
        <v>22</v>
      </c>
      <c r="C7" s="47">
        <f>AP!$U81</f>
        <v>1078.546409176311</v>
      </c>
      <c r="D7" s="47">
        <f>AP!$U82</f>
        <v>0.45359082368895542</v>
      </c>
      <c r="E7" s="47">
        <f>AP!$U$83</f>
        <v>0</v>
      </c>
      <c r="F7" s="48">
        <f t="shared" ref="F7:F36" si="13">SUM(C7:E7)</f>
        <v>1079</v>
      </c>
      <c r="H7" s="47">
        <f>AP!$U$85</f>
        <v>85899.259143281204</v>
      </c>
      <c r="I7" s="47">
        <f>AP!$U$86</f>
        <v>1445</v>
      </c>
      <c r="J7" s="47">
        <f>AP!$U$87</f>
        <v>18</v>
      </c>
      <c r="K7" s="47">
        <f>AP!$U$88</f>
        <v>36.74085671879584</v>
      </c>
      <c r="L7" s="47">
        <f>AP!$U$89</f>
        <v>0</v>
      </c>
      <c r="M7" s="48">
        <f t="shared" ref="M7:M36" si="14">SUM(H7:L7)</f>
        <v>87399</v>
      </c>
      <c r="O7" s="47">
        <f>AP!$U91</f>
        <v>6468.7672969412097</v>
      </c>
      <c r="P7" s="47">
        <f>AP!$U92</f>
        <v>9.7957121164035925</v>
      </c>
      <c r="Q7" s="47">
        <f>AP!$U93</f>
        <v>16823.436990942388</v>
      </c>
      <c r="R7" s="48">
        <f t="shared" si="10"/>
        <v>23302</v>
      </c>
      <c r="T7" s="47">
        <f>AP!$X$81</f>
        <v>1327.2327030587899</v>
      </c>
      <c r="U7" s="47">
        <f>AP!$X$82</f>
        <v>2.0098403411093386</v>
      </c>
      <c r="V7" s="47">
        <f>AP!$X$83</f>
        <v>3451.7574566001008</v>
      </c>
      <c r="W7" s="48">
        <f t="shared" ref="W7:W36" si="15">SUM(T7:V7)</f>
        <v>4781</v>
      </c>
      <c r="Y7" s="47">
        <f>AP!$X$85</f>
        <v>4319</v>
      </c>
      <c r="AA7" s="47">
        <f>AP!$X$86</f>
        <v>397</v>
      </c>
      <c r="AC7" s="47">
        <f>AP!$X$88</f>
        <v>1302</v>
      </c>
      <c r="AE7" s="47">
        <f>AP!$X$89</f>
        <v>476</v>
      </c>
      <c r="AG7" s="47">
        <f>AP!$X$91</f>
        <v>68427</v>
      </c>
      <c r="AI7" s="47">
        <f>AP!$X$92</f>
        <v>13676</v>
      </c>
      <c r="AK7" s="47">
        <f t="shared" si="7"/>
        <v>205158</v>
      </c>
      <c r="AM7" t="str">
        <f>IF((AK7=AP!$X$95),"ok","erro")</f>
        <v>ok</v>
      </c>
    </row>
    <row r="8" spans="1:39">
      <c r="A8" s="45" t="s">
        <v>23</v>
      </c>
      <c r="C8" s="47">
        <f>AM!$U$81</f>
        <v>5748.2809806192463</v>
      </c>
      <c r="D8" s="47">
        <f>AM!$U$82</f>
        <v>2.7190193807537071</v>
      </c>
      <c r="E8" s="47">
        <f>AM!$U$83</f>
        <v>0</v>
      </c>
      <c r="F8" s="48">
        <f t="shared" si="13"/>
        <v>5751</v>
      </c>
      <c r="H8" s="47">
        <f>AM!$U$85</f>
        <v>400020.01794405677</v>
      </c>
      <c r="I8" s="47">
        <f>AM!$U$86</f>
        <v>16196</v>
      </c>
      <c r="J8" s="47">
        <f>AM!$U$87</f>
        <v>2338</v>
      </c>
      <c r="K8" s="47">
        <f>AM!$U$88</f>
        <v>197.98205594322644</v>
      </c>
      <c r="L8" s="47">
        <f>AM!$U$89</f>
        <v>0</v>
      </c>
      <c r="M8" s="48">
        <f>SUM(H8:L8)</f>
        <v>418752</v>
      </c>
      <c r="O8" s="47">
        <f>AM!$U$91</f>
        <v>25835.342189730432</v>
      </c>
      <c r="P8" s="47">
        <f>AM!$U$92</f>
        <v>44.100971969746752</v>
      </c>
      <c r="Q8" s="47">
        <f>AM!$U$93</f>
        <v>67398.556838299817</v>
      </c>
      <c r="R8" s="48">
        <f t="shared" si="10"/>
        <v>93278</v>
      </c>
      <c r="T8" s="47">
        <f>AM!$X$81</f>
        <v>7731.6578102695703</v>
      </c>
      <c r="U8" s="47">
        <f>AM!$X$82</f>
        <v>13.197952706268552</v>
      </c>
      <c r="V8" s="47">
        <f>AM!$X$83</f>
        <v>20170.14423702416</v>
      </c>
      <c r="W8" s="48">
        <f>SUM(T8:V8)</f>
        <v>27915</v>
      </c>
      <c r="Y8" s="47">
        <f>AM!$X$85</f>
        <v>20731</v>
      </c>
      <c r="AA8" s="47">
        <f>AM!$X$86</f>
        <v>3553</v>
      </c>
      <c r="AC8" s="47">
        <f>AM!$X$88</f>
        <v>9399</v>
      </c>
      <c r="AE8" s="47">
        <f>AM!$X$89</f>
        <v>3607</v>
      </c>
      <c r="AG8" s="47">
        <f>AM!$X$91</f>
        <v>278910</v>
      </c>
      <c r="AI8" s="47">
        <f>AM!$X$92</f>
        <v>63723</v>
      </c>
      <c r="AK8" s="47">
        <f t="shared" si="7"/>
        <v>925619</v>
      </c>
      <c r="AM8" t="str">
        <f>IF((AK8=AM!$X$95),"ok","erro")</f>
        <v>ok</v>
      </c>
    </row>
    <row r="9" spans="1:39">
      <c r="A9" s="45" t="s">
        <v>24</v>
      </c>
      <c r="C9" s="47">
        <f>PA!$U$81</f>
        <v>15022.89774872542</v>
      </c>
      <c r="D9" s="47">
        <f>PA!$U$82</f>
        <v>7.1022512745803397</v>
      </c>
      <c r="E9" s="47">
        <f>PA!$U$83</f>
        <v>0</v>
      </c>
      <c r="F9" s="48">
        <f>SUM(C9:E9)</f>
        <v>15030</v>
      </c>
      <c r="H9" s="47">
        <f>PA!$U$85</f>
        <v>618251.22022139817</v>
      </c>
      <c r="I9" s="47">
        <f>PA!$U$86</f>
        <v>23898</v>
      </c>
      <c r="J9" s="47">
        <f>PA!$U$87</f>
        <v>415</v>
      </c>
      <c r="K9" s="47">
        <f>PA!$U$88</f>
        <v>303.77977860183455</v>
      </c>
      <c r="L9" s="47">
        <f>PA!$U$89</f>
        <v>0</v>
      </c>
      <c r="M9" s="48">
        <f t="shared" si="14"/>
        <v>642868</v>
      </c>
      <c r="O9" s="47">
        <f>PA!$U$91</f>
        <v>77557.164301979326</v>
      </c>
      <c r="P9" s="47">
        <f>PA!$U$92</f>
        <v>77.078564132010797</v>
      </c>
      <c r="Q9" s="47">
        <f>PA!$U$93</f>
        <v>85481.757133888663</v>
      </c>
      <c r="R9" s="48">
        <f t="shared" si="10"/>
        <v>163116</v>
      </c>
      <c r="T9" s="47">
        <f>PA!$X$81</f>
        <v>20163.835698020666</v>
      </c>
      <c r="U9" s="47">
        <f>PA!$X$82</f>
        <v>20.039405991505191</v>
      </c>
      <c r="V9" s="47">
        <f>PA!$X$83</f>
        <v>22224.124895987828</v>
      </c>
      <c r="W9" s="48">
        <f t="shared" si="15"/>
        <v>42408</v>
      </c>
      <c r="Y9" s="47">
        <f>PA!$X$85</f>
        <v>64564</v>
      </c>
      <c r="AA9" s="47">
        <f>PA!$X$86</f>
        <v>9905</v>
      </c>
      <c r="AC9" s="47">
        <f>PA!$X$88</f>
        <v>19357</v>
      </c>
      <c r="AE9" s="47">
        <f>PA!$X$89</f>
        <v>6986</v>
      </c>
      <c r="AG9" s="47">
        <f>PA!$X$91</f>
        <v>933139</v>
      </c>
      <c r="AI9" s="47">
        <f>PA!$X$92</f>
        <v>208527</v>
      </c>
      <c r="AK9" s="47">
        <f t="shared" si="7"/>
        <v>2105900</v>
      </c>
      <c r="AM9" t="str">
        <f>IF((AK9=PA!$X$95),"ok","erro")</f>
        <v>ok</v>
      </c>
    </row>
    <row r="10" spans="1:39">
      <c r="A10" s="45" t="s">
        <v>25</v>
      </c>
      <c r="C10" s="47">
        <f>RO!$U$81</f>
        <v>4697.1333450861484</v>
      </c>
      <c r="D10" s="47">
        <f>RO!$U$82</f>
        <v>1.866654913851562</v>
      </c>
      <c r="E10" s="47">
        <f>RO!$U$83</f>
        <v>0</v>
      </c>
      <c r="F10" s="48">
        <f t="shared" si="13"/>
        <v>4699</v>
      </c>
      <c r="H10" s="47">
        <f>RO!$U$85</f>
        <v>292798.45357873209</v>
      </c>
      <c r="I10" s="47">
        <f>RO!$U$86</f>
        <v>10451</v>
      </c>
      <c r="J10" s="47">
        <f>RO!$U$87</f>
        <v>86</v>
      </c>
      <c r="K10" s="47">
        <f>RO!$U$88</f>
        <v>120.54642126790714</v>
      </c>
      <c r="L10" s="47">
        <f>RO!$U$89</f>
        <v>0</v>
      </c>
      <c r="M10" s="48">
        <f t="shared" si="14"/>
        <v>303456</v>
      </c>
      <c r="O10" s="47">
        <f>RO!$U$91</f>
        <v>47685.304796418677</v>
      </c>
      <c r="P10" s="47">
        <f>RO!$U$92</f>
        <v>41.009999294838053</v>
      </c>
      <c r="Q10" s="47">
        <f>RO!$U$93</f>
        <v>55509.685204286485</v>
      </c>
      <c r="R10" s="48">
        <f t="shared" si="10"/>
        <v>103236</v>
      </c>
      <c r="T10" s="47">
        <f>RO!$X$81</f>
        <v>6484.6952035813256</v>
      </c>
      <c r="U10" s="47">
        <f>RO!$X$82</f>
        <v>5.576924523424168</v>
      </c>
      <c r="V10" s="47">
        <f>RO!$X$83</f>
        <v>7548.7278718952502</v>
      </c>
      <c r="W10" s="48">
        <f t="shared" si="15"/>
        <v>14039</v>
      </c>
      <c r="Y10" s="47">
        <f>RO!$X$85</f>
        <v>31722</v>
      </c>
      <c r="AA10" s="47">
        <f>RO!$X$86</f>
        <v>7550</v>
      </c>
      <c r="AC10" s="47">
        <f>RO!$X$88</f>
        <v>6592</v>
      </c>
      <c r="AE10" s="47">
        <f>RO!$X$89</f>
        <v>1381</v>
      </c>
      <c r="AG10" s="47">
        <f>RO!$X$91</f>
        <v>412285</v>
      </c>
      <c r="AI10" s="47">
        <f>RO!$X$92</f>
        <v>129986</v>
      </c>
      <c r="AK10" s="47">
        <f t="shared" si="7"/>
        <v>1014946</v>
      </c>
      <c r="AM10" t="str">
        <f>IF((AK10=RO!$X$95),"ok","erro")</f>
        <v>ok</v>
      </c>
    </row>
    <row r="11" spans="1:39">
      <c r="A11" s="45" t="s">
        <v>26</v>
      </c>
      <c r="C11" s="47">
        <f>RR!$U$81</f>
        <v>1440.4087851409913</v>
      </c>
      <c r="D11" s="47">
        <f>RR!$U$82</f>
        <v>0.5912148590086872</v>
      </c>
      <c r="E11" s="47">
        <f>RR!$U$83</f>
        <v>0</v>
      </c>
      <c r="F11" s="48">
        <f t="shared" si="13"/>
        <v>1441</v>
      </c>
      <c r="H11" s="47">
        <f>RR!$U$85</f>
        <v>78860.013821339744</v>
      </c>
      <c r="I11" s="47">
        <f>RR!$U$86</f>
        <v>1452</v>
      </c>
      <c r="J11" s="47">
        <f>RR!$U$87</f>
        <v>54</v>
      </c>
      <c r="K11" s="47">
        <f>RR!$U$88</f>
        <v>32.986178660255973</v>
      </c>
      <c r="L11" s="47">
        <f>RR!$U$89</f>
        <v>0</v>
      </c>
      <c r="M11" s="48">
        <f t="shared" si="14"/>
        <v>80399</v>
      </c>
      <c r="O11" s="47">
        <f>RR!$U$91</f>
        <v>11131.54723636674</v>
      </c>
      <c r="P11" s="47">
        <f>RR!$U$92</f>
        <v>12.246066003950546</v>
      </c>
      <c r="Q11" s="47">
        <f>RR!$U$93</f>
        <v>18704.20669762931</v>
      </c>
      <c r="R11" s="48">
        <f t="shared" si="10"/>
        <v>29848</v>
      </c>
      <c r="T11" s="47">
        <f>RR!$X$81</f>
        <v>1978.4527636332605</v>
      </c>
      <c r="U11" s="47">
        <f>RR!$X$82</f>
        <v>2.1765404767802465</v>
      </c>
      <c r="V11" s="47">
        <f>RR!$X$83</f>
        <v>3324.3706958899593</v>
      </c>
      <c r="W11" s="48">
        <f t="shared" si="15"/>
        <v>5305</v>
      </c>
      <c r="Y11" s="47">
        <f>RR!$X$85</f>
        <v>5503</v>
      </c>
      <c r="AA11" s="47">
        <f>RR!$X$86</f>
        <v>946</v>
      </c>
      <c r="AC11" s="47">
        <f>RR!$X$88</f>
        <v>1248</v>
      </c>
      <c r="AE11" s="47">
        <f>RR!$X$89</f>
        <v>735</v>
      </c>
      <c r="AG11" s="47">
        <f>RR!$X$91</f>
        <v>82716</v>
      </c>
      <c r="AI11" s="47">
        <f>RR!$X$92</f>
        <v>21094</v>
      </c>
      <c r="AK11" s="47">
        <f t="shared" si="7"/>
        <v>229235</v>
      </c>
      <c r="AM11" t="str">
        <f>IF((AK11=RR!$X$95),"ok","erro")</f>
        <v>ok</v>
      </c>
    </row>
    <row r="12" spans="1:39">
      <c r="A12" s="45" t="s">
        <v>27</v>
      </c>
      <c r="C12" s="47">
        <f>TO!$U$81</f>
        <v>4546.194669523029</v>
      </c>
      <c r="D12" s="47">
        <f>TO!$U$82</f>
        <v>1.8053304769709939</v>
      </c>
      <c r="E12" s="47">
        <f>TO!$U$83</f>
        <v>0</v>
      </c>
      <c r="F12" s="48">
        <f t="shared" si="13"/>
        <v>4548</v>
      </c>
      <c r="H12" s="47">
        <f>TO!$U$85</f>
        <v>217643.09557683827</v>
      </c>
      <c r="I12" s="47">
        <f>TO!$U$86</f>
        <v>10977</v>
      </c>
      <c r="J12" s="47">
        <f>TO!$U$87</f>
        <v>296</v>
      </c>
      <c r="K12" s="47">
        <f>TO!$U$88</f>
        <v>90.904423161729937</v>
      </c>
      <c r="L12" s="47">
        <f>TO!$U$89</f>
        <v>0</v>
      </c>
      <c r="M12" s="48">
        <f t="shared" si="14"/>
        <v>229007</v>
      </c>
      <c r="O12" s="47">
        <f>TO!$U$91</f>
        <v>35459.278197102481</v>
      </c>
      <c r="P12" s="47">
        <f>TO!$U$92</f>
        <v>28.573284607147798</v>
      </c>
      <c r="Q12" s="47">
        <f>TO!$U$93</f>
        <v>36494.148518290371</v>
      </c>
      <c r="R12" s="48">
        <f t="shared" si="10"/>
        <v>71982</v>
      </c>
      <c r="T12" s="47">
        <f>TO!$X$81</f>
        <v>5853.721802897514</v>
      </c>
      <c r="U12" s="47">
        <f>TO!$X$82</f>
        <v>4.7169617541421758</v>
      </c>
      <c r="V12" s="47">
        <f>TO!$X$83</f>
        <v>6024.5612353483439</v>
      </c>
      <c r="W12" s="48">
        <f t="shared" si="15"/>
        <v>11883</v>
      </c>
      <c r="Y12" s="47">
        <f>TO!$X$85</f>
        <v>23076</v>
      </c>
      <c r="AA12" s="47">
        <f>TO!$X$86</f>
        <v>6191</v>
      </c>
      <c r="AC12" s="47">
        <f>TO!$X$88</f>
        <v>5748</v>
      </c>
      <c r="AE12" s="47">
        <f>TO!$X$89</f>
        <v>1676</v>
      </c>
      <c r="AG12" s="47">
        <f>TO!$X$91</f>
        <v>243624</v>
      </c>
      <c r="AI12" s="47">
        <f>TO!$X$92</f>
        <v>100714</v>
      </c>
      <c r="AK12" s="47">
        <f t="shared" si="7"/>
        <v>698449</v>
      </c>
      <c r="AM12" t="str">
        <f>IF((AK12=TO!$X$95),"ok","erro")</f>
        <v>ok</v>
      </c>
    </row>
    <row r="13" spans="1:39">
      <c r="A13" s="44" t="s">
        <v>28</v>
      </c>
      <c r="C13" s="48">
        <f>SUM(C14:C22)</f>
        <v>155642.34587717132</v>
      </c>
      <c r="D13" s="48">
        <f>SUM(D14:D22)</f>
        <v>76.221503222515821</v>
      </c>
      <c r="E13" s="48">
        <f t="shared" ref="E13:AI13" si="16">SUM(E14:E22)</f>
        <v>5712.4326196061584</v>
      </c>
      <c r="F13" s="48">
        <f t="shared" si="13"/>
        <v>161430.99999999997</v>
      </c>
      <c r="H13" s="48">
        <f>SUM(H14:H22)</f>
        <v>6512458.415361736</v>
      </c>
      <c r="I13" s="48">
        <f>SUM(I14:I22)</f>
        <v>389735</v>
      </c>
      <c r="J13" s="48">
        <f t="shared" si="16"/>
        <v>306558</v>
      </c>
      <c r="K13" s="48">
        <f t="shared" ref="K13" si="17">SUM(K14:K22)</f>
        <v>3514.3759398479015</v>
      </c>
      <c r="L13" s="48">
        <f t="shared" si="16"/>
        <v>800.20869841560489</v>
      </c>
      <c r="M13" s="48">
        <f t="shared" si="14"/>
        <v>7213065.9999999991</v>
      </c>
      <c r="O13" s="48">
        <f t="shared" si="16"/>
        <v>501851.28405058885</v>
      </c>
      <c r="P13" s="48">
        <f t="shared" si="16"/>
        <v>640.08333039111312</v>
      </c>
      <c r="Q13" s="48">
        <f t="shared" si="16"/>
        <v>794951.63261902006</v>
      </c>
      <c r="R13" s="48">
        <f t="shared" si="10"/>
        <v>1297443</v>
      </c>
      <c r="T13" s="48">
        <f t="shared" si="16"/>
        <v>162825.71594941107</v>
      </c>
      <c r="U13" s="48">
        <f t="shared" ref="U13" si="18">SUM(U14:U22)</f>
        <v>214.31922653834044</v>
      </c>
      <c r="V13" s="48">
        <f t="shared" si="16"/>
        <v>269831.96482405049</v>
      </c>
      <c r="W13" s="48">
        <f t="shared" si="15"/>
        <v>432871.99999999988</v>
      </c>
      <c r="Y13" s="48">
        <f t="shared" ref="Y13" si="19">SUM(Y14:Y22)</f>
        <v>479648</v>
      </c>
      <c r="AA13" s="48">
        <f t="shared" si="16"/>
        <v>66515</v>
      </c>
      <c r="AC13" s="48">
        <f t="shared" si="16"/>
        <v>130825</v>
      </c>
      <c r="AE13" s="48">
        <f t="shared" si="16"/>
        <v>93637</v>
      </c>
      <c r="AG13" s="48">
        <f t="shared" ref="AG13" si="20">SUM(AG14:AG22)</f>
        <v>6928233</v>
      </c>
      <c r="AI13" s="48">
        <f t="shared" si="16"/>
        <v>1013733</v>
      </c>
      <c r="AK13" s="48">
        <f t="shared" si="7"/>
        <v>17817403</v>
      </c>
    </row>
    <row r="14" spans="1:39">
      <c r="A14" s="45" t="s">
        <v>29</v>
      </c>
      <c r="C14" s="47">
        <f>AL!$U$81</f>
        <v>7174.9079719488172</v>
      </c>
      <c r="D14" s="47">
        <f>AL!$U$82</f>
        <v>2.0920280511827514</v>
      </c>
      <c r="E14" s="47">
        <f>AL!$U$83</f>
        <v>0</v>
      </c>
      <c r="F14" s="48">
        <f t="shared" si="13"/>
        <v>7177</v>
      </c>
      <c r="H14" s="47">
        <f>AL!$U$85</f>
        <v>332801.16244749975</v>
      </c>
      <c r="I14" s="47">
        <f>AL!$U$86</f>
        <v>24203</v>
      </c>
      <c r="J14" s="47">
        <f>AL!$U$87</f>
        <v>23129</v>
      </c>
      <c r="K14" s="47">
        <f>AL!$U$88</f>
        <v>110.83755250024842</v>
      </c>
      <c r="L14" s="47">
        <f>AL!$U$89</f>
        <v>0</v>
      </c>
      <c r="M14" s="48">
        <f t="shared" si="14"/>
        <v>380244</v>
      </c>
      <c r="O14" s="47">
        <f>AL!$U$91</f>
        <v>21317.683786042118</v>
      </c>
      <c r="P14" s="47">
        <f>AL!$U$92</f>
        <v>17.287433138015331</v>
      </c>
      <c r="Q14" s="47">
        <f>AL!$U$93</f>
        <v>37972.028780819863</v>
      </c>
      <c r="R14" s="48">
        <f t="shared" si="10"/>
        <v>59307</v>
      </c>
      <c r="T14" s="47">
        <f>AL!$X$81</f>
        <v>8364.3162139578835</v>
      </c>
      <c r="U14" s="47">
        <f>AL!$X$82</f>
        <v>6.7829863105798722</v>
      </c>
      <c r="V14" s="47">
        <f>AL!$X$83</f>
        <v>14898.900799731537</v>
      </c>
      <c r="W14" s="48">
        <f t="shared" si="15"/>
        <v>23270</v>
      </c>
      <c r="Y14" s="47">
        <f>AL!$X$85</f>
        <v>22533</v>
      </c>
      <c r="AA14" s="47">
        <f>AL!$X$86</f>
        <v>2688</v>
      </c>
      <c r="AC14" s="47">
        <f>AL!$X$88</f>
        <v>8456</v>
      </c>
      <c r="AE14" s="47">
        <f>AL!$X$89</f>
        <v>7061</v>
      </c>
      <c r="AG14" s="47">
        <f>AL!$X$91</f>
        <v>313707</v>
      </c>
      <c r="AI14" s="47">
        <f>AL!$X$92</f>
        <v>43857</v>
      </c>
      <c r="AK14" s="47">
        <f t="shared" si="7"/>
        <v>868300</v>
      </c>
      <c r="AM14" t="str">
        <f>IF((AK14=AL!$X$95),"ok","erro")</f>
        <v>ok</v>
      </c>
    </row>
    <row r="15" spans="1:39">
      <c r="A15" s="45" t="s">
        <v>30</v>
      </c>
      <c r="C15" s="47">
        <f>BA!$U$81</f>
        <v>33366.994805817689</v>
      </c>
      <c r="D15" s="47">
        <f>BA!$U$82</f>
        <v>18.605000158720941</v>
      </c>
      <c r="E15" s="47">
        <f>BA!$U$83</f>
        <v>2175.4001940235903</v>
      </c>
      <c r="F15" s="48">
        <f t="shared" si="13"/>
        <v>35561</v>
      </c>
      <c r="H15" s="47">
        <f>BA!$U$85</f>
        <v>1773687.674410241</v>
      </c>
      <c r="I15" s="47">
        <f>BA!$U$86</f>
        <v>100134</v>
      </c>
      <c r="J15" s="47">
        <f>BA!$U$87</f>
        <v>62003</v>
      </c>
      <c r="K15" s="47">
        <f>BA!$U$88</f>
        <v>1013.3255897590425</v>
      </c>
      <c r="L15" s="47">
        <f>BA!$U$89</f>
        <v>0</v>
      </c>
      <c r="M15" s="48">
        <f t="shared" si="14"/>
        <v>1936838</v>
      </c>
      <c r="O15" s="47">
        <f>BA!$U$91</f>
        <v>119528.97668354637</v>
      </c>
      <c r="P15" s="47">
        <f>BA!$U$92</f>
        <v>203.6625188208418</v>
      </c>
      <c r="Q15" s="47">
        <f>BA!$U$93</f>
        <v>269541.36079763278</v>
      </c>
      <c r="R15" s="48">
        <f t="shared" si="10"/>
        <v>389274</v>
      </c>
      <c r="T15" s="47">
        <f>BA!$X$81</f>
        <v>38974.023316453633</v>
      </c>
      <c r="U15" s="47">
        <f>BA!$X$82</f>
        <v>66.406891261402052</v>
      </c>
      <c r="V15" s="47">
        <f>BA!$X$83</f>
        <v>87887.569792284965</v>
      </c>
      <c r="W15" s="48">
        <f t="shared" si="15"/>
        <v>126928</v>
      </c>
      <c r="Y15" s="47">
        <f>BA!$X$85</f>
        <v>123805</v>
      </c>
      <c r="AA15" s="47">
        <f>BA!$X$86</f>
        <v>23601</v>
      </c>
      <c r="AC15" s="47">
        <f>BA!$X$88</f>
        <v>42107</v>
      </c>
      <c r="AE15" s="47">
        <f>BA!$X$89</f>
        <v>30713</v>
      </c>
      <c r="AG15" s="47">
        <f>BA!$X$91</f>
        <v>1370422</v>
      </c>
      <c r="AI15" s="47">
        <f>BA!$X$92</f>
        <v>212556</v>
      </c>
      <c r="AK15" s="47">
        <f t="shared" si="7"/>
        <v>4291805</v>
      </c>
      <c r="AM15" t="str">
        <f>IF((AK15=BA!$X$95),"ok","erro")</f>
        <v>ok</v>
      </c>
    </row>
    <row r="16" spans="1:39">
      <c r="A16" s="45" t="s">
        <v>31</v>
      </c>
      <c r="C16" s="47">
        <f>CE!$U$81</f>
        <v>37651.738297621021</v>
      </c>
      <c r="D16" s="47">
        <f>CE!$U$82</f>
        <v>15.261702378978953</v>
      </c>
      <c r="E16" s="47">
        <f>CE!$U$83</f>
        <v>0</v>
      </c>
      <c r="F16" s="48">
        <f t="shared" si="13"/>
        <v>37667</v>
      </c>
      <c r="H16" s="47">
        <f>CE!$U$85</f>
        <v>1091392.8301666165</v>
      </c>
      <c r="I16" s="47">
        <f>CE!$U$86</f>
        <v>60962</v>
      </c>
      <c r="J16" s="47">
        <f>CE!$U$87</f>
        <v>54463</v>
      </c>
      <c r="K16" s="47">
        <f>CE!$U$88</f>
        <v>489.16983338352293</v>
      </c>
      <c r="L16" s="47">
        <f>CE!$U$89</f>
        <v>0</v>
      </c>
      <c r="M16" s="48">
        <f t="shared" si="14"/>
        <v>1207307</v>
      </c>
      <c r="O16" s="47">
        <f>CE!$U$91</f>
        <v>100197.64738946021</v>
      </c>
      <c r="P16" s="47">
        <f>CE!$U$92</f>
        <v>83.401088955579326</v>
      </c>
      <c r="Q16" s="47">
        <f>CE!$U$93</f>
        <v>105558.95152158421</v>
      </c>
      <c r="R16" s="48">
        <f t="shared" si="10"/>
        <v>205840</v>
      </c>
      <c r="T16" s="47">
        <f>CE!$X$81</f>
        <v>31437.35261053979</v>
      </c>
      <c r="U16" s="47">
        <f>CE!$X$82</f>
        <v>26.16737528185331</v>
      </c>
      <c r="V16" s="47">
        <f>CE!$X$83</f>
        <v>33119.480014178356</v>
      </c>
      <c r="W16" s="48">
        <f t="shared" si="15"/>
        <v>64583</v>
      </c>
      <c r="Y16" s="47">
        <f>CE!$X$85</f>
        <v>76003</v>
      </c>
      <c r="AA16" s="47">
        <f>CE!$X$86</f>
        <v>9625</v>
      </c>
      <c r="AC16" s="47">
        <f>CE!$X$88</f>
        <v>18489</v>
      </c>
      <c r="AE16" s="47">
        <f>CE!$X$89</f>
        <v>12911</v>
      </c>
      <c r="AG16" s="47">
        <f>CE!$X$91</f>
        <v>1446854</v>
      </c>
      <c r="AI16" s="47">
        <f>CE!$X$92</f>
        <v>180036</v>
      </c>
      <c r="AK16" s="47">
        <f t="shared" si="7"/>
        <v>3259315</v>
      </c>
      <c r="AM16" t="str">
        <f>IF((AK16=CE!$X$95),"ok","erro")</f>
        <v>ok</v>
      </c>
    </row>
    <row r="17" spans="1:39">
      <c r="A17" s="45" t="s">
        <v>32</v>
      </c>
      <c r="C17" s="47">
        <f>MA!$U$81</f>
        <v>11660.325844508599</v>
      </c>
      <c r="D17" s="47">
        <f>MA!$U$82</f>
        <v>7.6741554914005974</v>
      </c>
      <c r="E17" s="47">
        <f>MA!$U$83</f>
        <v>0</v>
      </c>
      <c r="F17" s="48">
        <f t="shared" si="13"/>
        <v>11668</v>
      </c>
      <c r="H17" s="47">
        <f>MA!$U$85</f>
        <v>450874.9361579009</v>
      </c>
      <c r="I17" s="47">
        <f>MA!$U$86</f>
        <v>13865</v>
      </c>
      <c r="J17" s="47">
        <f>MA!$U$87</f>
        <v>302</v>
      </c>
      <c r="K17" s="47">
        <f>MA!$U$88</f>
        <v>306.06384209910175</v>
      </c>
      <c r="L17" s="47">
        <f>MA!$U$89</f>
        <v>0</v>
      </c>
      <c r="M17" s="48">
        <f t="shared" si="14"/>
        <v>465348</v>
      </c>
      <c r="O17" s="47">
        <f>MA!$U$91</f>
        <v>60040.709972858596</v>
      </c>
      <c r="P17" s="47">
        <f>MA!$U$92</f>
        <v>85.435160269276821</v>
      </c>
      <c r="Q17" s="47">
        <f>MA!$U$93</f>
        <v>69771.854866872134</v>
      </c>
      <c r="R17" s="48">
        <f t="shared" si="10"/>
        <v>129898</v>
      </c>
      <c r="T17" s="47">
        <f>MA!$X$81</f>
        <v>11825.290027141404</v>
      </c>
      <c r="U17" s="47">
        <f>MA!$X$82</f>
        <v>16.826842140213557</v>
      </c>
      <c r="V17" s="47">
        <f>MA!$X$83</f>
        <v>13741.883130718383</v>
      </c>
      <c r="W17" s="48">
        <f t="shared" si="15"/>
        <v>25584</v>
      </c>
      <c r="Y17" s="47">
        <f>MA!$X$85</f>
        <v>43202</v>
      </c>
      <c r="AA17" s="47">
        <f>MA!$X$86</f>
        <v>5604</v>
      </c>
      <c r="AC17" s="47">
        <f>MA!$X$88</f>
        <v>9817</v>
      </c>
      <c r="AE17" s="47">
        <f>MA!$X$89</f>
        <v>5332</v>
      </c>
      <c r="AG17" s="47">
        <f>MA!$X$91</f>
        <v>904664</v>
      </c>
      <c r="AI17" s="47">
        <f>MA!$X$92</f>
        <v>172209</v>
      </c>
      <c r="AK17" s="47">
        <f t="shared" si="7"/>
        <v>1773326</v>
      </c>
      <c r="AM17" t="str">
        <f>IF((AK17=MA!$X$95),"ok","erro")</f>
        <v>ok</v>
      </c>
    </row>
    <row r="18" spans="1:39">
      <c r="A18" s="45" t="s">
        <v>33</v>
      </c>
      <c r="C18" s="47">
        <f>PB!$U$81</f>
        <v>13383.56337500882</v>
      </c>
      <c r="D18" s="47">
        <f>PB!$U$82</f>
        <v>5.4366249911799969</v>
      </c>
      <c r="E18" s="47">
        <f>PB!$U$83</f>
        <v>0</v>
      </c>
      <c r="F18" s="48">
        <f t="shared" si="13"/>
        <v>13389</v>
      </c>
      <c r="H18" s="47">
        <f>PB!$U$85</f>
        <v>510028.59190949367</v>
      </c>
      <c r="I18" s="47">
        <f>PB!$U$86</f>
        <v>29308</v>
      </c>
      <c r="J18" s="47">
        <f>PB!$U$87</f>
        <v>22945</v>
      </c>
      <c r="K18" s="47">
        <f>PB!$U$88</f>
        <v>228.40809050633106</v>
      </c>
      <c r="L18" s="47">
        <f>PB!$U$89</f>
        <v>0</v>
      </c>
      <c r="M18" s="48">
        <f t="shared" si="14"/>
        <v>562510</v>
      </c>
      <c r="O18" s="47">
        <f>PB!$U$91</f>
        <v>36011.338254886417</v>
      </c>
      <c r="P18" s="47">
        <f>PB!$U$92</f>
        <v>36.050479990444728</v>
      </c>
      <c r="Q18" s="47">
        <f>PB!$U$93</f>
        <v>52735.611265123138</v>
      </c>
      <c r="R18" s="48">
        <f t="shared" si="10"/>
        <v>88783</v>
      </c>
      <c r="T18" s="47">
        <f>PB!$X$81</f>
        <v>12091.661745113583</v>
      </c>
      <c r="U18" s="47">
        <f>PB!$X$82</f>
        <v>12.104804512069677</v>
      </c>
      <c r="V18" s="47">
        <f>PB!$X$83</f>
        <v>17707.233450374348</v>
      </c>
      <c r="W18" s="48">
        <f t="shared" si="15"/>
        <v>29811</v>
      </c>
      <c r="Y18" s="47">
        <f>PB!$X$85</f>
        <v>29483</v>
      </c>
      <c r="AA18" s="47">
        <f>PB!$X$86</f>
        <v>2881</v>
      </c>
      <c r="AC18" s="47">
        <f>PB!$X$88</f>
        <v>7834</v>
      </c>
      <c r="AE18" s="47">
        <f>PB!$X$89</f>
        <v>5089</v>
      </c>
      <c r="AG18" s="47">
        <f>PB!$X$91</f>
        <v>519813</v>
      </c>
      <c r="AI18" s="47">
        <f>PB!$X$92</f>
        <v>72719</v>
      </c>
      <c r="AK18" s="47">
        <f t="shared" si="7"/>
        <v>1332312</v>
      </c>
      <c r="AM18" t="str">
        <f>IF((AK18=PB!$X$95),"ok","erro")</f>
        <v>ok</v>
      </c>
    </row>
    <row r="19" spans="1:39">
      <c r="A19" s="45" t="s">
        <v>34</v>
      </c>
      <c r="C19" s="47">
        <f>PE!$U$81</f>
        <v>21690.19492819886</v>
      </c>
      <c r="D19" s="47">
        <f>PE!$U$82</f>
        <v>13.75403776505118</v>
      </c>
      <c r="E19" s="47">
        <f>PE!$U$83</f>
        <v>509.05103403608882</v>
      </c>
      <c r="F19" s="48">
        <f t="shared" si="13"/>
        <v>22213</v>
      </c>
      <c r="H19" s="47">
        <f>PE!$U$85</f>
        <v>1180433.3417114837</v>
      </c>
      <c r="I19" s="47">
        <f>PE!$U$86</f>
        <v>93983</v>
      </c>
      <c r="J19" s="47">
        <f>PE!$U$87</f>
        <v>69508</v>
      </c>
      <c r="K19" s="47">
        <f>PE!$U$88</f>
        <v>832.65828851633705</v>
      </c>
      <c r="L19" s="47">
        <f>PE!$U$89</f>
        <v>0</v>
      </c>
      <c r="M19" s="48">
        <f t="shared" si="14"/>
        <v>1344757</v>
      </c>
      <c r="O19" s="47">
        <f>PE!$U$91</f>
        <v>63669.989789404237</v>
      </c>
      <c r="P19" s="47">
        <f>PE!$U$92</f>
        <v>116.0006616403698</v>
      </c>
      <c r="Q19" s="47">
        <f>PE!$U$93</f>
        <v>123557.00954895539</v>
      </c>
      <c r="R19" s="48">
        <f t="shared" si="10"/>
        <v>187343</v>
      </c>
      <c r="T19" s="47">
        <f>PE!$X$81</f>
        <v>32157.010210595749</v>
      </c>
      <c r="U19" s="47">
        <f>PE!$X$82</f>
        <v>58.587012078118278</v>
      </c>
      <c r="V19" s="47">
        <f>PE!$X$83</f>
        <v>62403.402777326133</v>
      </c>
      <c r="W19" s="48">
        <f t="shared" si="15"/>
        <v>94619</v>
      </c>
      <c r="Y19" s="47">
        <f>PE!$X$85</f>
        <v>94124</v>
      </c>
      <c r="AA19" s="47">
        <f>PE!$X$86</f>
        <v>12409</v>
      </c>
      <c r="AC19" s="47">
        <f>PE!$X$88</f>
        <v>20503</v>
      </c>
      <c r="AE19" s="47">
        <f>PE!$X$89</f>
        <v>19156</v>
      </c>
      <c r="AG19" s="47">
        <f>PE!$X$91</f>
        <v>1062212</v>
      </c>
      <c r="AI19" s="47">
        <f>PE!$X$92</f>
        <v>112799</v>
      </c>
      <c r="AK19" s="47">
        <f t="shared" si="7"/>
        <v>2970135</v>
      </c>
      <c r="AM19" t="str">
        <f>IF((AK19=PE!$X$95),"ok","erro")</f>
        <v>ok</v>
      </c>
    </row>
    <row r="20" spans="1:39">
      <c r="A20" s="45" t="s">
        <v>35</v>
      </c>
      <c r="C20" s="47">
        <f>PI!$U$81</f>
        <v>8504.0259837010617</v>
      </c>
      <c r="D20" s="47">
        <f>PI!$U$82</f>
        <v>3.9740162989382952</v>
      </c>
      <c r="E20" s="47">
        <f>PI!$U$83</f>
        <v>0</v>
      </c>
      <c r="F20" s="48">
        <f t="shared" si="13"/>
        <v>8508</v>
      </c>
      <c r="H20" s="47">
        <f>PI!$U$85</f>
        <v>364427.65733402967</v>
      </c>
      <c r="I20" s="47">
        <f>PI!$U$86</f>
        <v>18589</v>
      </c>
      <c r="J20" s="47">
        <f>PI!$U$87</f>
        <v>760</v>
      </c>
      <c r="K20" s="47">
        <f>PI!$U$88</f>
        <v>179.34266597032547</v>
      </c>
      <c r="L20" s="47">
        <f>PI!$U$89</f>
        <v>0</v>
      </c>
      <c r="M20" s="48">
        <f t="shared" si="14"/>
        <v>383956</v>
      </c>
      <c r="O20" s="47">
        <f>PI!$U$91</f>
        <v>47271.768939624642</v>
      </c>
      <c r="P20" s="47">
        <f>PI!$U$92</f>
        <v>45.127598813545774</v>
      </c>
      <c r="Q20" s="47">
        <f>PI!$U$93</f>
        <v>49297.103461561812</v>
      </c>
      <c r="R20" s="48">
        <f t="shared" si="10"/>
        <v>96614</v>
      </c>
      <c r="T20" s="47">
        <f>PI!$X$81</f>
        <v>8962.2310603753558</v>
      </c>
      <c r="U20" s="47">
        <f>PI!$X$82</f>
        <v>8.5557189172141079</v>
      </c>
      <c r="V20" s="47">
        <f>PI!$X$83</f>
        <v>9346.2132207074301</v>
      </c>
      <c r="W20" s="48">
        <f t="shared" si="15"/>
        <v>18317</v>
      </c>
      <c r="Y20" s="47">
        <f>PI!$X$85</f>
        <v>31554</v>
      </c>
      <c r="AA20" s="47">
        <f>PI!$X$86</f>
        <v>3013</v>
      </c>
      <c r="AC20" s="47">
        <f>PI!$X$88</f>
        <v>8404</v>
      </c>
      <c r="AE20" s="47">
        <f>PI!$X$89</f>
        <v>4402</v>
      </c>
      <c r="AG20" s="47">
        <f>PI!$X$91</f>
        <v>583868</v>
      </c>
      <c r="AI20" s="47">
        <f>PI!$X$92</f>
        <v>104683</v>
      </c>
      <c r="AK20" s="47">
        <f t="shared" si="7"/>
        <v>1243319</v>
      </c>
      <c r="AM20" t="str">
        <f>IF((AK20=PI!$X$95),"ok","erro")</f>
        <v>ok</v>
      </c>
    </row>
    <row r="21" spans="1:39">
      <c r="A21" s="45" t="s">
        <v>36</v>
      </c>
      <c r="C21" s="47">
        <f>RN!$U$81</f>
        <v>16807.406834946065</v>
      </c>
      <c r="D21" s="47">
        <f>RN!$U$82</f>
        <v>7.094215422985144</v>
      </c>
      <c r="E21" s="47">
        <f>RN!$U$83</f>
        <v>2763.4989496309499</v>
      </c>
      <c r="F21" s="48">
        <f t="shared" si="13"/>
        <v>19578</v>
      </c>
      <c r="H21" s="47">
        <f>RN!$U$85</f>
        <v>502733.59316505393</v>
      </c>
      <c r="I21" s="47">
        <f>RN!$U$86</f>
        <v>30182</v>
      </c>
      <c r="J21" s="47">
        <f>RN!$U$87</f>
        <v>51678</v>
      </c>
      <c r="K21" s="47">
        <f>RN!$U$88</f>
        <v>212.19813653046731</v>
      </c>
      <c r="L21" s="47">
        <f>RN!$U$89</f>
        <v>800.20869841560489</v>
      </c>
      <c r="M21" s="48">
        <f t="shared" si="14"/>
        <v>585606</v>
      </c>
      <c r="O21" s="47">
        <f>RN!$U$91</f>
        <v>37581.544648802919</v>
      </c>
      <c r="P21" s="47">
        <f>RN!$U$92</f>
        <v>34.073830477325828</v>
      </c>
      <c r="Q21" s="47">
        <f>RN!$U$93</f>
        <v>56418.381520719755</v>
      </c>
      <c r="R21" s="48">
        <f t="shared" si="10"/>
        <v>94034</v>
      </c>
      <c r="T21" s="47">
        <f>RN!$X$81</f>
        <v>12831.455351197081</v>
      </c>
      <c r="U21" s="47">
        <f>RN!$X$82</f>
        <v>11.633817569228995</v>
      </c>
      <c r="V21" s="47">
        <f>RN!$X$83</f>
        <v>19262.91083123369</v>
      </c>
      <c r="W21" s="48">
        <f t="shared" si="15"/>
        <v>32106</v>
      </c>
      <c r="Y21" s="47">
        <f>RN!$X$85</f>
        <v>36801</v>
      </c>
      <c r="AA21" s="47">
        <f>RN!$X$86</f>
        <v>3924</v>
      </c>
      <c r="AC21" s="47">
        <f>RN!$X$88</f>
        <v>7608</v>
      </c>
      <c r="AE21" s="47">
        <f>RN!$X$89</f>
        <v>5409</v>
      </c>
      <c r="AG21" s="47">
        <f>RN!$X$91</f>
        <v>458977</v>
      </c>
      <c r="AI21" s="47">
        <f>RN!$X$92</f>
        <v>66400</v>
      </c>
      <c r="AK21" s="47">
        <f t="shared" si="7"/>
        <v>1310443</v>
      </c>
      <c r="AM21" t="str">
        <f>IF((AK21=RN!$X$95),"ok","erro")</f>
        <v>ok</v>
      </c>
    </row>
    <row r="22" spans="1:39">
      <c r="A22" s="45" t="s">
        <v>37</v>
      </c>
      <c r="C22" s="47">
        <f>SE!$U$81</f>
        <v>5403.1878354203927</v>
      </c>
      <c r="D22" s="47">
        <f>SE!$U$82</f>
        <v>2.3297226640779627</v>
      </c>
      <c r="E22" s="47">
        <f>SE!$U$83</f>
        <v>264.48244191552931</v>
      </c>
      <c r="F22" s="48">
        <f t="shared" si="13"/>
        <v>5670</v>
      </c>
      <c r="H22" s="47">
        <f>SE!$U$85</f>
        <v>306078.62805941748</v>
      </c>
      <c r="I22" s="47">
        <f>SE!$U$86</f>
        <v>18509</v>
      </c>
      <c r="J22" s="47">
        <f>SE!$U$87</f>
        <v>21770</v>
      </c>
      <c r="K22" s="47">
        <f>SE!$U$88</f>
        <v>142.37194058252499</v>
      </c>
      <c r="L22" s="47">
        <f>SE!$U$89</f>
        <v>0</v>
      </c>
      <c r="M22" s="48">
        <f t="shared" si="14"/>
        <v>346500</v>
      </c>
      <c r="O22" s="47">
        <f>SE!$U$91</f>
        <v>16231.624585963378</v>
      </c>
      <c r="P22" s="47">
        <f>SE!$U$92</f>
        <v>19.04455828571372</v>
      </c>
      <c r="Q22" s="47">
        <f>SE!$U$93</f>
        <v>30099.330855750908</v>
      </c>
      <c r="R22" s="48">
        <f t="shared" si="10"/>
        <v>46350</v>
      </c>
      <c r="T22" s="47">
        <f>SE!$X$81</f>
        <v>6182.3754140366227</v>
      </c>
      <c r="U22" s="47">
        <f>SE!$X$82</f>
        <v>7.2537784676605952</v>
      </c>
      <c r="V22" s="47">
        <f>SE!$X$83</f>
        <v>11464.370807495718</v>
      </c>
      <c r="W22" s="48">
        <f t="shared" si="15"/>
        <v>17654</v>
      </c>
      <c r="Y22" s="47">
        <f>SE!$X$85</f>
        <v>22143</v>
      </c>
      <c r="AA22" s="47">
        <f>SE!$X$86</f>
        <v>2770</v>
      </c>
      <c r="AC22" s="47">
        <f>SE!$X$88</f>
        <v>7607</v>
      </c>
      <c r="AE22" s="47">
        <f>SE!$X$89</f>
        <v>3564</v>
      </c>
      <c r="AG22" s="47">
        <f>SE!$X$91</f>
        <v>267716</v>
      </c>
      <c r="AI22" s="47">
        <f>SE!$X$92</f>
        <v>48474</v>
      </c>
      <c r="AK22" s="47">
        <f t="shared" si="7"/>
        <v>768448</v>
      </c>
      <c r="AM22" t="str">
        <f>IF((AK22=SE!$X$95),"ok","erro")</f>
        <v>ok</v>
      </c>
    </row>
    <row r="23" spans="1:39">
      <c r="A23" s="46" t="s">
        <v>38</v>
      </c>
      <c r="C23" s="48">
        <f>SUM(C24:C27)</f>
        <v>321265.53348418209</v>
      </c>
      <c r="D23" s="48">
        <f>SUM(D24:D27)</f>
        <v>256.8137828472245</v>
      </c>
      <c r="E23" s="48">
        <f t="shared" ref="E23:AI23" si="21">SUM(E24:E27)</f>
        <v>197015.65273297066</v>
      </c>
      <c r="F23" s="48">
        <f t="shared" si="13"/>
        <v>518538</v>
      </c>
      <c r="H23" s="48">
        <f t="shared" si="21"/>
        <v>19333686.46651582</v>
      </c>
      <c r="I23" s="48">
        <f t="shared" si="21"/>
        <v>2630362</v>
      </c>
      <c r="J23" s="48">
        <f t="shared" si="21"/>
        <v>1848011</v>
      </c>
      <c r="K23" s="48">
        <f t="shared" ref="K23" si="22">SUM(K24:K27)</f>
        <v>15022.320965454099</v>
      </c>
      <c r="L23" s="48">
        <f t="shared" si="21"/>
        <v>7328094.2125187265</v>
      </c>
      <c r="M23" s="48">
        <f t="shared" si="14"/>
        <v>31155176</v>
      </c>
      <c r="O23" s="48">
        <f t="shared" si="21"/>
        <v>819952.91966838273</v>
      </c>
      <c r="P23" s="48">
        <f t="shared" si="21"/>
        <v>1732.2302963576512</v>
      </c>
      <c r="Q23" s="48">
        <f t="shared" si="21"/>
        <v>2821796.8500352595</v>
      </c>
      <c r="R23" s="48">
        <f t="shared" si="10"/>
        <v>3643482</v>
      </c>
      <c r="T23" s="48">
        <f t="shared" si="21"/>
        <v>444078.08033161721</v>
      </c>
      <c r="U23" s="48">
        <f t="shared" ref="U23" si="23">SUM(U24:U27)</f>
        <v>1005.6349553405598</v>
      </c>
      <c r="V23" s="48">
        <f t="shared" si="21"/>
        <v>1609144.2847130422</v>
      </c>
      <c r="W23" s="48">
        <f t="shared" si="15"/>
        <v>2054228</v>
      </c>
      <c r="Y23" s="48">
        <f t="shared" ref="Y23" si="24">SUM(Y24:Y27)</f>
        <v>1263490</v>
      </c>
      <c r="AA23" s="48">
        <f t="shared" si="21"/>
        <v>303324</v>
      </c>
      <c r="AC23" s="48">
        <f t="shared" si="21"/>
        <v>308372</v>
      </c>
      <c r="AE23" s="48">
        <f t="shared" si="21"/>
        <v>223810</v>
      </c>
      <c r="AG23" s="48">
        <f t="shared" ref="AG23" si="25">SUM(AG24:AG27)</f>
        <v>8978718</v>
      </c>
      <c r="AI23" s="48">
        <f t="shared" si="21"/>
        <v>1590868</v>
      </c>
      <c r="AK23" s="48">
        <f t="shared" si="7"/>
        <v>50040006</v>
      </c>
    </row>
    <row r="24" spans="1:39">
      <c r="A24" s="45" t="s">
        <v>39</v>
      </c>
      <c r="C24" s="47">
        <f>ES!$U$81</f>
        <v>18108.339641457587</v>
      </c>
      <c r="D24" s="47">
        <f>ES!$U$82</f>
        <v>15.767266930211917</v>
      </c>
      <c r="E24" s="47">
        <f>ES!$U$83</f>
        <v>4317.8930916122008</v>
      </c>
      <c r="F24" s="48">
        <f t="shared" si="13"/>
        <v>22442</v>
      </c>
      <c r="H24" s="47">
        <f>ES!$U$85</f>
        <v>808810.66035854234</v>
      </c>
      <c r="I24" s="47">
        <f>ES!$U$86</f>
        <v>53288</v>
      </c>
      <c r="J24" s="47">
        <f>ES!$U$87</f>
        <v>39315</v>
      </c>
      <c r="K24" s="47">
        <f>ES!$U$88</f>
        <v>704.24643177550752</v>
      </c>
      <c r="L24" s="47">
        <f>ES!$U$89</f>
        <v>100256.09320968215</v>
      </c>
      <c r="M24" s="48">
        <f t="shared" si="14"/>
        <v>1002374</v>
      </c>
      <c r="O24" s="47">
        <f>ES!$U$91</f>
        <v>63487.640046896762</v>
      </c>
      <c r="P24" s="47">
        <f>ES!$U$92</f>
        <v>127.95008541998686</v>
      </c>
      <c r="Q24" s="47">
        <f>ES!$U$93</f>
        <v>118499.40986768325</v>
      </c>
      <c r="R24" s="48">
        <f t="shared" si="10"/>
        <v>182115</v>
      </c>
      <c r="T24" s="47">
        <f>ES!$X$81</f>
        <v>21850.359953103231</v>
      </c>
      <c r="U24" s="47">
        <f>ES!$X$82</f>
        <v>44.036215874337358</v>
      </c>
      <c r="V24" s="47">
        <f>ES!$X$83</f>
        <v>40783.603831022432</v>
      </c>
      <c r="W24" s="48">
        <f t="shared" si="15"/>
        <v>62678</v>
      </c>
      <c r="Y24" s="47">
        <f>ES!$X$85</f>
        <v>76300</v>
      </c>
      <c r="AA24" s="47">
        <f>ES!$X$86</f>
        <v>19259</v>
      </c>
      <c r="AC24" s="47">
        <f>ES!$X$88</f>
        <v>15340</v>
      </c>
      <c r="AE24" s="47">
        <f>ES!$X$89</f>
        <v>8727</v>
      </c>
      <c r="AG24" s="47">
        <f>ES!$X$91</f>
        <v>466715</v>
      </c>
      <c r="AI24" s="47">
        <f>ES!$X$92</f>
        <v>116438</v>
      </c>
      <c r="AK24" s="47">
        <f t="shared" si="7"/>
        <v>1972388</v>
      </c>
      <c r="AM24" t="str">
        <f>IF((AK24=ES!$X$95),"ok","erro")</f>
        <v>ok</v>
      </c>
    </row>
    <row r="25" spans="1:39">
      <c r="A25" s="45" t="s">
        <v>40</v>
      </c>
      <c r="C25" s="47">
        <f>MG!$U$81</f>
        <v>66944.527171977854</v>
      </c>
      <c r="D25" s="47">
        <f>MG!$U$82</f>
        <v>27.042971205344656</v>
      </c>
      <c r="E25" s="47">
        <f>MG!$U$83</f>
        <v>22814.429856816801</v>
      </c>
      <c r="F25" s="48">
        <f t="shared" si="13"/>
        <v>89786</v>
      </c>
      <c r="H25" s="47">
        <f>MG!$U$85</f>
        <v>4881062.4728280222</v>
      </c>
      <c r="I25" s="47">
        <f>MG!$U$86</f>
        <v>435993</v>
      </c>
      <c r="J25" s="47">
        <f>MG!$U$87</f>
        <v>38823</v>
      </c>
      <c r="K25" s="47">
        <f>MG!$U$88</f>
        <v>1971.7583718989044</v>
      </c>
      <c r="L25" s="47">
        <f>MG!$U$89</f>
        <v>1188630.7688000789</v>
      </c>
      <c r="M25" s="48">
        <f t="shared" si="14"/>
        <v>6546481</v>
      </c>
      <c r="O25" s="47">
        <f>MG!$U$91</f>
        <v>255795.61506290647</v>
      </c>
      <c r="P25" s="47">
        <f>MG!$U$92</f>
        <v>307.57893429812975</v>
      </c>
      <c r="Q25" s="47">
        <f>MG!$U$93</f>
        <v>765096.80600279546</v>
      </c>
      <c r="R25" s="48">
        <f t="shared" si="10"/>
        <v>1021200</v>
      </c>
      <c r="T25" s="47">
        <f>MG!$X$81</f>
        <v>91164.384937093491</v>
      </c>
      <c r="U25" s="47">
        <f>MG!$X$82</f>
        <v>109.61972259765025</v>
      </c>
      <c r="V25" s="47">
        <f>MG!$X$83</f>
        <v>272676.99534030887</v>
      </c>
      <c r="W25" s="48">
        <f t="shared" si="15"/>
        <v>363951</v>
      </c>
      <c r="Y25" s="47">
        <f>MG!$X$85</f>
        <v>348366</v>
      </c>
      <c r="AA25" s="47">
        <f>MG!$X$86</f>
        <v>80698</v>
      </c>
      <c r="AC25" s="47">
        <f>MG!$X$88</f>
        <v>82159</v>
      </c>
      <c r="AE25" s="47">
        <f>MG!$X$89</f>
        <v>49584</v>
      </c>
      <c r="AG25" s="47">
        <f>MG!$X$91</f>
        <v>2637433</v>
      </c>
      <c r="AI25" s="47">
        <f>MG!$X$92</f>
        <v>312220</v>
      </c>
      <c r="AK25" s="47">
        <f t="shared" si="7"/>
        <v>11531878</v>
      </c>
      <c r="AM25" t="str">
        <f>IF((AK25=MG!$X$95),"ok","erro")</f>
        <v>ok</v>
      </c>
    </row>
    <row r="26" spans="1:39">
      <c r="A26" s="45" t="s">
        <v>41</v>
      </c>
      <c r="C26" s="47">
        <f>RJ!$U$81</f>
        <v>32389.401170600438</v>
      </c>
      <c r="D26" s="47">
        <f>RJ!$U$82</f>
        <v>27.627010180251091</v>
      </c>
      <c r="E26" s="47">
        <f>RJ!$U$83</f>
        <v>39383.97181921931</v>
      </c>
      <c r="F26" s="48">
        <f t="shared" si="13"/>
        <v>71801</v>
      </c>
      <c r="H26" s="47">
        <f>RJ!$U$85</f>
        <v>2109812.5988293998</v>
      </c>
      <c r="I26" s="47">
        <f>RJ!$U$86</f>
        <v>308136</v>
      </c>
      <c r="J26" s="47">
        <f>RJ!$U$87</f>
        <v>1482880</v>
      </c>
      <c r="K26" s="47">
        <f>RJ!$U$88</f>
        <v>1799.5953009221703</v>
      </c>
      <c r="L26" s="47">
        <f>RJ!$U$89</f>
        <v>774415.80586967804</v>
      </c>
      <c r="M26" s="48">
        <f t="shared" si="14"/>
        <v>4677044</v>
      </c>
      <c r="O26" s="47">
        <f>RJ!$U$91</f>
        <v>62894.231102403704</v>
      </c>
      <c r="P26" s="47">
        <f>RJ!$U$92</f>
        <v>140.32979005627567</v>
      </c>
      <c r="Q26" s="47">
        <f>RJ!$U$93</f>
        <v>301674.43910754001</v>
      </c>
      <c r="R26" s="48">
        <f t="shared" si="10"/>
        <v>364709</v>
      </c>
      <c r="T26" s="47">
        <f>RJ!$X$81</f>
        <v>54879.768897596288</v>
      </c>
      <c r="U26" s="47">
        <f>RJ!$X$82</f>
        <v>122.44789884140482</v>
      </c>
      <c r="V26" s="47">
        <f>RJ!$X$83</f>
        <v>263232.78320356231</v>
      </c>
      <c r="W26" s="48">
        <f t="shared" si="15"/>
        <v>318235</v>
      </c>
      <c r="Y26" s="47">
        <f>RJ!$X$85</f>
        <v>146757</v>
      </c>
      <c r="AA26" s="47">
        <f>RJ!$X$86</f>
        <v>17476</v>
      </c>
      <c r="AC26" s="47">
        <f>RJ!$X$88</f>
        <v>44776</v>
      </c>
      <c r="AE26" s="47">
        <f>RJ!$X$89</f>
        <v>40247</v>
      </c>
      <c r="AG26" s="47">
        <f>RJ!$X$91</f>
        <v>1005027</v>
      </c>
      <c r="AI26" s="47">
        <f>RJ!$X$92</f>
        <v>182237</v>
      </c>
      <c r="AK26" s="47">
        <f t="shared" si="7"/>
        <v>6868309</v>
      </c>
      <c r="AM26" t="str">
        <f>IF((AK26=RJ!$X$95),"ok","erro")</f>
        <v>ok</v>
      </c>
    </row>
    <row r="27" spans="1:39">
      <c r="A27" s="45" t="s">
        <v>42</v>
      </c>
      <c r="C27" s="47">
        <f>SP!$U$81</f>
        <v>203823.26550014623</v>
      </c>
      <c r="D27" s="47">
        <f>SP!$U$82</f>
        <v>186.37653453141684</v>
      </c>
      <c r="E27" s="47">
        <f>SP!$U$83</f>
        <v>130499.35796532236</v>
      </c>
      <c r="F27" s="48">
        <f t="shared" si="13"/>
        <v>334509</v>
      </c>
      <c r="H27" s="47">
        <f>SP!$U$85</f>
        <v>11534000.734499855</v>
      </c>
      <c r="I27" s="47">
        <f>SP!$U$86</f>
        <v>1832945</v>
      </c>
      <c r="J27" s="47">
        <f>SP!$U$87</f>
        <v>286993</v>
      </c>
      <c r="K27" s="47">
        <f>SP!$U$88</f>
        <v>10546.720860857517</v>
      </c>
      <c r="L27" s="47">
        <f>SP!$U$89</f>
        <v>5264791.5446392875</v>
      </c>
      <c r="M27" s="48">
        <f t="shared" si="14"/>
        <v>18929277</v>
      </c>
      <c r="O27" s="47">
        <f>SP!$U$91</f>
        <v>437775.43345617584</v>
      </c>
      <c r="P27" s="47">
        <f>SP!$U$92</f>
        <v>1156.371486583259</v>
      </c>
      <c r="Q27" s="47">
        <f>SP!$U$93</f>
        <v>1636526.1950572408</v>
      </c>
      <c r="R27" s="48">
        <f t="shared" si="10"/>
        <v>2075458</v>
      </c>
      <c r="T27" s="47">
        <f>SP!$X$81</f>
        <v>276183.56654382421</v>
      </c>
      <c r="U27" s="47">
        <f>SP!$X$82</f>
        <v>729.53111802716739</v>
      </c>
      <c r="V27" s="47">
        <f>SP!$X$83</f>
        <v>1032450.9023381486</v>
      </c>
      <c r="W27" s="48">
        <f t="shared" si="15"/>
        <v>1309364</v>
      </c>
      <c r="Y27" s="47">
        <f>SP!$X$85</f>
        <v>692067</v>
      </c>
      <c r="AA27" s="47">
        <f>SP!$X$86</f>
        <v>185891</v>
      </c>
      <c r="AC27" s="47">
        <f>SP!$X$88</f>
        <v>166097</v>
      </c>
      <c r="AE27" s="47">
        <f>SP!$X$89</f>
        <v>125252</v>
      </c>
      <c r="AG27" s="47">
        <f>SP!$X$91</f>
        <v>4869543</v>
      </c>
      <c r="AI27" s="47">
        <f>SP!$X$92</f>
        <v>979973</v>
      </c>
      <c r="AK27" s="47">
        <f t="shared" si="7"/>
        <v>29667431</v>
      </c>
      <c r="AM27" t="str">
        <f>IF((AK27=SP!$X$95),"ok","erro")</f>
        <v>ok</v>
      </c>
    </row>
    <row r="28" spans="1:39">
      <c r="A28" s="44" t="s">
        <v>43</v>
      </c>
      <c r="C28" s="48">
        <f>SUM(C29:C31)</f>
        <v>140957.69669411611</v>
      </c>
      <c r="D28" s="48">
        <f>SUM(D29:D31)</f>
        <v>105.02260575671971</v>
      </c>
      <c r="E28" s="48">
        <f t="shared" ref="E28:AI28" si="26">SUM(E29:E31)</f>
        <v>87033.280700127187</v>
      </c>
      <c r="F28" s="48">
        <f t="shared" si="13"/>
        <v>228096</v>
      </c>
      <c r="H28" s="48">
        <f t="shared" si="26"/>
        <v>7428663.3033058848</v>
      </c>
      <c r="I28" s="48">
        <f t="shared" si="26"/>
        <v>747766</v>
      </c>
      <c r="J28" s="48">
        <f t="shared" si="26"/>
        <v>232852</v>
      </c>
      <c r="K28" s="48">
        <f t="shared" ref="K28" si="27">SUM(K29:K31)</f>
        <v>5458.6537219351158</v>
      </c>
      <c r="L28" s="48">
        <f t="shared" si="26"/>
        <v>3802499.0429721805</v>
      </c>
      <c r="M28" s="48">
        <f t="shared" si="14"/>
        <v>12217239</v>
      </c>
      <c r="O28" s="48">
        <f t="shared" si="26"/>
        <v>539547.5891914817</v>
      </c>
      <c r="P28" s="48">
        <f t="shared" si="26"/>
        <v>766.32942380401073</v>
      </c>
      <c r="Q28" s="48">
        <f t="shared" si="26"/>
        <v>1170560.0813847145</v>
      </c>
      <c r="R28" s="48">
        <f t="shared" si="10"/>
        <v>1710874.0000000002</v>
      </c>
      <c r="T28" s="48">
        <f t="shared" si="26"/>
        <v>243208.41080851833</v>
      </c>
      <c r="U28" s="48">
        <f t="shared" ref="U28" si="28">SUM(U29:U31)</f>
        <v>345.99424850370269</v>
      </c>
      <c r="V28" s="48">
        <f t="shared" si="26"/>
        <v>526901.594942978</v>
      </c>
      <c r="W28" s="48">
        <f t="shared" si="15"/>
        <v>770456</v>
      </c>
      <c r="Y28" s="48">
        <f t="shared" ref="Y28" si="29">SUM(Y29:Y31)</f>
        <v>678445</v>
      </c>
      <c r="AA28" s="48">
        <f t="shared" si="26"/>
        <v>219413</v>
      </c>
      <c r="AC28" s="48">
        <f t="shared" si="26"/>
        <v>109679</v>
      </c>
      <c r="AE28" s="48">
        <f t="shared" si="26"/>
        <v>59131</v>
      </c>
      <c r="AG28" s="48">
        <f t="shared" ref="AG28" si="30">SUM(AG29:AG31)</f>
        <v>3244243</v>
      </c>
      <c r="AI28" s="48">
        <f t="shared" si="26"/>
        <v>801132</v>
      </c>
      <c r="AK28" s="48">
        <f t="shared" si="7"/>
        <v>20038708</v>
      </c>
    </row>
    <row r="29" spans="1:39">
      <c r="A29" s="45" t="s">
        <v>44</v>
      </c>
      <c r="C29" s="47">
        <f>PR!$U$81</f>
        <v>45598.043580433528</v>
      </c>
      <c r="D29" s="47">
        <f>PR!$U$82</f>
        <v>31.987756068410818</v>
      </c>
      <c r="E29" s="47">
        <f>PR!$U$83</f>
        <v>28813.968663498061</v>
      </c>
      <c r="F29" s="48">
        <f t="shared" si="13"/>
        <v>74444</v>
      </c>
      <c r="H29" s="47">
        <f>PR!$U$85</f>
        <v>2838729.9564195666</v>
      </c>
      <c r="I29" s="47">
        <f>PR!$U$86</f>
        <v>418498</v>
      </c>
      <c r="J29" s="47">
        <f>PR!$U$87</f>
        <v>41005</v>
      </c>
      <c r="K29" s="47">
        <f>PR!$U$88</f>
        <v>1991.4144173720852</v>
      </c>
      <c r="L29" s="47">
        <f>PR!$U$89</f>
        <v>1334325.6291630613</v>
      </c>
      <c r="M29" s="48">
        <f t="shared" si="14"/>
        <v>4634550</v>
      </c>
      <c r="O29" s="47">
        <f>PR!$U$91</f>
        <v>221195.06129991839</v>
      </c>
      <c r="P29" s="47">
        <f>PR!$U$92</f>
        <v>303.36161070829257</v>
      </c>
      <c r="Q29" s="47">
        <f>PR!$U$93</f>
        <v>484504.57708937331</v>
      </c>
      <c r="R29" s="48">
        <f t="shared" si="10"/>
        <v>706003</v>
      </c>
      <c r="T29" s="47">
        <f>PR!$X$81</f>
        <v>83294.938700081606</v>
      </c>
      <c r="U29" s="47">
        <f>PR!$X$82</f>
        <v>114.23621585132787</v>
      </c>
      <c r="V29" s="47">
        <f>PR!$X$83</f>
        <v>182448.82508406707</v>
      </c>
      <c r="W29" s="48">
        <f t="shared" si="15"/>
        <v>265858</v>
      </c>
      <c r="Y29" s="47">
        <f>PR!$X$85</f>
        <v>280862</v>
      </c>
      <c r="AA29" s="47">
        <f>PR!$X$86</f>
        <v>98026</v>
      </c>
      <c r="AC29" s="47">
        <f>PR!$X$88</f>
        <v>46483</v>
      </c>
      <c r="AE29" s="47">
        <f>PR!$X$89</f>
        <v>24253</v>
      </c>
      <c r="AG29" s="47">
        <f>PR!$X$91</f>
        <v>1217285</v>
      </c>
      <c r="AI29" s="47">
        <f>PR!$X$92</f>
        <v>314452</v>
      </c>
      <c r="AK29" s="47">
        <f t="shared" si="7"/>
        <v>7662216</v>
      </c>
      <c r="AM29" t="str">
        <f>IF((AK29=PR!$X$95),"ok","erro")</f>
        <v>ok</v>
      </c>
    </row>
    <row r="30" spans="1:39">
      <c r="A30" s="45" t="s">
        <v>45</v>
      </c>
      <c r="C30" s="47">
        <f>RS!$U$81</f>
        <v>40836.126937762943</v>
      </c>
      <c r="D30" s="47">
        <f>RS!$U$82</f>
        <v>28.915061315507046</v>
      </c>
      <c r="E30" s="47">
        <f>RS!$U$83</f>
        <v>34103.95800092155</v>
      </c>
      <c r="F30" s="48">
        <f t="shared" si="13"/>
        <v>74969</v>
      </c>
      <c r="H30" s="47">
        <f>RS!$U$85</f>
        <v>2441635.8730622372</v>
      </c>
      <c r="I30" s="47">
        <f>RS!$U$86</f>
        <v>196395</v>
      </c>
      <c r="J30" s="47">
        <f>RS!$U$87</f>
        <v>84102</v>
      </c>
      <c r="K30" s="47">
        <f>RS!$U$88</f>
        <v>1728.8625605292618</v>
      </c>
      <c r="L30" s="47">
        <f>RS!$U$89</f>
        <v>1758615.2643772336</v>
      </c>
      <c r="M30" s="48">
        <f t="shared" si="14"/>
        <v>4482477</v>
      </c>
      <c r="O30" s="47">
        <f>RS!$U$91</f>
        <v>184996.26766634083</v>
      </c>
      <c r="P30" s="47">
        <f>RS!$U$92</f>
        <v>221.4363213829929</v>
      </c>
      <c r="Q30" s="47">
        <f>RS!$U$93</f>
        <v>388907.2960122762</v>
      </c>
      <c r="R30" s="48">
        <f t="shared" si="10"/>
        <v>574125</v>
      </c>
      <c r="T30" s="47">
        <f>RS!$X$81</f>
        <v>94225.732333659122</v>
      </c>
      <c r="U30" s="47">
        <f>RS!$X$82</f>
        <v>112.78605677181622</v>
      </c>
      <c r="V30" s="47">
        <f>RS!$X$83</f>
        <v>198085.48160956905</v>
      </c>
      <c r="W30" s="48">
        <f t="shared" si="15"/>
        <v>292424</v>
      </c>
      <c r="Y30" s="47">
        <f>RS!$X$85</f>
        <v>238548</v>
      </c>
      <c r="AA30" s="47">
        <f>RS!$X$86</f>
        <v>63221</v>
      </c>
      <c r="AC30" s="47">
        <f>RS!$X$88</f>
        <v>42529</v>
      </c>
      <c r="AE30" s="47">
        <f>RS!$X$89</f>
        <v>22034</v>
      </c>
      <c r="AG30" s="47">
        <f>RS!$X$91</f>
        <v>1118054</v>
      </c>
      <c r="AI30" s="47">
        <f>RS!$X$92</f>
        <v>198753</v>
      </c>
      <c r="AK30" s="47">
        <f t="shared" si="7"/>
        <v>7107134</v>
      </c>
      <c r="AM30" t="str">
        <f>IF((AK30=RS!$X$95),"ok","erro")</f>
        <v>ok</v>
      </c>
    </row>
    <row r="31" spans="1:39">
      <c r="A31" s="45" t="s">
        <v>46</v>
      </c>
      <c r="C31" s="47">
        <f>SC!$U$81</f>
        <v>54523.526175919622</v>
      </c>
      <c r="D31" s="47">
        <f>SC!$U$82</f>
        <v>44.11978837280185</v>
      </c>
      <c r="E31" s="47">
        <f>SC!$U$83</f>
        <v>24115.354035707576</v>
      </c>
      <c r="F31" s="48">
        <f t="shared" si="13"/>
        <v>78683</v>
      </c>
      <c r="H31" s="47">
        <f>SC!$U$85</f>
        <v>2148297.4738240805</v>
      </c>
      <c r="I31" s="47">
        <f>SC!$U$86</f>
        <v>132873</v>
      </c>
      <c r="J31" s="47">
        <f>SC!$U$87</f>
        <v>107745</v>
      </c>
      <c r="K31" s="47">
        <f>SC!$U$88</f>
        <v>1738.3767440337688</v>
      </c>
      <c r="L31" s="47">
        <f>SC!$U$89</f>
        <v>709558.14943188569</v>
      </c>
      <c r="M31" s="48">
        <f t="shared" si="14"/>
        <v>3100212</v>
      </c>
      <c r="O31" s="47">
        <f>SC!$U$91</f>
        <v>133356.26022522242</v>
      </c>
      <c r="P31" s="47">
        <f>SC!$U$92</f>
        <v>241.53149171272526</v>
      </c>
      <c r="Q31" s="47">
        <f>SC!$U$93</f>
        <v>297148.20828306489</v>
      </c>
      <c r="R31" s="48">
        <f t="shared" si="10"/>
        <v>430746</v>
      </c>
      <c r="T31" s="47">
        <f>SC!$X$81</f>
        <v>65687.739774777583</v>
      </c>
      <c r="U31" s="47">
        <f>SC!$X$82</f>
        <v>118.9719758805586</v>
      </c>
      <c r="V31" s="47">
        <f>SC!$X$83</f>
        <v>146367.28824934186</v>
      </c>
      <c r="W31" s="48">
        <f t="shared" si="15"/>
        <v>212174</v>
      </c>
      <c r="Y31" s="47">
        <f>SC!$X$85</f>
        <v>159035</v>
      </c>
      <c r="AA31" s="47">
        <f>SC!$X$86</f>
        <v>58166</v>
      </c>
      <c r="AC31" s="47">
        <f>SC!$X$88</f>
        <v>20667</v>
      </c>
      <c r="AE31" s="47">
        <f>SC!$X$89</f>
        <v>12844</v>
      </c>
      <c r="AG31" s="47">
        <f>SC!$X$91</f>
        <v>908904</v>
      </c>
      <c r="AI31" s="47">
        <f>SC!$X$92</f>
        <v>287927</v>
      </c>
      <c r="AK31" s="47">
        <f t="shared" si="7"/>
        <v>5269358</v>
      </c>
      <c r="AM31" t="str">
        <f>IF((AK31=SC!$X$95),"ok","erro")</f>
        <v>ok</v>
      </c>
    </row>
    <row r="32" spans="1:39">
      <c r="A32" s="44" t="s">
        <v>47</v>
      </c>
      <c r="C32" s="48">
        <f>SUM(C33:C36)</f>
        <v>82562.801913853691</v>
      </c>
      <c r="D32" s="48">
        <f>SUM(D33:D36)</f>
        <v>66.90052403152913</v>
      </c>
      <c r="E32" s="48">
        <f t="shared" ref="E32:AI32" si="31">SUM(E33:E36)</f>
        <v>18365.297562114771</v>
      </c>
      <c r="F32" s="48">
        <f t="shared" si="13"/>
        <v>100995</v>
      </c>
      <c r="H32" s="48">
        <f t="shared" si="31"/>
        <v>3898012.4692257969</v>
      </c>
      <c r="I32" s="48">
        <f t="shared" si="31"/>
        <v>320552</v>
      </c>
      <c r="J32" s="48">
        <f t="shared" si="31"/>
        <v>12830</v>
      </c>
      <c r="K32" s="48">
        <f t="shared" ref="K32" si="32">SUM(K33:K36)</f>
        <v>3021.0597032780061</v>
      </c>
      <c r="L32" s="48">
        <f t="shared" si="31"/>
        <v>609419.47107092512</v>
      </c>
      <c r="M32" s="48">
        <f t="shared" si="14"/>
        <v>4843835</v>
      </c>
      <c r="O32" s="48">
        <f t="shared" si="31"/>
        <v>348447.60730227624</v>
      </c>
      <c r="P32" s="48">
        <f t="shared" si="31"/>
        <v>533.46410989610013</v>
      </c>
      <c r="Q32" s="48">
        <f t="shared" si="31"/>
        <v>587995.9285878276</v>
      </c>
      <c r="R32" s="48">
        <f t="shared" si="10"/>
        <v>936977</v>
      </c>
      <c r="T32" s="48">
        <f t="shared" si="31"/>
        <v>104332.39269772374</v>
      </c>
      <c r="U32" s="48">
        <f t="shared" ref="U32" si="33">SUM(U33:U36)</f>
        <v>191.57566279429739</v>
      </c>
      <c r="V32" s="48">
        <f t="shared" si="31"/>
        <v>188437.03163948195</v>
      </c>
      <c r="W32" s="48">
        <f t="shared" si="15"/>
        <v>292961</v>
      </c>
      <c r="Y32" s="48">
        <f t="shared" ref="Y32" si="34">SUM(Y33:Y36)</f>
        <v>275149</v>
      </c>
      <c r="AA32" s="48">
        <f t="shared" si="31"/>
        <v>96350</v>
      </c>
      <c r="AC32" s="48">
        <f t="shared" si="31"/>
        <v>60232</v>
      </c>
      <c r="AE32" s="48">
        <f t="shared" si="31"/>
        <v>25018</v>
      </c>
      <c r="AG32" s="48">
        <f t="shared" ref="AG32" si="35">SUM(AG33:AG36)</f>
        <v>2159219</v>
      </c>
      <c r="AI32" s="48">
        <f t="shared" si="31"/>
        <v>684351</v>
      </c>
      <c r="AK32" s="48">
        <f t="shared" si="7"/>
        <v>9475087</v>
      </c>
    </row>
    <row r="33" spans="1:39">
      <c r="A33" s="45" t="s">
        <v>48</v>
      </c>
      <c r="C33" s="47">
        <f>DF!$U$81</f>
        <v>24286.975328738485</v>
      </c>
      <c r="D33" s="47">
        <f>DF!$U$82</f>
        <v>34.244511043874809</v>
      </c>
      <c r="E33" s="47">
        <f>DF!$U$83</f>
        <v>8317.7801602176405</v>
      </c>
      <c r="F33" s="48">
        <f t="shared" si="13"/>
        <v>32639</v>
      </c>
      <c r="H33" s="47">
        <f>DF!$U$85</f>
        <v>1001035.0246712615</v>
      </c>
      <c r="I33" s="47">
        <f>DF!$U$86</f>
        <v>57944</v>
      </c>
      <c r="J33" s="47">
        <f>DF!$U$87</f>
        <v>1576</v>
      </c>
      <c r="K33" s="47">
        <f>DF!$U$88</f>
        <v>1411.4542668925133</v>
      </c>
      <c r="L33" s="47">
        <f>DF!$U$89</f>
        <v>283313.52106184594</v>
      </c>
      <c r="M33" s="48">
        <f t="shared" si="14"/>
        <v>1345280</v>
      </c>
      <c r="O33" s="47">
        <f>DF!$U$91</f>
        <v>41725.242281747334</v>
      </c>
      <c r="P33" s="47">
        <f>DF!$U$92</f>
        <v>141.89559750931221</v>
      </c>
      <c r="Q33" s="47">
        <f>DF!$U$93</f>
        <v>93375.862120743346</v>
      </c>
      <c r="R33" s="48">
        <f t="shared" si="10"/>
        <v>135243</v>
      </c>
      <c r="T33" s="47">
        <f>DF!$X$81</f>
        <v>28936.757718252669</v>
      </c>
      <c r="U33" s="47">
        <f>DF!$X$82</f>
        <v>98.405624554274254</v>
      </c>
      <c r="V33" s="47">
        <f>DF!$X$83</f>
        <v>64756.836657193053</v>
      </c>
      <c r="W33" s="48">
        <f t="shared" si="15"/>
        <v>93792</v>
      </c>
      <c r="Y33" s="47">
        <f>DF!$X$85</f>
        <v>25167</v>
      </c>
      <c r="AA33" s="47">
        <f>DF!$X$86</f>
        <v>3797</v>
      </c>
      <c r="AC33" s="47">
        <f>DF!$X$88</f>
        <v>13471</v>
      </c>
      <c r="AE33" s="47">
        <f>DF!$X$89</f>
        <v>6247</v>
      </c>
      <c r="AG33" s="47">
        <f>DF!$X$91</f>
        <v>202679</v>
      </c>
      <c r="AI33" s="47">
        <f>DF!$X$92</f>
        <v>21398</v>
      </c>
      <c r="AK33" s="47">
        <f t="shared" si="7"/>
        <v>1879713</v>
      </c>
      <c r="AM33" t="str">
        <f>IF((AK33=DF!$X$95),"ok","erro")</f>
        <v>ok</v>
      </c>
    </row>
    <row r="34" spans="1:39">
      <c r="A34" s="45" t="s">
        <v>49</v>
      </c>
      <c r="C34" s="47">
        <f>GO!$U$81</f>
        <v>27286.87008179829</v>
      </c>
      <c r="D34" s="47">
        <f>GO!$U$82</f>
        <v>12.182744933415961</v>
      </c>
      <c r="E34" s="47">
        <f>GO!$U$83</f>
        <v>7034.9471732682941</v>
      </c>
      <c r="F34" s="48">
        <f t="shared" si="13"/>
        <v>34334</v>
      </c>
      <c r="H34" s="47">
        <f>GO!$U$85</f>
        <v>1542227.1299182018</v>
      </c>
      <c r="I34" s="47">
        <f>GO!$U$86</f>
        <v>159664</v>
      </c>
      <c r="J34" s="47">
        <f>GO!$U$87</f>
        <v>4821</v>
      </c>
      <c r="K34" s="47">
        <f>GO!$U$88</f>
        <v>688.55679295072332</v>
      </c>
      <c r="L34" s="47">
        <f>GO!$U$89</f>
        <v>233123.31328884745</v>
      </c>
      <c r="M34" s="48">
        <f t="shared" si="14"/>
        <v>1940524</v>
      </c>
      <c r="O34" s="47">
        <f>GO!$U$91</f>
        <v>133287.6844095017</v>
      </c>
      <c r="P34" s="47">
        <f>GO!$U$92</f>
        <v>135.61189842759632</v>
      </c>
      <c r="Q34" s="47">
        <f>GO!$U$93</f>
        <v>248764.7036920707</v>
      </c>
      <c r="R34" s="48">
        <f t="shared" si="10"/>
        <v>382188</v>
      </c>
      <c r="T34" s="47">
        <f>GO!$X$81</f>
        <v>37003.315590498292</v>
      </c>
      <c r="U34" s="47">
        <f>GO!$X$82</f>
        <v>37.648563688184367</v>
      </c>
      <c r="V34" s="47">
        <f>GO!$X$83</f>
        <v>69062.035845813516</v>
      </c>
      <c r="W34" s="48">
        <f t="shared" si="15"/>
        <v>106103</v>
      </c>
      <c r="Y34" s="47">
        <f>GO!$X$85</f>
        <v>115939</v>
      </c>
      <c r="AA34" s="47">
        <f>GO!$X$86</f>
        <v>33657</v>
      </c>
      <c r="AC34" s="47">
        <f>GO!$X$88</f>
        <v>23903</v>
      </c>
      <c r="AE34" s="47">
        <f>GO!$X$89</f>
        <v>10519</v>
      </c>
      <c r="AG34" s="47">
        <f>GO!$X$91</f>
        <v>912134</v>
      </c>
      <c r="AI34" s="47">
        <f>GO!$X$92</f>
        <v>294558</v>
      </c>
      <c r="AK34" s="47">
        <f t="shared" si="7"/>
        <v>3853859</v>
      </c>
      <c r="AM34" t="str">
        <f>IF((AK34=GO!$X$95),"ok","erro")</f>
        <v>ok</v>
      </c>
    </row>
    <row r="35" spans="1:39">
      <c r="A35" s="45" t="s">
        <v>50</v>
      </c>
      <c r="C35" s="47">
        <f>MT!$U$81</f>
        <v>18667.868457905104</v>
      </c>
      <c r="D35" s="47">
        <f>MT!$U$82</f>
        <v>13.131542094895849</v>
      </c>
      <c r="E35" s="47">
        <f>MT!$U$83</f>
        <v>0</v>
      </c>
      <c r="F35" s="48">
        <f t="shared" si="13"/>
        <v>18681</v>
      </c>
      <c r="H35" s="47">
        <f>MT!$U$85</f>
        <v>731370.40268174536</v>
      </c>
      <c r="I35" s="47">
        <f>MT!$U$86</f>
        <v>48646</v>
      </c>
      <c r="J35" s="47">
        <f>MT!$U$87</f>
        <v>1294</v>
      </c>
      <c r="K35" s="47">
        <f>MT!$U$88</f>
        <v>549.59731825464405</v>
      </c>
      <c r="L35" s="47">
        <f>MT!$U$89</f>
        <v>0</v>
      </c>
      <c r="M35" s="48">
        <f t="shared" si="14"/>
        <v>781860</v>
      </c>
      <c r="O35" s="47">
        <f>MT!$U$91</f>
        <v>103110.16020890915</v>
      </c>
      <c r="P35" s="47">
        <f>MT!$U$92</f>
        <v>172.86173345774296</v>
      </c>
      <c r="Q35" s="47">
        <f>MT!$U$93</f>
        <v>142630.9780576331</v>
      </c>
      <c r="R35" s="48">
        <f t="shared" si="10"/>
        <v>245914</v>
      </c>
      <c r="T35" s="47">
        <f>MT!$X$81</f>
        <v>20524.839791090835</v>
      </c>
      <c r="U35" s="47">
        <f>MT!$X$82</f>
        <v>34.40940619277535</v>
      </c>
      <c r="V35" s="47">
        <f>MT!$X$83</f>
        <v>28391.750802716389</v>
      </c>
      <c r="W35" s="48">
        <f t="shared" si="15"/>
        <v>48951</v>
      </c>
      <c r="Y35" s="47">
        <f>MT!$X$85</f>
        <v>78274</v>
      </c>
      <c r="AA35" s="47">
        <f>MT!$X$86</f>
        <v>39522</v>
      </c>
      <c r="AC35" s="47">
        <f>MT!$X$88</f>
        <v>12725</v>
      </c>
      <c r="AE35" s="47">
        <f>MT!$X$89</f>
        <v>4031</v>
      </c>
      <c r="AG35" s="47">
        <f>MT!$X$91</f>
        <v>657936</v>
      </c>
      <c r="AI35" s="47">
        <f>MT!$X$92</f>
        <v>250185</v>
      </c>
      <c r="AK35" s="47">
        <f t="shared" si="7"/>
        <v>2138079</v>
      </c>
      <c r="AM35" t="str">
        <f>IF((AK35=MT!$X$95),"ok","erro")</f>
        <v>ok</v>
      </c>
    </row>
    <row r="36" spans="1:39">
      <c r="A36" s="45" t="s">
        <v>51</v>
      </c>
      <c r="C36" s="47">
        <f>MS!$U$81</f>
        <v>12321.08804541182</v>
      </c>
      <c r="D36" s="47">
        <f>MS!$U$82</f>
        <v>7.3417259593425115</v>
      </c>
      <c r="E36" s="47">
        <f>MS!$U$83</f>
        <v>3012.5702286288379</v>
      </c>
      <c r="F36" s="48">
        <f t="shared" si="13"/>
        <v>15341</v>
      </c>
      <c r="H36" s="47">
        <f>MS!$U$85</f>
        <v>623379.91195458814</v>
      </c>
      <c r="I36" s="47">
        <f>MS!$U$86</f>
        <v>54298</v>
      </c>
      <c r="J36" s="47">
        <f>MS!$U$87</f>
        <v>5139</v>
      </c>
      <c r="K36" s="47">
        <f>MS!$U$88</f>
        <v>371.45132518012542</v>
      </c>
      <c r="L36" s="47">
        <f>MS!$U$89</f>
        <v>92982.636720231734</v>
      </c>
      <c r="M36" s="48">
        <f t="shared" si="14"/>
        <v>776171</v>
      </c>
      <c r="O36" s="47">
        <f>MS!$U$91</f>
        <v>70324.520402118054</v>
      </c>
      <c r="P36" s="47">
        <f>MS!$U$92</f>
        <v>83.094880501448642</v>
      </c>
      <c r="Q36" s="47">
        <f>MS!$U$93</f>
        <v>103224.3847173805</v>
      </c>
      <c r="R36" s="48">
        <f t="shared" si="10"/>
        <v>173632</v>
      </c>
      <c r="T36" s="47">
        <f>MS!$X$81</f>
        <v>17867.479597881949</v>
      </c>
      <c r="U36" s="47">
        <f>MS!$X$82</f>
        <v>21.112068359063414</v>
      </c>
      <c r="V36" s="47">
        <f>MS!$X$83</f>
        <v>26226.408333758987</v>
      </c>
      <c r="W36" s="48">
        <f t="shared" si="15"/>
        <v>44115</v>
      </c>
      <c r="Y36" s="47">
        <f>MS!$X$85</f>
        <v>55769</v>
      </c>
      <c r="AA36" s="47">
        <f>MS!$X$86</f>
        <v>19374</v>
      </c>
      <c r="AC36" s="47">
        <f>MS!$X$88</f>
        <v>10133</v>
      </c>
      <c r="AE36" s="47">
        <f>MS!$X$89</f>
        <v>4221</v>
      </c>
      <c r="AG36" s="47">
        <f>MS!$X$91</f>
        <v>386470</v>
      </c>
      <c r="AI36" s="47">
        <f>MS!$X$92</f>
        <v>118210</v>
      </c>
      <c r="AK36" s="47">
        <f t="shared" si="7"/>
        <v>1603436</v>
      </c>
      <c r="AM36" t="str">
        <f>IF((AK36=MS!$X$95),"ok","erro")</f>
        <v>ok</v>
      </c>
    </row>
  </sheetData>
  <mergeCells count="6">
    <mergeCell ref="AK2:AK3"/>
    <mergeCell ref="A2:A3"/>
    <mergeCell ref="C2:F2"/>
    <mergeCell ref="H2:M2"/>
    <mergeCell ref="O2:R2"/>
    <mergeCell ref="T2:W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A1:AM37"/>
  <sheetViews>
    <sheetView showGridLines="0" topLeftCell="A17" zoomScaleNormal="100" workbookViewId="0">
      <pane xSplit="1" topLeftCell="W1" activePane="topRight" state="frozen"/>
      <selection pane="topRight" activeCell="AC29" sqref="AC29"/>
    </sheetView>
  </sheetViews>
  <sheetFormatPr defaultRowHeight="15"/>
  <cols>
    <col min="1" max="1" width="28.85546875" style="4" customWidth="1"/>
    <col min="2" max="2" width="2.5703125" customWidth="1"/>
    <col min="7" max="7" width="5.5703125" customWidth="1"/>
    <col min="8" max="9" width="10.140625" bestFit="1" customWidth="1"/>
    <col min="11" max="11" width="10.140625" bestFit="1" customWidth="1"/>
    <col min="12" max="12" width="10.140625" customWidth="1"/>
    <col min="13" max="13" width="10.140625" bestFit="1" customWidth="1"/>
    <col min="14" max="14" width="5.140625" customWidth="1"/>
    <col min="15" max="15" width="9.85546875" bestFit="1" customWidth="1"/>
    <col min="18" max="18" width="9.85546875" bestFit="1" customWidth="1"/>
    <col min="19" max="19" width="5.140625" customWidth="1"/>
    <col min="20" max="20" width="9.85546875" bestFit="1" customWidth="1"/>
    <col min="24" max="24" width="5.140625" customWidth="1"/>
    <col min="25" max="25" width="10.28515625" bestFit="1" customWidth="1"/>
    <col min="26" max="26" width="5.140625" customWidth="1"/>
    <col min="27" max="27" width="17.28515625" bestFit="1" customWidth="1"/>
    <col min="28" max="28" width="5.140625" customWidth="1"/>
    <col min="29" max="29" width="7.5703125" bestFit="1" customWidth="1"/>
    <col min="30" max="30" width="5.140625" customWidth="1"/>
    <col min="31" max="31" width="13.140625" bestFit="1" customWidth="1"/>
    <col min="32" max="32" width="5.140625" customWidth="1"/>
    <col min="33" max="33" width="12" bestFit="1" customWidth="1"/>
    <col min="34" max="34" width="5.140625" customWidth="1"/>
    <col min="35" max="35" width="10" bestFit="1" customWidth="1"/>
    <col min="37" max="37" width="11.140625" bestFit="1" customWidth="1"/>
  </cols>
  <sheetData>
    <row r="1" spans="1:39">
      <c r="A1" s="49"/>
    </row>
    <row r="2" spans="1:39" ht="15.75" customHeight="1">
      <c r="A2" s="88" t="str">
        <f>"Frota por tipo de veículo e combustível - Junho/"&amp;ONSV_AUX_2019!A1&amp;""</f>
        <v>Frota por tipo de veículo e combustível - Junho/2019</v>
      </c>
      <c r="C2" s="92" t="s">
        <v>0</v>
      </c>
      <c r="D2" s="92"/>
      <c r="E2" s="92"/>
      <c r="F2" s="92"/>
      <c r="H2" s="92" t="s">
        <v>1</v>
      </c>
      <c r="I2" s="92"/>
      <c r="J2" s="92"/>
      <c r="K2" s="92"/>
      <c r="L2" s="92"/>
      <c r="M2" s="92"/>
      <c r="O2" s="93" t="s">
        <v>2</v>
      </c>
      <c r="P2" s="94"/>
      <c r="Q2" s="94"/>
      <c r="R2" s="95"/>
      <c r="T2" s="93" t="s">
        <v>3</v>
      </c>
      <c r="U2" s="94"/>
      <c r="V2" s="94"/>
      <c r="W2" s="95"/>
      <c r="Y2" s="30" t="s">
        <v>4</v>
      </c>
      <c r="AA2" s="30" t="s">
        <v>5</v>
      </c>
      <c r="AC2" s="30" t="s">
        <v>6</v>
      </c>
      <c r="AE2" s="30" t="s">
        <v>7</v>
      </c>
      <c r="AG2" s="30" t="s">
        <v>8</v>
      </c>
      <c r="AI2" s="30" t="s">
        <v>9</v>
      </c>
      <c r="AK2" s="90" t="s">
        <v>10</v>
      </c>
    </row>
    <row r="3" spans="1:39" ht="15.75">
      <c r="A3" s="89"/>
      <c r="C3" s="30" t="s">
        <v>11</v>
      </c>
      <c r="D3" s="30" t="s">
        <v>12</v>
      </c>
      <c r="E3" s="30" t="s">
        <v>13</v>
      </c>
      <c r="F3" s="30" t="s">
        <v>14</v>
      </c>
      <c r="H3" s="30" t="s">
        <v>11</v>
      </c>
      <c r="I3" s="30" t="s">
        <v>15</v>
      </c>
      <c r="J3" s="30" t="s">
        <v>16</v>
      </c>
      <c r="K3" s="30" t="s">
        <v>12</v>
      </c>
      <c r="L3" s="30" t="s">
        <v>13</v>
      </c>
      <c r="M3" s="30" t="s">
        <v>14</v>
      </c>
      <c r="O3" s="30" t="s">
        <v>17</v>
      </c>
      <c r="P3" s="30" t="s">
        <v>12</v>
      </c>
      <c r="Q3" s="30" t="s">
        <v>13</v>
      </c>
      <c r="R3" s="30" t="s">
        <v>14</v>
      </c>
      <c r="T3" s="30" t="s">
        <v>17</v>
      </c>
      <c r="U3" s="30" t="s">
        <v>12</v>
      </c>
      <c r="V3" s="30" t="s">
        <v>13</v>
      </c>
      <c r="W3" s="30" t="s">
        <v>14</v>
      </c>
      <c r="Y3" s="30" t="s">
        <v>17</v>
      </c>
      <c r="AA3" s="30" t="s">
        <v>17</v>
      </c>
      <c r="AC3" s="30" t="s">
        <v>17</v>
      </c>
      <c r="AE3" s="30" t="s">
        <v>17</v>
      </c>
      <c r="AG3" s="30" t="s">
        <v>13</v>
      </c>
      <c r="AI3" s="30" t="s">
        <v>13</v>
      </c>
      <c r="AK3" s="91"/>
      <c r="AM3" t="s">
        <v>18</v>
      </c>
    </row>
    <row r="4" spans="1:39">
      <c r="A4" s="44" t="s">
        <v>19</v>
      </c>
      <c r="C4" s="48">
        <f>SUM(C5,C13,C32,C28,C23)</f>
        <v>650439.14113448281</v>
      </c>
      <c r="D4" s="48">
        <f t="shared" ref="D4" si="0">SUM(D5,D13,D32,D28,D23)</f>
        <v>239.03188677510479</v>
      </c>
      <c r="E4" s="48">
        <f t="shared" ref="E4" si="1">SUM(E5,E13,E32,E28,E23)</f>
        <v>292111.82697874215</v>
      </c>
      <c r="F4" s="48">
        <f>SUM(C4:E4)</f>
        <v>942790</v>
      </c>
      <c r="H4" s="48">
        <f>SUM(H5,H13,H32,H28,H23)</f>
        <v>37038647.916207463</v>
      </c>
      <c r="I4" s="48">
        <f t="shared" ref="I4:L4" si="2">SUM(I5,I13,I32,I28,I23)</f>
        <v>4156045</v>
      </c>
      <c r="J4" s="48">
        <f t="shared" si="2"/>
        <v>2306289</v>
      </c>
      <c r="K4" s="48">
        <f t="shared" si="2"/>
        <v>13880.102018457837</v>
      </c>
      <c r="L4" s="48">
        <f t="shared" si="2"/>
        <v>12235167.981774081</v>
      </c>
      <c r="M4" s="48">
        <f>SUM(H4:L4)</f>
        <v>55750030</v>
      </c>
      <c r="O4" s="48">
        <f>SUM(O5,O13,O32,O28,O23)</f>
        <v>2279895.8304642695</v>
      </c>
      <c r="P4" s="48">
        <f t="shared" ref="P4" si="3">SUM(P5,P13,P32,P28,P23)</f>
        <v>1892.1348820872918</v>
      </c>
      <c r="Q4" s="48">
        <f t="shared" ref="Q4" si="4">SUM(Q5,Q13,Q32,Q28,Q23)</f>
        <v>5468627.0346536431</v>
      </c>
      <c r="R4" s="48">
        <f>SUM(O4:Q4)</f>
        <v>7750415</v>
      </c>
      <c r="T4" s="48">
        <f>SUM(T5,T13,T32,T28,T23)</f>
        <v>943300.16953573027</v>
      </c>
      <c r="U4" s="48">
        <f t="shared" ref="U4:W4" si="5">SUM(U5,U13,U32,U28,U23)</f>
        <v>894.7312126808938</v>
      </c>
      <c r="V4" s="48">
        <f>SUM(V5,V13,V32,V28,V23)</f>
        <v>2578360.0992515888</v>
      </c>
      <c r="W4" s="48">
        <f t="shared" si="5"/>
        <v>3458737.7963604634</v>
      </c>
      <c r="Y4" s="48">
        <f>SUM(Y5,Y13,Y32,Y28,Y23)</f>
        <v>2801719</v>
      </c>
      <c r="AA4" s="48">
        <f>SUM(AA5,AA13,AA32,AA28,AA23)</f>
        <v>674626</v>
      </c>
      <c r="AC4" s="48">
        <f>SUM(AC5,AC13,AC32,AC28,AC23)</f>
        <v>637805</v>
      </c>
      <c r="AE4" s="48">
        <f>SUM(AE5,AE13,AE32,AE28,AE23)</f>
        <v>405938</v>
      </c>
      <c r="AG4" s="48">
        <f>SUM(AG5,AG13,AG32,AG28,AG23)</f>
        <v>22792699</v>
      </c>
      <c r="AI4" s="48">
        <f>SUM(AI5,AI13,AI32,AI28,AI23)</f>
        <v>4464461</v>
      </c>
      <c r="AK4" s="48">
        <f>SUM(F4,M4,R4,W4,Y4,AA4,AC4,AE4,AG4,AI4)</f>
        <v>99679220.796360463</v>
      </c>
    </row>
    <row r="5" spans="1:39">
      <c r="A5" s="44" t="s">
        <v>20</v>
      </c>
      <c r="C5" s="48">
        <f>SUM(C6:C12)</f>
        <v>31789.926048192421</v>
      </c>
      <c r="D5" s="48">
        <f t="shared" ref="D5:AG5" si="6">SUM(D6:D12)</f>
        <v>7.07395180758067</v>
      </c>
      <c r="E5" s="48">
        <f>SUM(E6:E12)</f>
        <v>0</v>
      </c>
      <c r="F5" s="48">
        <f>SUM(C5:E5)</f>
        <v>31797</v>
      </c>
      <c r="H5" s="48">
        <f t="shared" si="6"/>
        <v>1702816.9105314862</v>
      </c>
      <c r="I5" s="48">
        <f t="shared" si="6"/>
        <v>67966</v>
      </c>
      <c r="J5" s="48">
        <f t="shared" si="6"/>
        <v>2903</v>
      </c>
      <c r="K5" s="48">
        <f t="shared" si="6"/>
        <v>401.08946851373184</v>
      </c>
      <c r="L5" s="48">
        <f t="shared" si="6"/>
        <v>0</v>
      </c>
      <c r="M5" s="48">
        <f>SUM(H5:L5)</f>
        <v>1774087</v>
      </c>
      <c r="O5" s="48">
        <f t="shared" si="6"/>
        <v>204134.97324291241</v>
      </c>
      <c r="P5" s="48">
        <f t="shared" si="6"/>
        <v>108.0669763029764</v>
      </c>
      <c r="Q5" s="48">
        <f t="shared" ref="Q5" si="7">SUM(Q6:Q12)</f>
        <v>281673.95978078461</v>
      </c>
      <c r="R5" s="48">
        <f>SUM(O5:Q5)</f>
        <v>485917</v>
      </c>
      <c r="T5" s="48">
        <f t="shared" si="6"/>
        <v>43713.02675708758</v>
      </c>
      <c r="U5" s="48">
        <f t="shared" si="6"/>
        <v>24.769603375683801</v>
      </c>
      <c r="V5" s="48">
        <f t="shared" si="6"/>
        <v>63817.203639536747</v>
      </c>
      <c r="W5" s="48">
        <f>SUM(T5:U5)</f>
        <v>43737.796360463268</v>
      </c>
      <c r="Y5" s="48">
        <f t="shared" si="6"/>
        <v>153960</v>
      </c>
      <c r="AA5" s="48">
        <f t="shared" si="6"/>
        <v>27171</v>
      </c>
      <c r="AC5" s="48">
        <f t="shared" si="6"/>
        <v>43401</v>
      </c>
      <c r="AE5" s="48">
        <f t="shared" si="6"/>
        <v>14801</v>
      </c>
      <c r="AG5" s="48">
        <f t="shared" si="6"/>
        <v>2067849</v>
      </c>
      <c r="AI5" s="48">
        <f>SUM(AI6:AI12)</f>
        <v>540366</v>
      </c>
      <c r="AK5" s="48">
        <f t="shared" ref="AK5:AK36" si="8">SUM(F5,M5,R5,W5,Y5,AA5,AC5,AE5,AG5,AI5)</f>
        <v>5183086.7963604629</v>
      </c>
    </row>
    <row r="6" spans="1:39">
      <c r="A6" s="45" t="s">
        <v>21</v>
      </c>
      <c r="C6" s="47">
        <f>AC!$U$106</f>
        <v>1343.5934431590565</v>
      </c>
      <c r="D6" s="47">
        <f>AC!$U$107</f>
        <v>0.40655684094349454</v>
      </c>
      <c r="E6" s="47">
        <f>AC!$U$108</f>
        <v>0</v>
      </c>
      <c r="F6" s="48">
        <f>SUM(C6:E6)</f>
        <v>1344</v>
      </c>
      <c r="H6" s="47">
        <f>AC!$U$110</f>
        <v>85610.996337325763</v>
      </c>
      <c r="I6" s="47">
        <f>AC!U111</f>
        <v>3617</v>
      </c>
      <c r="J6" s="47">
        <f>AC!U112</f>
        <v>14</v>
      </c>
      <c r="K6" s="47">
        <f>AC!U113</f>
        <v>27.003662674236693</v>
      </c>
      <c r="L6" s="47">
        <f>AC!U114</f>
        <v>0</v>
      </c>
      <c r="M6" s="48">
        <f>SUM(H6:L6)</f>
        <v>89269</v>
      </c>
      <c r="O6" s="47">
        <f>AC!U116</f>
        <v>14164.150526780646</v>
      </c>
      <c r="P6" s="47">
        <f>AC!U117</f>
        <v>8.2672607611493731</v>
      </c>
      <c r="Q6" s="47">
        <f>AC!U118</f>
        <v>13157.582212458205</v>
      </c>
      <c r="R6" s="48">
        <f>SUM(O6:Q6)</f>
        <v>27330</v>
      </c>
      <c r="T6" s="47">
        <f>AC!X106</f>
        <v>2265.8494732193553</v>
      </c>
      <c r="U6" s="47">
        <f>AC!X107</f>
        <v>1.3225197236642998</v>
      </c>
      <c r="V6" s="47">
        <f>AC!$X$108</f>
        <v>2104.8280070569804</v>
      </c>
      <c r="W6" s="48">
        <f>SUM(T6:V6)</f>
        <v>4372</v>
      </c>
      <c r="Y6" s="47">
        <f>AC!X110</f>
        <v>7295</v>
      </c>
      <c r="AA6" s="47">
        <f>AC!X111</f>
        <v>942</v>
      </c>
      <c r="AC6" s="47">
        <f>AC!X113</f>
        <v>1197</v>
      </c>
      <c r="AE6" s="47">
        <f>AC!X114</f>
        <v>370</v>
      </c>
      <c r="AG6" s="47">
        <f>AC!X116</f>
        <v>120785</v>
      </c>
      <c r="AI6" s="47">
        <f>AC!X117</f>
        <v>26743</v>
      </c>
      <c r="AK6" s="47">
        <f>SUM(F6,M6,R6,W6,Y6,AA6,AC6,AE6,AG6,AI6)</f>
        <v>279647</v>
      </c>
      <c r="AM6" t="str">
        <f>IF((AK6=AC!$X$120),"ok","erro")</f>
        <v>ok</v>
      </c>
    </row>
    <row r="7" spans="1:39">
      <c r="A7" s="45" t="s">
        <v>22</v>
      </c>
      <c r="C7" s="47">
        <f>AP!$U$106</f>
        <v>1054.7714244445849</v>
      </c>
      <c r="D7" s="47">
        <f>AP!$U$107</f>
        <v>0.228575555415091</v>
      </c>
      <c r="E7" s="47">
        <f>AP!$U$108</f>
        <v>0</v>
      </c>
      <c r="F7" s="48">
        <f>SUM(C7:E7)</f>
        <v>1055</v>
      </c>
      <c r="H7" s="47">
        <f>AP!$U$110</f>
        <v>81195.087909508642</v>
      </c>
      <c r="I7" s="47">
        <f>AP!$U$111</f>
        <v>1445</v>
      </c>
      <c r="J7" s="47">
        <f>AP!$U$112</f>
        <v>16</v>
      </c>
      <c r="K7" s="47">
        <f>AP!$U$113</f>
        <v>17.912090491357958</v>
      </c>
      <c r="L7" s="47">
        <f>AP!$U$114</f>
        <v>0</v>
      </c>
      <c r="M7" s="48">
        <f>SUM(H7:L7)</f>
        <v>82674</v>
      </c>
      <c r="O7" s="47">
        <f>AP!$U$116</f>
        <v>6289.7700044372132</v>
      </c>
      <c r="P7" s="47">
        <f>AP!U117</f>
        <v>4.8575013766894699</v>
      </c>
      <c r="Q7" s="47">
        <f>AP!U118</f>
        <v>16125.372494186096</v>
      </c>
      <c r="R7" s="48">
        <f>SUM(O7:Q7)</f>
        <v>22420</v>
      </c>
      <c r="T7" s="47">
        <f>AP!$X$106</f>
        <v>1297.2299955627866</v>
      </c>
      <c r="U7" s="47">
        <f>AP!$X$107</f>
        <v>1.0018325765304326</v>
      </c>
      <c r="V7" s="47">
        <f>AP!$X$108</f>
        <v>3325.7681718606827</v>
      </c>
      <c r="W7" s="48">
        <f t="shared" ref="W7:W36" si="9">SUM(T7:V7)</f>
        <v>4624</v>
      </c>
      <c r="Y7" s="47">
        <f>AP!$X$110</f>
        <v>4229</v>
      </c>
      <c r="AA7" s="47">
        <f>AP!$X$111</f>
        <v>378</v>
      </c>
      <c r="AC7" s="47">
        <f>AP!$X$113</f>
        <v>1233</v>
      </c>
      <c r="AE7" s="47">
        <f>AP!$X$114</f>
        <v>459</v>
      </c>
      <c r="AG7" s="47">
        <f>AP!$X$116</f>
        <v>66090</v>
      </c>
      <c r="AI7" s="47">
        <f>AP!$X$117</f>
        <v>13031</v>
      </c>
      <c r="AK7" s="47">
        <f>SUM(F7,M7,R7,W7,Y7,AA7,AC7,AE7,AG7,AI7)</f>
        <v>196193</v>
      </c>
      <c r="AM7" t="str">
        <f>IF((AK7=AP!$X$120),"ok","erro")</f>
        <v>ok</v>
      </c>
    </row>
    <row r="8" spans="1:39">
      <c r="A8" s="45" t="s">
        <v>23</v>
      </c>
      <c r="C8" s="47">
        <f>AM!$U$106</f>
        <v>5498.4178873032834</v>
      </c>
      <c r="D8" s="47">
        <f>AM!$U$107</f>
        <v>1.5821126967166492</v>
      </c>
      <c r="E8" s="47">
        <f>AM!$U$108</f>
        <v>0</v>
      </c>
      <c r="F8" s="48">
        <f t="shared" ref="F8:F36" si="10">SUM(C8:E8)</f>
        <v>5500</v>
      </c>
      <c r="H8" s="47">
        <f>AM!$U$110</f>
        <v>384563.09097195632</v>
      </c>
      <c r="I8" s="47">
        <f>AM!$U$111</f>
        <v>16190</v>
      </c>
      <c r="J8" s="47">
        <f>AM!$U$112</f>
        <v>2073</v>
      </c>
      <c r="K8" s="47">
        <f>AM!$U$113</f>
        <v>115.90902804367943</v>
      </c>
      <c r="L8" s="47">
        <f>AM!$U$114</f>
        <v>0</v>
      </c>
      <c r="M8" s="48">
        <f t="shared" ref="M8:M36" si="11">SUM(H8:L8)</f>
        <v>402942</v>
      </c>
      <c r="O8" s="47">
        <f>AM!$U$116</f>
        <v>23570.670363725334</v>
      </c>
      <c r="P8" s="47">
        <f>AM!U117</f>
        <v>25.556585532191093</v>
      </c>
      <c r="Q8" s="47">
        <f>AM!$U$118</f>
        <v>65247.773050742471</v>
      </c>
      <c r="R8" s="48">
        <f t="shared" ref="R8:R36" si="12">SUM(O8:Q8)</f>
        <v>88844</v>
      </c>
      <c r="T8" s="47">
        <f>AM!$X$106</f>
        <v>7334.3296362746696</v>
      </c>
      <c r="U8" s="47">
        <f>AM!$X$107</f>
        <v>7.9522737274055544</v>
      </c>
      <c r="V8" s="47">
        <f>AM!$X$108</f>
        <v>20302.718089997925</v>
      </c>
      <c r="W8" s="48">
        <f t="shared" si="9"/>
        <v>27645</v>
      </c>
      <c r="Y8" s="47">
        <f>AM!$X$110</f>
        <v>20258</v>
      </c>
      <c r="AA8" s="47">
        <f>AM!$X$111</f>
        <v>3292</v>
      </c>
      <c r="AC8" s="47">
        <f>AM!$X$113</f>
        <v>9093</v>
      </c>
      <c r="AE8" s="47">
        <f>AM!$X$114</f>
        <v>3507</v>
      </c>
      <c r="AG8" s="47">
        <f>AM!$X$116</f>
        <v>264914</v>
      </c>
      <c r="AI8" s="47">
        <f>AM!$X$117</f>
        <v>59817</v>
      </c>
      <c r="AK8" s="47">
        <f t="shared" si="8"/>
        <v>885812</v>
      </c>
      <c r="AM8" t="str">
        <f>IF((AK8=AM!$X$120),"ok","erro")</f>
        <v>ok</v>
      </c>
    </row>
    <row r="9" spans="1:39">
      <c r="A9" s="45" t="s">
        <v>24</v>
      </c>
      <c r="C9" s="47">
        <f>PA!$U$106</f>
        <v>14267.968813341264</v>
      </c>
      <c r="D9" s="47">
        <f>PA!$U$107</f>
        <v>3.0311866587362601</v>
      </c>
      <c r="E9" s="47">
        <f>PA!$U$108</f>
        <v>0</v>
      </c>
      <c r="F9" s="48">
        <f t="shared" si="10"/>
        <v>14271</v>
      </c>
      <c r="H9" s="47">
        <f>PA!$U$110</f>
        <v>590130.47163525142</v>
      </c>
      <c r="I9" s="47">
        <f>PA!$U$111</f>
        <v>23883</v>
      </c>
      <c r="J9" s="47">
        <f>PA!$U$112</f>
        <v>391</v>
      </c>
      <c r="K9" s="47">
        <f>PA!$U$113</f>
        <v>130.52836474857759</v>
      </c>
      <c r="L9" s="47">
        <f>PA!$U$114</f>
        <v>0</v>
      </c>
      <c r="M9" s="48">
        <f t="shared" si="11"/>
        <v>614535</v>
      </c>
      <c r="O9" s="47">
        <f>PA!$U$116</f>
        <v>72665.267190831553</v>
      </c>
      <c r="P9" s="47">
        <f>PA!U117</f>
        <v>32.758735784242162</v>
      </c>
      <c r="Q9" s="47">
        <f>PA!$U$118</f>
        <v>81531.974073384205</v>
      </c>
      <c r="R9" s="48">
        <f t="shared" si="12"/>
        <v>154230</v>
      </c>
      <c r="T9" s="47">
        <f>PA!$X$106</f>
        <v>19257.732809168443</v>
      </c>
      <c r="U9" s="47">
        <f>PA!$X$107</f>
        <v>8.6817128084367141</v>
      </c>
      <c r="V9" s="47">
        <f>PA!$X$108</f>
        <v>21607.58547802312</v>
      </c>
      <c r="W9" s="48">
        <f>SUM(T9:V9)</f>
        <v>40874</v>
      </c>
      <c r="Y9" s="47">
        <f>PA!$X$110</f>
        <v>62896</v>
      </c>
      <c r="AA9" s="47">
        <f>PA!$X$111</f>
        <v>9114</v>
      </c>
      <c r="AC9" s="47">
        <f>PA!$X$113</f>
        <v>18888</v>
      </c>
      <c r="AE9" s="47">
        <f>PA!$X$114</f>
        <v>6794</v>
      </c>
      <c r="AG9" s="47">
        <f>PA!$X$116</f>
        <v>897278</v>
      </c>
      <c r="AI9" s="47">
        <f>PA!$X$117</f>
        <v>197872</v>
      </c>
      <c r="AK9" s="47">
        <f t="shared" si="8"/>
        <v>2016752</v>
      </c>
      <c r="AM9" t="str">
        <f>IF((AK9=PA!$X$120),"ok","erro")</f>
        <v>ok</v>
      </c>
    </row>
    <row r="10" spans="1:39">
      <c r="A10" s="45" t="s">
        <v>25</v>
      </c>
      <c r="C10" s="47">
        <f>RO!$U$106</f>
        <v>4223.2921850857929</v>
      </c>
      <c r="D10" s="47">
        <f>RO!$U$107</f>
        <v>0.70781491420711973</v>
      </c>
      <c r="E10" s="47">
        <f>RO!$U$108</f>
        <v>0</v>
      </c>
      <c r="F10" s="48">
        <f t="shared" si="10"/>
        <v>4224</v>
      </c>
      <c r="H10" s="47">
        <f>RO!$U$110</f>
        <v>280377.24723694619</v>
      </c>
      <c r="I10" s="47">
        <f>RO!$U$111</f>
        <v>10427</v>
      </c>
      <c r="J10" s="47">
        <f>RO!$U$112</f>
        <v>87</v>
      </c>
      <c r="K10" s="47">
        <f>RO!$U$113</f>
        <v>48.752763053809758</v>
      </c>
      <c r="L10" s="47">
        <f>RO!$U$114</f>
        <v>0</v>
      </c>
      <c r="M10" s="48">
        <f t="shared" si="11"/>
        <v>290940</v>
      </c>
      <c r="O10" s="47">
        <f>RO!$U$116</f>
        <v>44249.609741768123</v>
      </c>
      <c r="P10" s="47">
        <f>RO!U117</f>
        <v>16.280580875842134</v>
      </c>
      <c r="Q10" s="47">
        <f>RO!$U$118</f>
        <v>52891.109677356035</v>
      </c>
      <c r="R10" s="48">
        <f t="shared" si="12"/>
        <v>97157</v>
      </c>
      <c r="T10" s="47">
        <f>RO!$X$106</f>
        <v>6139.3902582318742</v>
      </c>
      <c r="U10" s="47">
        <f>RO!$X$107</f>
        <v>2.2588411561337125</v>
      </c>
      <c r="V10" s="47">
        <f>RO!$X$108</f>
        <v>7338.3509006119921</v>
      </c>
      <c r="W10" s="48">
        <f t="shared" si="9"/>
        <v>13480</v>
      </c>
      <c r="Y10" s="47">
        <f>RO!$X$110</f>
        <v>31371</v>
      </c>
      <c r="AA10" s="47">
        <f>RO!$X$111</f>
        <v>7063</v>
      </c>
      <c r="AC10" s="47">
        <f>RO!$X$113</f>
        <v>6260</v>
      </c>
      <c r="AE10" s="47">
        <f>RO!$X$114</f>
        <v>1317</v>
      </c>
      <c r="AG10" s="47">
        <f>RO!$X$116</f>
        <v>401012</v>
      </c>
      <c r="AI10" s="47">
        <f>RO!$X$117</f>
        <v>124991</v>
      </c>
      <c r="AK10" s="47">
        <f t="shared" si="8"/>
        <v>977815</v>
      </c>
      <c r="AM10" t="str">
        <f>IF((AK10=RO!$X$120),"ok","erro")</f>
        <v>ok</v>
      </c>
    </row>
    <row r="11" spans="1:39">
      <c r="A11" s="45" t="s">
        <v>26</v>
      </c>
      <c r="C11" s="47">
        <f>RR!$U$106</f>
        <v>1360.594006779661</v>
      </c>
      <c r="D11" s="47">
        <f>RR!$U$107</f>
        <v>0.40599322033904173</v>
      </c>
      <c r="E11" s="47">
        <f>RR!$U$108</f>
        <v>0</v>
      </c>
      <c r="F11" s="48">
        <f t="shared" si="10"/>
        <v>1361</v>
      </c>
      <c r="H11" s="47">
        <f>RR!$U$110</f>
        <v>74273.389369491531</v>
      </c>
      <c r="I11" s="47">
        <f>RR!$U$111</f>
        <v>1452</v>
      </c>
      <c r="J11" s="47">
        <f>RR!$U$112</f>
        <v>49</v>
      </c>
      <c r="K11" s="47">
        <f>RR!$U$113</f>
        <v>22.610630508468603</v>
      </c>
      <c r="L11" s="47">
        <f>RR!$U$114</f>
        <v>0</v>
      </c>
      <c r="M11" s="48">
        <f t="shared" si="11"/>
        <v>75797</v>
      </c>
      <c r="O11" s="47">
        <f>RR!$U$116</f>
        <v>10446.719096423343</v>
      </c>
      <c r="P11" s="47">
        <f>RR!U117</f>
        <v>8.4298033898303402</v>
      </c>
      <c r="Q11" s="47">
        <f>RR!$U$118</f>
        <v>17803.851100186825</v>
      </c>
      <c r="R11" s="48">
        <f t="shared" si="12"/>
        <v>28259</v>
      </c>
      <c r="T11" s="47">
        <f>RR!$X$106</f>
        <v>1925.2809035766577</v>
      </c>
      <c r="U11" s="47">
        <f>RR!$X$107</f>
        <v>1.5535728813556489</v>
      </c>
      <c r="V11" s="47">
        <f>RR!$X$108</f>
        <v>3281.1655235419867</v>
      </c>
      <c r="W11" s="48">
        <f t="shared" si="9"/>
        <v>5208</v>
      </c>
      <c r="Y11" s="47">
        <f>RR!$X$110</f>
        <v>5286</v>
      </c>
      <c r="AA11" s="47">
        <f>RR!$X$111</f>
        <v>817</v>
      </c>
      <c r="AC11" s="47">
        <f>RR!$X$113</f>
        <v>1159</v>
      </c>
      <c r="AE11" s="47">
        <f>RR!$X$114</f>
        <v>724</v>
      </c>
      <c r="AG11" s="47">
        <f>RR!$X$116</f>
        <v>81027</v>
      </c>
      <c r="AI11" s="47">
        <f>RR!$X$117</f>
        <v>20608</v>
      </c>
      <c r="AK11" s="47">
        <f t="shared" si="8"/>
        <v>220246</v>
      </c>
      <c r="AM11" t="str">
        <f>IF((AK11=RR!$X$120),"ok","erro")</f>
        <v>ok</v>
      </c>
    </row>
    <row r="12" spans="1:39">
      <c r="A12" s="45" t="s">
        <v>27</v>
      </c>
      <c r="C12" s="47">
        <f>TO!$U$106</f>
        <v>4041.288288078777</v>
      </c>
      <c r="D12" s="47">
        <f>TO!$U$107</f>
        <v>0.71171192122301363</v>
      </c>
      <c r="E12" s="47">
        <f>TO!$U$108</f>
        <v>0</v>
      </c>
      <c r="F12" s="48">
        <f t="shared" si="10"/>
        <v>4042</v>
      </c>
      <c r="H12" s="47">
        <f>TO!$U$110</f>
        <v>206666.6270710064</v>
      </c>
      <c r="I12" s="47">
        <f>TO!$U$111</f>
        <v>10952</v>
      </c>
      <c r="J12" s="47">
        <f>TO!$U$112</f>
        <v>273</v>
      </c>
      <c r="K12" s="47">
        <f>TO!$U$113</f>
        <v>38.372928993601818</v>
      </c>
      <c r="L12" s="47">
        <f>TO!$U$114</f>
        <v>0</v>
      </c>
      <c r="M12" s="48">
        <f t="shared" si="11"/>
        <v>217930</v>
      </c>
      <c r="O12" s="47">
        <f>TO!$U$116</f>
        <v>32748.786318946211</v>
      </c>
      <c r="P12" s="47">
        <f>TO!$U$117</f>
        <v>11.916508583031828</v>
      </c>
      <c r="Q12" s="47">
        <f>TO!$U$118</f>
        <v>34916.29717247076</v>
      </c>
      <c r="R12" s="48">
        <f t="shared" si="12"/>
        <v>67677</v>
      </c>
      <c r="T12" s="47">
        <f>TO!$X$106</f>
        <v>5493.2136810537904</v>
      </c>
      <c r="U12" s="47">
        <f>TO!$X$107</f>
        <v>1.9988505021574383</v>
      </c>
      <c r="V12" s="47">
        <f>TO!$X$108</f>
        <v>5856.7874684440521</v>
      </c>
      <c r="W12" s="48">
        <f t="shared" si="9"/>
        <v>11352</v>
      </c>
      <c r="Y12" s="47">
        <f>TO!$X$110</f>
        <v>22625</v>
      </c>
      <c r="AA12" s="47">
        <f>TO!$X$111</f>
        <v>5565</v>
      </c>
      <c r="AC12" s="47">
        <f>TO!$X$113</f>
        <v>5571</v>
      </c>
      <c r="AE12" s="47">
        <f>TO!$X$114</f>
        <v>1630</v>
      </c>
      <c r="AG12" s="47">
        <f>TO!$X$116</f>
        <v>236743</v>
      </c>
      <c r="AI12" s="47">
        <f>TO!$X$117</f>
        <v>97304</v>
      </c>
      <c r="AK12" s="47">
        <f t="shared" si="8"/>
        <v>670439</v>
      </c>
      <c r="AM12" t="str">
        <f>IF((AK12=TO!$X$120),"ok","erro")</f>
        <v>ok</v>
      </c>
    </row>
    <row r="13" spans="1:39">
      <c r="A13" s="44" t="s">
        <v>28</v>
      </c>
      <c r="C13" s="48">
        <f>SUM(C14:C22)</f>
        <v>143517.5892201745</v>
      </c>
      <c r="D13" s="48">
        <f t="shared" ref="D13:AE13" si="13">SUM(D14:D22)</f>
        <v>38.684101568862388</v>
      </c>
      <c r="E13" s="48">
        <f t="shared" si="13"/>
        <v>6573.7266782566567</v>
      </c>
      <c r="F13" s="48">
        <f t="shared" si="10"/>
        <v>150130</v>
      </c>
      <c r="H13" s="48">
        <f t="shared" si="13"/>
        <v>6310287.0061356975</v>
      </c>
      <c r="I13" s="48">
        <f>SUM(I14:I22)</f>
        <v>389213</v>
      </c>
      <c r="J13" s="48">
        <f t="shared" si="13"/>
        <v>298023</v>
      </c>
      <c r="K13" s="48">
        <f t="shared" si="13"/>
        <v>1953.7542733922601</v>
      </c>
      <c r="L13" s="48">
        <f t="shared" si="13"/>
        <v>10421.239590910031</v>
      </c>
      <c r="M13" s="48">
        <f t="shared" si="11"/>
        <v>7009898</v>
      </c>
      <c r="O13" s="48">
        <f t="shared" si="13"/>
        <v>475625.13750375871</v>
      </c>
      <c r="P13" s="48">
        <f t="shared" si="13"/>
        <v>333.6117596477925</v>
      </c>
      <c r="Q13" s="48">
        <f t="shared" ref="Q13" si="14">SUM(Q14:Q22)</f>
        <v>769777.2507365935</v>
      </c>
      <c r="R13" s="48">
        <f t="shared" si="12"/>
        <v>1245736</v>
      </c>
      <c r="T13" s="48">
        <f t="shared" si="13"/>
        <v>157030.8624962412</v>
      </c>
      <c r="U13" s="48">
        <f t="shared" si="13"/>
        <v>123.94986539096135</v>
      </c>
      <c r="V13" s="48">
        <f t="shared" si="13"/>
        <v>265435.18763836782</v>
      </c>
      <c r="W13" s="48">
        <f t="shared" si="9"/>
        <v>422590</v>
      </c>
      <c r="Y13" s="48">
        <f t="shared" si="13"/>
        <v>470011</v>
      </c>
      <c r="AA13" s="48">
        <f>SUM(AA14:AA22)</f>
        <v>62985</v>
      </c>
      <c r="AC13" s="48">
        <f t="shared" si="13"/>
        <v>127088</v>
      </c>
      <c r="AE13" s="48">
        <f t="shared" si="13"/>
        <v>91455</v>
      </c>
      <c r="AG13" s="48">
        <f>SUM(AG14:AG22)</f>
        <v>6739086</v>
      </c>
      <c r="AI13" s="48">
        <f>SUM(AI14:AI22)</f>
        <v>970237</v>
      </c>
      <c r="AK13" s="48">
        <f t="shared" si="8"/>
        <v>17289216</v>
      </c>
    </row>
    <row r="14" spans="1:39">
      <c r="A14" s="45" t="s">
        <v>29</v>
      </c>
      <c r="C14" s="47">
        <f>AL!$U$106</f>
        <v>6479.4380852381337</v>
      </c>
      <c r="D14" s="47">
        <f>AL!$U$107</f>
        <v>0.57718994025162829</v>
      </c>
      <c r="E14" s="47">
        <f>AL!$U$108</f>
        <v>18.984724821614691</v>
      </c>
      <c r="F14" s="48">
        <f t="shared" si="10"/>
        <v>6499</v>
      </c>
      <c r="H14" s="47">
        <f>AL!$U$110</f>
        <v>318406.58970578766</v>
      </c>
      <c r="I14" s="47">
        <f>AL!$U$111</f>
        <v>24171</v>
      </c>
      <c r="J14" s="47">
        <f>AL!$U$112</f>
        <v>22321</v>
      </c>
      <c r="K14" s="47">
        <f>AL!$U$113</f>
        <v>32.410294212342706</v>
      </c>
      <c r="L14" s="47">
        <f>AL!$U$114</f>
        <v>0</v>
      </c>
      <c r="M14" s="48">
        <f t="shared" si="11"/>
        <v>364931</v>
      </c>
      <c r="O14" s="47">
        <f>AL!$U$116</f>
        <v>20103.031877303412</v>
      </c>
      <c r="P14" s="47">
        <f>AL!$U$117</f>
        <v>5.027920308886678</v>
      </c>
      <c r="Q14" s="47">
        <f>AL!$U$118</f>
        <v>36504.940202387705</v>
      </c>
      <c r="R14" s="48">
        <f t="shared" si="12"/>
        <v>56613</v>
      </c>
      <c r="T14" s="47">
        <f>AL!$X$106</f>
        <v>7934.9681226965895</v>
      </c>
      <c r="U14" s="47">
        <f>AL!$X$107</f>
        <v>1.9845955385244451</v>
      </c>
      <c r="V14" s="47">
        <f>AL!$X$108</f>
        <v>14409.047281764886</v>
      </c>
      <c r="W14" s="48">
        <f t="shared" si="9"/>
        <v>22346</v>
      </c>
      <c r="Y14" s="47">
        <f>AL!$X$110</f>
        <v>21919</v>
      </c>
      <c r="AA14" s="47">
        <f>AL!$X$111</f>
        <v>2551</v>
      </c>
      <c r="AC14" s="47">
        <f>AL!$X$113</f>
        <v>7988</v>
      </c>
      <c r="AE14" s="47">
        <f>AL!$X$114</f>
        <v>6914</v>
      </c>
      <c r="AG14" s="47">
        <f>AL!$X$116</f>
        <v>298554</v>
      </c>
      <c r="AI14" s="47">
        <f>AL!$X$117</f>
        <v>41775</v>
      </c>
      <c r="AK14" s="47">
        <f t="shared" si="8"/>
        <v>830090</v>
      </c>
      <c r="AM14" t="str">
        <f>IF((AK14=AL!$X$120),"ok","erro")</f>
        <v>ok</v>
      </c>
    </row>
    <row r="15" spans="1:39">
      <c r="A15" s="45" t="s">
        <v>30</v>
      </c>
      <c r="C15" s="47">
        <f>BA!$U$106</f>
        <v>29644.217219607952</v>
      </c>
      <c r="D15" s="47">
        <f>BA!$U$107</f>
        <v>7.5128420378787268</v>
      </c>
      <c r="E15" s="47">
        <f>BA!$U$108</f>
        <v>2627.2699383541694</v>
      </c>
      <c r="F15" s="48">
        <f t="shared" si="10"/>
        <v>32279</v>
      </c>
      <c r="H15" s="47">
        <f>BA!$U$110</f>
        <v>1710991.888699274</v>
      </c>
      <c r="I15" s="47">
        <f>BA!$U$111</f>
        <v>99825</v>
      </c>
      <c r="J15" s="47">
        <f>BA!$U$112</f>
        <v>58208</v>
      </c>
      <c r="K15" s="47">
        <f>BA!$U$113</f>
        <v>435.11130072595552</v>
      </c>
      <c r="L15" s="47">
        <f>BA!$U$114</f>
        <v>0</v>
      </c>
      <c r="M15" s="48">
        <f t="shared" si="11"/>
        <v>1869460</v>
      </c>
      <c r="O15" s="47">
        <f>BA!$U$116</f>
        <v>110948.99940376503</v>
      </c>
      <c r="P15" s="47">
        <f>BA!$U$117</f>
        <v>85.846887540945318</v>
      </c>
      <c r="Q15" s="47">
        <f>BA!$U$118</f>
        <v>257807.15370869404</v>
      </c>
      <c r="R15" s="48">
        <f t="shared" si="12"/>
        <v>368842</v>
      </c>
      <c r="T15" s="47">
        <f>BA!$X$106</f>
        <v>36871.000596234968</v>
      </c>
      <c r="U15" s="47">
        <f>BA!$X$107</f>
        <v>28.528969695253181</v>
      </c>
      <c r="V15" s="47">
        <f>BA!$X$108</f>
        <v>85675.470434069779</v>
      </c>
      <c r="W15" s="48">
        <f t="shared" si="9"/>
        <v>122575</v>
      </c>
      <c r="Y15" s="47">
        <f>BA!$X$110</f>
        <v>120282</v>
      </c>
      <c r="AA15" s="47">
        <f>BA!$X$111</f>
        <v>22030</v>
      </c>
      <c r="AC15" s="47">
        <f>BA!$X$113</f>
        <v>40651</v>
      </c>
      <c r="AE15" s="47">
        <f>BA!$X$114</f>
        <v>29839</v>
      </c>
      <c r="AG15" s="47">
        <f>BA!$X$116</f>
        <v>1323281</v>
      </c>
      <c r="AI15" s="47">
        <f>BA!$X$117</f>
        <v>199767</v>
      </c>
      <c r="AK15" s="47">
        <f t="shared" si="8"/>
        <v>4129006</v>
      </c>
      <c r="AM15" t="str">
        <f>IF((AK15=BA!$X$120),"ok","erro")</f>
        <v>ok</v>
      </c>
    </row>
    <row r="16" spans="1:39">
      <c r="A16" s="45" t="s">
        <v>31</v>
      </c>
      <c r="C16" s="47">
        <f>CE!$U$106</f>
        <v>35159.105671474586</v>
      </c>
      <c r="D16" s="47">
        <f>CE!$U$107</f>
        <v>6.8943285254135844</v>
      </c>
      <c r="E16" s="47">
        <f>CE!$U$108</f>
        <v>0</v>
      </c>
      <c r="F16" s="48">
        <f t="shared" si="10"/>
        <v>35166</v>
      </c>
      <c r="H16" s="47">
        <f>CE!$U$110</f>
        <v>1055154.097353312</v>
      </c>
      <c r="I16" s="47">
        <f>CE!$U$111</f>
        <v>60929</v>
      </c>
      <c r="J16" s="47">
        <f>CE!$U$112</f>
        <v>51255</v>
      </c>
      <c r="K16" s="47">
        <f>CE!$U$113</f>
        <v>228.90264668804593</v>
      </c>
      <c r="L16" s="47">
        <f>CE!$U$114</f>
        <v>0</v>
      </c>
      <c r="M16" s="48">
        <f t="shared" si="11"/>
        <v>1167567</v>
      </c>
      <c r="O16" s="47">
        <f>CE!$U$116</f>
        <v>95553.382456771782</v>
      </c>
      <c r="P16" s="47">
        <f>CE!$U$117</f>
        <v>38.880632964574033</v>
      </c>
      <c r="Q16" s="47">
        <f>CE!$U$118</f>
        <v>102726.73691026364</v>
      </c>
      <c r="R16" s="48">
        <f t="shared" si="12"/>
        <v>198319</v>
      </c>
      <c r="T16" s="47">
        <f>CE!$X$106</f>
        <v>30283.617543228218</v>
      </c>
      <c r="U16" s="47">
        <f>CE!$X$107</f>
        <v>12.322391821871861</v>
      </c>
      <c r="V16" s="47">
        <f>CE!$X$108</f>
        <v>32557.06006494991</v>
      </c>
      <c r="W16" s="48">
        <f t="shared" si="9"/>
        <v>62853</v>
      </c>
      <c r="Y16" s="47">
        <f>CE!$X$110</f>
        <v>74750</v>
      </c>
      <c r="AA16" s="47">
        <f>CE!$X$111</f>
        <v>8957</v>
      </c>
      <c r="AC16" s="47">
        <f>CE!$X$113</f>
        <v>18093</v>
      </c>
      <c r="AE16" s="47">
        <f>CE!$X$114</f>
        <v>12591</v>
      </c>
      <c r="AG16" s="47">
        <f>CE!$X$116</f>
        <v>1404124</v>
      </c>
      <c r="AI16" s="47">
        <f>CE!$X$117</f>
        <v>171526</v>
      </c>
      <c r="AK16" s="47">
        <f t="shared" si="8"/>
        <v>3153946</v>
      </c>
      <c r="AM16" t="str">
        <f>IF((AK16=CE!$X$120),"ok","erro")</f>
        <v>ok</v>
      </c>
    </row>
    <row r="17" spans="1:39">
      <c r="A17" s="45" t="s">
        <v>32</v>
      </c>
      <c r="C17" s="47">
        <f>MA!$U$106</f>
        <v>10986.933953153606</v>
      </c>
      <c r="D17" s="47">
        <f>MA!$U$107</f>
        <v>3.0660468463938741</v>
      </c>
      <c r="E17" s="47">
        <f>MA!$U$108</f>
        <v>0</v>
      </c>
      <c r="F17" s="48">
        <f t="shared" si="10"/>
        <v>10990</v>
      </c>
      <c r="H17" s="47">
        <f>MA!$U$110</f>
        <v>432711.30619033391</v>
      </c>
      <c r="I17" s="47">
        <f>MA!$U$111</f>
        <v>13836</v>
      </c>
      <c r="J17" s="47">
        <f>MA!$U$112</f>
        <v>283</v>
      </c>
      <c r="K17" s="47">
        <f>MA!$U$113</f>
        <v>124.69380966608878</v>
      </c>
      <c r="L17" s="47">
        <f>MA!$U$114</f>
        <v>0</v>
      </c>
      <c r="M17" s="48">
        <f t="shared" si="11"/>
        <v>446955</v>
      </c>
      <c r="O17" s="47">
        <f>MA!$U$116</f>
        <v>56194.478731176685</v>
      </c>
      <c r="P17" s="47">
        <f>MA!$U$117</f>
        <v>34.288670396374073</v>
      </c>
      <c r="Q17" s="47">
        <f>MA!$U$118</f>
        <v>66676.232598426941</v>
      </c>
      <c r="R17" s="48">
        <f t="shared" si="12"/>
        <v>122905</v>
      </c>
      <c r="T17" s="47">
        <f>MA!$X$106</f>
        <v>11392.521268823313</v>
      </c>
      <c r="U17" s="47">
        <f>MA!$X$107</f>
        <v>6.9514730911396327</v>
      </c>
      <c r="V17" s="47">
        <f>MA!$X$108</f>
        <v>13517.527258085547</v>
      </c>
      <c r="W17" s="48">
        <f t="shared" si="9"/>
        <v>24917</v>
      </c>
      <c r="Y17" s="47">
        <f>MA!$X$110</f>
        <v>42103</v>
      </c>
      <c r="AA17" s="47">
        <f>MA!$X$111</f>
        <v>5187</v>
      </c>
      <c r="AC17" s="47">
        <f>MA!$X$113</f>
        <v>9463</v>
      </c>
      <c r="AE17" s="47">
        <f>MA!$X$114</f>
        <v>5114</v>
      </c>
      <c r="AG17" s="47">
        <f>MA!$X$116</f>
        <v>875538</v>
      </c>
      <c r="AI17" s="47">
        <f>MA!$X$117</f>
        <v>164112</v>
      </c>
      <c r="AK17" s="47">
        <f>SUM(F17,M17,R17,W17,Y17,AA17,AC17,AE17,AG17,AI17)</f>
        <v>1707284</v>
      </c>
      <c r="AM17" t="str">
        <f>IF((AK17=MA!$X$120),"ok","erro")</f>
        <v>ok</v>
      </c>
    </row>
    <row r="18" spans="1:39">
      <c r="A18" s="45" t="s">
        <v>33</v>
      </c>
      <c r="C18" s="47">
        <f>PB!$U$106</f>
        <v>11717.013749617567</v>
      </c>
      <c r="D18" s="47">
        <f>PB!$U$107</f>
        <v>1.6766563787241466</v>
      </c>
      <c r="E18" s="47">
        <f>PB!$U$108</f>
        <v>163.30959400370921</v>
      </c>
      <c r="F18" s="48">
        <f>SUM(C18:E18)</f>
        <v>11882</v>
      </c>
      <c r="H18" s="47">
        <f>PB!$U$110</f>
        <v>488163.73104336543</v>
      </c>
      <c r="I18" s="47">
        <f>PB!$U$111</f>
        <v>29278</v>
      </c>
      <c r="J18" s="47">
        <f>PB!$U$112</f>
        <v>22979</v>
      </c>
      <c r="K18" s="47">
        <f>PB!$U$113</f>
        <v>76.268956634565257</v>
      </c>
      <c r="L18" s="47">
        <f>PB!$U$114</f>
        <v>0</v>
      </c>
      <c r="M18" s="48">
        <f t="shared" si="11"/>
        <v>540497</v>
      </c>
      <c r="O18" s="47">
        <f>PB!$U$116</f>
        <v>33747.117875067022</v>
      </c>
      <c r="P18" s="47">
        <f>PB!$U$117</f>
        <v>11.962933384565986</v>
      </c>
      <c r="Q18" s="47">
        <f>PB!$U$118</f>
        <v>51018.919191548412</v>
      </c>
      <c r="R18" s="48">
        <f t="shared" si="12"/>
        <v>84778</v>
      </c>
      <c r="T18" s="47">
        <f>PB!$X$106</f>
        <v>11541.882124932979</v>
      </c>
      <c r="U18" s="47">
        <f>PB!$X$107</f>
        <v>4.0914536021809909</v>
      </c>
      <c r="V18" s="47">
        <f>PB!$X$108</f>
        <v>17449.026421464841</v>
      </c>
      <c r="W18" s="48">
        <f>SUM(T18:V18)</f>
        <v>28995</v>
      </c>
      <c r="Y18" s="47">
        <f>PB!$X$110</f>
        <v>28931</v>
      </c>
      <c r="AA18" s="47">
        <f>PB!$X$111</f>
        <v>2751</v>
      </c>
      <c r="AC18" s="47">
        <f>PB!$X$113</f>
        <v>7606</v>
      </c>
      <c r="AE18" s="47">
        <f>PB!$X$114</f>
        <v>4910</v>
      </c>
      <c r="AG18" s="47">
        <f>PB!$X$116</f>
        <v>501932</v>
      </c>
      <c r="AI18" s="47">
        <f>PB!$X$117</f>
        <v>69656</v>
      </c>
      <c r="AK18" s="47">
        <f t="shared" si="8"/>
        <v>1281938</v>
      </c>
      <c r="AM18" t="str">
        <f>IF((AK18=PB!$X$120),"ok","erro")</f>
        <v>ok</v>
      </c>
    </row>
    <row r="19" spans="1:39">
      <c r="A19" s="45" t="s">
        <v>34</v>
      </c>
      <c r="C19" s="47">
        <f>PE!$U$106</f>
        <v>21690.19492819886</v>
      </c>
      <c r="D19" s="47">
        <f>PE!$U$107</f>
        <v>13.75403776505118</v>
      </c>
      <c r="E19" s="47">
        <f>PE!$U$108</f>
        <v>509.05103403608882</v>
      </c>
      <c r="F19" s="48">
        <f t="shared" si="10"/>
        <v>22213</v>
      </c>
      <c r="H19" s="47">
        <f>PE!$U$110</f>
        <v>1180433.3417114837</v>
      </c>
      <c r="I19" s="47">
        <f>PE!$U$111</f>
        <v>93983</v>
      </c>
      <c r="J19" s="47">
        <f>PE!$U$112</f>
        <v>69508</v>
      </c>
      <c r="K19" s="47">
        <f>PE!$U$113</f>
        <v>832.65828851633705</v>
      </c>
      <c r="L19" s="47">
        <f>PE!$U$114</f>
        <v>0</v>
      </c>
      <c r="M19" s="48">
        <f t="shared" si="11"/>
        <v>1344757</v>
      </c>
      <c r="O19" s="47">
        <f>PE!$U$116</f>
        <v>63669.989789404237</v>
      </c>
      <c r="P19" s="47">
        <f>PE!$U$117</f>
        <v>116.0006616403698</v>
      </c>
      <c r="Q19" s="47">
        <f>PE!$U$118</f>
        <v>123557.00954895539</v>
      </c>
      <c r="R19" s="48">
        <f t="shared" si="12"/>
        <v>187343</v>
      </c>
      <c r="T19" s="47">
        <f>PE!$X$106</f>
        <v>32157.010210595749</v>
      </c>
      <c r="U19" s="47">
        <f>PE!$X$107</f>
        <v>58.587012078118278</v>
      </c>
      <c r="V19" s="47">
        <f>PE!$X$108</f>
        <v>62403.402777326133</v>
      </c>
      <c r="W19" s="48">
        <f t="shared" si="9"/>
        <v>94619</v>
      </c>
      <c r="Y19" s="47">
        <f>PE!$X$110</f>
        <v>94124</v>
      </c>
      <c r="AA19" s="47">
        <f>PE!$X$111</f>
        <v>12409</v>
      </c>
      <c r="AC19" s="47">
        <f>PE!$X$113</f>
        <v>20503</v>
      </c>
      <c r="AE19" s="47">
        <f>PE!$X$114</f>
        <v>19156</v>
      </c>
      <c r="AG19" s="47">
        <f>PE!$X$116</f>
        <v>1062212</v>
      </c>
      <c r="AI19" s="47">
        <f>PE!$X$117</f>
        <v>112799</v>
      </c>
      <c r="AK19" s="47">
        <f t="shared" si="8"/>
        <v>2970135</v>
      </c>
      <c r="AM19" t="str">
        <f>IF((AK19=PE!$X$120),"ok","erro")</f>
        <v>ok</v>
      </c>
    </row>
    <row r="20" spans="1:39">
      <c r="A20" s="45" t="s">
        <v>35</v>
      </c>
      <c r="C20" s="47">
        <f>PI!$U$106</f>
        <v>8010.1525232119175</v>
      </c>
      <c r="D20" s="47">
        <f>PI!$U$107</f>
        <v>1.8474767880825311</v>
      </c>
      <c r="E20" s="47">
        <f>PI!$U$108</f>
        <v>0</v>
      </c>
      <c r="F20" s="48">
        <f t="shared" si="10"/>
        <v>8012</v>
      </c>
      <c r="H20" s="47">
        <f>PI!$U$110</f>
        <v>351806.41077237017</v>
      </c>
      <c r="I20" s="47">
        <f>PI!$U$111</f>
        <v>18546</v>
      </c>
      <c r="J20" s="47">
        <f>PI!$U$112</f>
        <v>739</v>
      </c>
      <c r="K20" s="47">
        <f>PI!$U$113</f>
        <v>85.589227629825473</v>
      </c>
      <c r="L20" s="47">
        <f>PI!$U$114</f>
        <v>0</v>
      </c>
      <c r="M20" s="48">
        <f t="shared" si="11"/>
        <v>371177</v>
      </c>
      <c r="O20" s="47">
        <f>PI!$U$116</f>
        <v>44927.293953689754</v>
      </c>
      <c r="P20" s="47">
        <f>PI!$U$117</f>
        <v>21.385950413226965</v>
      </c>
      <c r="Q20" s="47">
        <f>PI!$U$118</f>
        <v>47796.320095897019</v>
      </c>
      <c r="R20" s="48">
        <f t="shared" si="12"/>
        <v>92745</v>
      </c>
      <c r="T20" s="47">
        <f>PI!$X$106</f>
        <v>8775.7060463102443</v>
      </c>
      <c r="U20" s="47">
        <f>PI!$X$107</f>
        <v>4.1773451688604837</v>
      </c>
      <c r="V20" s="47">
        <f>PI!$X$108</f>
        <v>9336.1166085208952</v>
      </c>
      <c r="W20" s="48">
        <f t="shared" si="9"/>
        <v>18116</v>
      </c>
      <c r="Y20" s="47">
        <f>PI!$X$110</f>
        <v>30810</v>
      </c>
      <c r="AA20" s="47">
        <f>PI!$X$111</f>
        <v>2795</v>
      </c>
      <c r="AC20" s="47">
        <f>PI!$X$113</f>
        <v>8082</v>
      </c>
      <c r="AE20" s="47">
        <f>PI!$X$114</f>
        <v>4225</v>
      </c>
      <c r="AG20" s="47">
        <f>PI!$X$116</f>
        <v>568928</v>
      </c>
      <c r="AI20" s="47">
        <f>PI!$X$117</f>
        <v>101401</v>
      </c>
      <c r="AK20" s="47">
        <f t="shared" si="8"/>
        <v>1206291</v>
      </c>
      <c r="AM20" t="str">
        <f>IF((AK20=PI!$X$120),"ok","erro")</f>
        <v>ok</v>
      </c>
    </row>
    <row r="21" spans="1:39">
      <c r="A21" s="45" t="s">
        <v>36</v>
      </c>
      <c r="C21" s="47">
        <f>RN!$U$106</f>
        <v>15053.575251776974</v>
      </c>
      <c r="D21" s="47">
        <f>RN!$U$107</f>
        <v>2.4082411929630325</v>
      </c>
      <c r="E21" s="47">
        <f>RN!$U$108</f>
        <v>2882.0165070300627</v>
      </c>
      <c r="F21" s="48">
        <f t="shared" si="10"/>
        <v>17938</v>
      </c>
      <c r="H21" s="47">
        <f>RN!$U$110</f>
        <v>477163.42474822304</v>
      </c>
      <c r="I21" s="47">
        <f>RN!$U$111</f>
        <v>30155</v>
      </c>
      <c r="J21" s="47">
        <f>RN!$U$112</f>
        <v>50777</v>
      </c>
      <c r="K21" s="47">
        <f>RN!$U$113</f>
        <v>76.335660866927356</v>
      </c>
      <c r="L21" s="47">
        <f>RN!$U$114</f>
        <v>10421.239590910031</v>
      </c>
      <c r="M21" s="48">
        <f t="shared" si="11"/>
        <v>568593</v>
      </c>
      <c r="O21" s="47">
        <f>RN!$U$116</f>
        <v>35183.447578147585</v>
      </c>
      <c r="P21" s="47">
        <f>RN!$U$117</f>
        <v>12.060001469726558</v>
      </c>
      <c r="Q21" s="47">
        <f>RN!$U$118</f>
        <v>54634.492420382689</v>
      </c>
      <c r="R21" s="48">
        <f t="shared" si="12"/>
        <v>89830</v>
      </c>
      <c r="T21" s="47">
        <f>RN!$X$106</f>
        <v>12241.552421852419</v>
      </c>
      <c r="U21" s="47">
        <f>RN!$X$107</f>
        <v>4.196096470401244</v>
      </c>
      <c r="V21" s="47">
        <f>RN!$X$108</f>
        <v>19009.25148167718</v>
      </c>
      <c r="W21" s="48">
        <f t="shared" si="9"/>
        <v>31255</v>
      </c>
      <c r="Y21" s="47">
        <f>RN!$X$110</f>
        <v>35296</v>
      </c>
      <c r="AA21" s="47">
        <f>RN!$X$111</f>
        <v>3675</v>
      </c>
      <c r="AC21" s="47">
        <f>RN!$X$113</f>
        <v>7403</v>
      </c>
      <c r="AE21" s="47">
        <f>RN!$X$114</f>
        <v>5254</v>
      </c>
      <c r="AG21" s="47">
        <f>RN!$X$116</f>
        <v>446501</v>
      </c>
      <c r="AI21" s="47">
        <f>RN!$X$117</f>
        <v>63621</v>
      </c>
      <c r="AK21" s="47">
        <f t="shared" si="8"/>
        <v>1269366</v>
      </c>
      <c r="AM21" t="str">
        <f>IF((AK21=RN!$X$120),"ok","erro")</f>
        <v>ok</v>
      </c>
    </row>
    <row r="22" spans="1:39">
      <c r="A22" s="45" t="s">
        <v>37</v>
      </c>
      <c r="C22" s="47">
        <f>SE!$U$106</f>
        <v>4776.9578378948845</v>
      </c>
      <c r="D22" s="47">
        <f>SE!$U$107</f>
        <v>0.94728209410368436</v>
      </c>
      <c r="E22" s="47">
        <f>SE!$U$108</f>
        <v>373.09488001101181</v>
      </c>
      <c r="F22" s="48">
        <f t="shared" si="10"/>
        <v>5151</v>
      </c>
      <c r="H22" s="47">
        <f>SE!$U$110</f>
        <v>295456.21591154783</v>
      </c>
      <c r="I22" s="47">
        <f>SE!$U$111</f>
        <v>18490</v>
      </c>
      <c r="J22" s="47">
        <f>SE!$U$112</f>
        <v>21953</v>
      </c>
      <c r="K22" s="47">
        <f>SE!$U$113</f>
        <v>61.784088452172</v>
      </c>
      <c r="L22" s="47">
        <f>SE!$U$114</f>
        <v>0</v>
      </c>
      <c r="M22" s="48">
        <f t="shared" si="11"/>
        <v>335961</v>
      </c>
      <c r="O22" s="47">
        <f>SE!$U$116</f>
        <v>15297.395838433293</v>
      </c>
      <c r="P22" s="47">
        <f>SE!$U$117</f>
        <v>8.1581015291230869</v>
      </c>
      <c r="Q22" s="47">
        <f>SE!$U$118</f>
        <v>29055.446060037582</v>
      </c>
      <c r="R22" s="48">
        <f t="shared" si="12"/>
        <v>44361</v>
      </c>
      <c r="T22" s="47">
        <f>SE!$X$106</f>
        <v>5832.6041615667073</v>
      </c>
      <c r="U22" s="47">
        <f>SE!$X$107</f>
        <v>3.1105279246112332</v>
      </c>
      <c r="V22" s="47">
        <f>SE!$X$108</f>
        <v>11078.285310508682</v>
      </c>
      <c r="W22" s="48">
        <f t="shared" si="9"/>
        <v>16914</v>
      </c>
      <c r="Y22" s="47">
        <f>SE!$X$110</f>
        <v>21796</v>
      </c>
      <c r="AA22" s="47">
        <f>SE!$X$111</f>
        <v>2630</v>
      </c>
      <c r="AC22" s="47">
        <f>SE!$X$113</f>
        <v>7299</v>
      </c>
      <c r="AE22" s="47">
        <f>SE!$X$114</f>
        <v>3452</v>
      </c>
      <c r="AG22" s="47">
        <f>SE!$X$116</f>
        <v>258016</v>
      </c>
      <c r="AI22" s="47">
        <f>SE!$X$117</f>
        <v>45580</v>
      </c>
      <c r="AK22" s="47">
        <f t="shared" si="8"/>
        <v>741160</v>
      </c>
      <c r="AM22" t="str">
        <f>IF((AK22=SE!$X$120),"ok","erro")</f>
        <v>ok</v>
      </c>
    </row>
    <row r="23" spans="1:39">
      <c r="A23" s="46" t="s">
        <v>38</v>
      </c>
      <c r="C23" s="48">
        <f>SUM(C24:C27)</f>
        <v>283005.49621302809</v>
      </c>
      <c r="D23" s="48">
        <f t="shared" ref="D23:AC23" si="15">SUM(D24:D27)</f>
        <v>119.18761875617565</v>
      </c>
      <c r="E23" s="48">
        <f t="shared" si="15"/>
        <v>186812.31616821571</v>
      </c>
      <c r="F23" s="48">
        <f t="shared" si="10"/>
        <v>469937</v>
      </c>
      <c r="H23" s="48">
        <f t="shared" si="15"/>
        <v>18354962.503786974</v>
      </c>
      <c r="I23" s="48">
        <f t="shared" si="15"/>
        <v>2630721</v>
      </c>
      <c r="J23" s="48">
        <f t="shared" si="15"/>
        <v>1769984</v>
      </c>
      <c r="K23" s="48">
        <f>SUM(K24:K27)</f>
        <v>7498.9867327517131</v>
      </c>
      <c r="L23" s="48">
        <f t="shared" ref="L23" si="16">SUM(L24:L27)</f>
        <v>7654131.5094802752</v>
      </c>
      <c r="M23" s="48">
        <f t="shared" si="11"/>
        <v>30417298</v>
      </c>
      <c r="O23" s="48">
        <f t="shared" si="15"/>
        <v>768110.88867216953</v>
      </c>
      <c r="P23" s="48">
        <f t="shared" si="15"/>
        <v>847.57984072819818</v>
      </c>
      <c r="Q23" s="48">
        <f t="shared" ref="Q23" si="17">SUM(Q24:Q27)</f>
        <v>2724910.5314871022</v>
      </c>
      <c r="R23" s="48">
        <f t="shared" si="12"/>
        <v>3493869</v>
      </c>
      <c r="T23" s="48">
        <f t="shared" si="15"/>
        <v>419645.11132783047</v>
      </c>
      <c r="U23" s="48">
        <f t="shared" si="15"/>
        <v>497.24580776561197</v>
      </c>
      <c r="V23" s="48">
        <f t="shared" si="15"/>
        <v>1565164.642864404</v>
      </c>
      <c r="W23" s="48">
        <f t="shared" si="15"/>
        <v>1985307</v>
      </c>
      <c r="Y23" s="48">
        <f t="shared" si="15"/>
        <v>1245303</v>
      </c>
      <c r="AA23" s="48">
        <f t="shared" si="15"/>
        <v>287674</v>
      </c>
      <c r="AC23" s="48">
        <f t="shared" si="15"/>
        <v>301828</v>
      </c>
      <c r="AE23" s="48">
        <f>SUM(AE24:AE27)</f>
        <v>218299</v>
      </c>
      <c r="AG23" s="48">
        <f>SUM(AG24:AG27)</f>
        <v>8721782</v>
      </c>
      <c r="AI23" s="48">
        <f>SUM(AI24:AI27)</f>
        <v>1522038</v>
      </c>
      <c r="AK23" s="48">
        <f t="shared" si="8"/>
        <v>48663335</v>
      </c>
    </row>
    <row r="24" spans="1:39">
      <c r="A24" s="45" t="s">
        <v>39</v>
      </c>
      <c r="C24" s="47">
        <f>ES!$U$106</f>
        <v>16198.8588887884</v>
      </c>
      <c r="D24" s="47">
        <f>ES!$U$107</f>
        <v>6.9594851100591768</v>
      </c>
      <c r="E24" s="47">
        <f>ES!$U$108</f>
        <v>4365.181626101541</v>
      </c>
      <c r="F24" s="48">
        <f t="shared" si="10"/>
        <v>20571</v>
      </c>
      <c r="H24" s="47">
        <f>ES!$U$110</f>
        <v>767427.14111121162</v>
      </c>
      <c r="I24" s="47">
        <f>ES!$U$111</f>
        <v>53240</v>
      </c>
      <c r="J24" s="47">
        <f>ES!$U$112</f>
        <v>37288</v>
      </c>
      <c r="K24" s="47">
        <f>ES!$U$113</f>
        <v>329.70827132242266</v>
      </c>
      <c r="L24" s="47">
        <f>ES!$U$114</f>
        <v>116274.15061746596</v>
      </c>
      <c r="M24" s="48">
        <f t="shared" si="11"/>
        <v>974559</v>
      </c>
      <c r="O24" s="47">
        <f>ES!$U$116</f>
        <v>59050.970024563736</v>
      </c>
      <c r="P24" s="47">
        <f>ES!$U$117</f>
        <v>58.844204153807368</v>
      </c>
      <c r="Q24" s="47">
        <f>ES!$U$118</f>
        <v>114823.18577128246</v>
      </c>
      <c r="R24" s="48">
        <f t="shared" si="12"/>
        <v>173933</v>
      </c>
      <c r="T24" s="47">
        <f>ES!$X$106</f>
        <v>20560.02997543626</v>
      </c>
      <c r="U24" s="47">
        <f>ES!$X$107</f>
        <v>20.48803941373626</v>
      </c>
      <c r="V24" s="47">
        <f>ES!$X$108</f>
        <v>39978.481985150007</v>
      </c>
      <c r="W24" s="48">
        <f t="shared" si="9"/>
        <v>60559</v>
      </c>
      <c r="Y24" s="47">
        <f>ES!$X$110</f>
        <v>74505</v>
      </c>
      <c r="AA24" s="47">
        <f>ES!$X$111</f>
        <v>18399</v>
      </c>
      <c r="AC24" s="47">
        <f>ES!$X$113</f>
        <v>14990</v>
      </c>
      <c r="AE24" s="47">
        <f>ES!$X$114</f>
        <v>8427</v>
      </c>
      <c r="AG24" s="47">
        <f>ES!$X$116</f>
        <v>453138</v>
      </c>
      <c r="AI24" s="47">
        <f>ES!$X$117</f>
        <v>110759</v>
      </c>
      <c r="AK24" s="47">
        <f t="shared" si="8"/>
        <v>1909840</v>
      </c>
      <c r="AM24" t="str">
        <f>IF((AK24=ES!$X$120),"ok","erro")</f>
        <v>ok</v>
      </c>
    </row>
    <row r="25" spans="1:39">
      <c r="A25" s="45" t="s">
        <v>40</v>
      </c>
      <c r="C25" s="47">
        <f>MG!$U$106</f>
        <v>57432.129864026028</v>
      </c>
      <c r="D25" s="47">
        <f>MG!$U$107</f>
        <v>11.567503364742151</v>
      </c>
      <c r="E25" s="47">
        <f>MG!$U$108</f>
        <v>22162.302632609229</v>
      </c>
      <c r="F25" s="48">
        <f t="shared" si="10"/>
        <v>79606</v>
      </c>
      <c r="H25" s="47">
        <f>MG!$U$110</f>
        <v>4562990.8701359741</v>
      </c>
      <c r="I25" s="47">
        <f>MG!$U$111</f>
        <v>435582</v>
      </c>
      <c r="J25" s="47">
        <f>MG!$U$112</f>
        <v>36839</v>
      </c>
      <c r="K25" s="47">
        <f>MG!$U$113</f>
        <v>919.03978432528675</v>
      </c>
      <c r="L25" s="47">
        <f>MG!$U$114</f>
        <v>1288377.0900797006</v>
      </c>
      <c r="M25" s="48">
        <f t="shared" si="11"/>
        <v>6324708</v>
      </c>
      <c r="O25" s="47">
        <f>MG!$U$116</f>
        <v>235593.60673669365</v>
      </c>
      <c r="P25" s="47">
        <f>MG!$U$117</f>
        <v>139.38270488404669</v>
      </c>
      <c r="Q25" s="47">
        <f>MG!$U$118</f>
        <v>723480.01055842231</v>
      </c>
      <c r="R25" s="48">
        <f t="shared" si="12"/>
        <v>959213</v>
      </c>
      <c r="T25" s="47">
        <f>MG!$X$106</f>
        <v>86220.393263306367</v>
      </c>
      <c r="U25" s="47">
        <f>MG!$X$107</f>
        <v>51.0100074262009</v>
      </c>
      <c r="V25" s="47">
        <f>MG!$X$108</f>
        <v>264772.59672926745</v>
      </c>
      <c r="W25" s="48">
        <f t="shared" si="9"/>
        <v>351044</v>
      </c>
      <c r="Y25" s="47">
        <f>MG!$X$110</f>
        <v>339525</v>
      </c>
      <c r="AA25" s="47">
        <f>MG!$X$111</f>
        <v>74728</v>
      </c>
      <c r="AC25" s="47">
        <f>MG!$X$113</f>
        <v>79837</v>
      </c>
      <c r="AE25" s="47">
        <f>MG!$X$114</f>
        <v>47701</v>
      </c>
      <c r="AG25" s="47">
        <f>MG!$X$116</f>
        <v>2565506</v>
      </c>
      <c r="AI25" s="47">
        <f>MG!$X$117</f>
        <v>299342</v>
      </c>
      <c r="AK25" s="47">
        <f t="shared" si="8"/>
        <v>11121210</v>
      </c>
      <c r="AM25" t="str">
        <f>IF((AK25=MG!$X$120),"ok","erro")</f>
        <v>ok</v>
      </c>
    </row>
    <row r="26" spans="1:39">
      <c r="A26" s="45" t="s">
        <v>41</v>
      </c>
      <c r="C26" s="47">
        <f>RJ!$U$106</f>
        <v>29470.031104231188</v>
      </c>
      <c r="D26" s="47">
        <f>RJ!$U$107</f>
        <v>12.772816029086243</v>
      </c>
      <c r="E26" s="47">
        <f>RJ!$U$108</f>
        <v>36625.196079739726</v>
      </c>
      <c r="F26" s="48">
        <f t="shared" si="10"/>
        <v>66108</v>
      </c>
      <c r="H26" s="47">
        <f>RJ!$U$110</f>
        <v>2042823.9688957687</v>
      </c>
      <c r="I26" s="47">
        <f>RJ!$U$111</f>
        <v>308196</v>
      </c>
      <c r="J26" s="47">
        <f>RJ!$U$112</f>
        <v>1409951</v>
      </c>
      <c r="K26" s="47">
        <f>RJ!$U$113</f>
        <v>885.3948827618733</v>
      </c>
      <c r="L26" s="47">
        <f>RJ!$U$114</f>
        <v>820663.63622146938</v>
      </c>
      <c r="M26" s="48">
        <f t="shared" si="11"/>
        <v>4582520</v>
      </c>
      <c r="O26" s="47">
        <f>RJ!$U$116</f>
        <v>59540.191075226081</v>
      </c>
      <c r="P26" s="47">
        <f>RJ!$U$117</f>
        <v>68.119173740909901</v>
      </c>
      <c r="Q26" s="47">
        <f>RJ!$U$118</f>
        <v>292954.68975103303</v>
      </c>
      <c r="R26" s="48">
        <f t="shared" si="12"/>
        <v>352563</v>
      </c>
      <c r="T26" s="47">
        <f>RJ!$X$106</f>
        <v>52192.808924773926</v>
      </c>
      <c r="U26" s="47">
        <f>RJ!$X$107</f>
        <v>59.713127468479797</v>
      </c>
      <c r="V26" s="47">
        <f>RJ!$X$108</f>
        <v>256803.47794775758</v>
      </c>
      <c r="W26" s="48">
        <f t="shared" si="9"/>
        <v>309056</v>
      </c>
      <c r="Y26" s="47">
        <f>RJ!$X$110</f>
        <v>145822</v>
      </c>
      <c r="AA26" s="47">
        <f>RJ!$X$111</f>
        <v>17055</v>
      </c>
      <c r="AC26" s="47">
        <f>RJ!$X$113</f>
        <v>44940</v>
      </c>
      <c r="AE26" s="47">
        <f>RJ!$X$114</f>
        <v>39180</v>
      </c>
      <c r="AG26" s="47">
        <f>RJ!$X$116</f>
        <v>972714</v>
      </c>
      <c r="AI26" s="47">
        <f>RJ!$X$117</f>
        <v>174578</v>
      </c>
      <c r="AK26" s="47">
        <f t="shared" si="8"/>
        <v>6704536</v>
      </c>
      <c r="AM26" t="str">
        <f>IF((AK26=RJ!$X$120),"ok","erro")</f>
        <v>ok</v>
      </c>
    </row>
    <row r="27" spans="1:39">
      <c r="A27" s="45" t="s">
        <v>42</v>
      </c>
      <c r="C27" s="47">
        <f>SP!$U$106</f>
        <v>179904.47635598251</v>
      </c>
      <c r="D27" s="47">
        <f>SP!$U$107</f>
        <v>87.887814252288081</v>
      </c>
      <c r="E27" s="47">
        <f>SP!$U$108</f>
        <v>123659.6358297652</v>
      </c>
      <c r="F27" s="48">
        <f t="shared" si="10"/>
        <v>303652</v>
      </c>
      <c r="H27" s="47">
        <f>SP!$U$110</f>
        <v>10981720.523644019</v>
      </c>
      <c r="I27" s="47">
        <f>SP!$U$111</f>
        <v>1833703</v>
      </c>
      <c r="J27" s="47">
        <f>SP!$U$112</f>
        <v>285906</v>
      </c>
      <c r="K27" s="47">
        <f>SP!$U$113</f>
        <v>5364.8437943421304</v>
      </c>
      <c r="L27" s="47">
        <f>SP!$U$114</f>
        <v>5428816.632561639</v>
      </c>
      <c r="M27" s="48">
        <f>SUM(H27:L27)</f>
        <v>18535511</v>
      </c>
      <c r="O27" s="47">
        <f>SP!$U$116</f>
        <v>413926.12083568604</v>
      </c>
      <c r="P27" s="47">
        <f>SP!$U$117</f>
        <v>581.23375794943422</v>
      </c>
      <c r="Q27" s="47">
        <f>SP!$U$118</f>
        <v>1593652.6454063645</v>
      </c>
      <c r="R27" s="48">
        <f t="shared" si="12"/>
        <v>2008160</v>
      </c>
      <c r="T27" s="47">
        <f>SP!$X$106</f>
        <v>260671.87916431393</v>
      </c>
      <c r="U27" s="47">
        <f>SP!$X$107</f>
        <v>366.03463345719501</v>
      </c>
      <c r="V27" s="47">
        <f>SP!$X$108</f>
        <v>1003610.0862022289</v>
      </c>
      <c r="W27" s="48">
        <f t="shared" si="9"/>
        <v>1264648</v>
      </c>
      <c r="Y27" s="47">
        <f>SP!$X$110</f>
        <v>685451</v>
      </c>
      <c r="AA27" s="47">
        <f>SP!$X$111</f>
        <v>177492</v>
      </c>
      <c r="AC27" s="47">
        <f>SP!$X$113</f>
        <v>162061</v>
      </c>
      <c r="AE27" s="47">
        <f>SP!$X$114</f>
        <v>122991</v>
      </c>
      <c r="AG27" s="47">
        <f>SP!$X$116</f>
        <v>4730424</v>
      </c>
      <c r="AI27" s="47">
        <f>SP!$X$117</f>
        <v>937359</v>
      </c>
      <c r="AK27" s="47">
        <f t="shared" si="8"/>
        <v>28927749</v>
      </c>
      <c r="AM27" t="str">
        <f>IF((AK27=SP!$X$120),"ok","erro")</f>
        <v>ok</v>
      </c>
    </row>
    <row r="28" spans="1:39">
      <c r="A28" s="44" t="s">
        <v>43</v>
      </c>
      <c r="C28" s="48">
        <f>SUM(C29:C31)</f>
        <v>120802.79961837715</v>
      </c>
      <c r="D28" s="48">
        <f t="shared" ref="D28:AE28" si="18">SUM(D29:D31)</f>
        <v>47.496323404033319</v>
      </c>
      <c r="E28" s="48">
        <f t="shared" si="18"/>
        <v>81139.70405821882</v>
      </c>
      <c r="F28" s="48">
        <f t="shared" si="10"/>
        <v>201990</v>
      </c>
      <c r="H28" s="48">
        <f t="shared" si="18"/>
        <v>6988141.2003816226</v>
      </c>
      <c r="I28" s="48">
        <f>SUM(I29:I31)</f>
        <v>748074</v>
      </c>
      <c r="J28" s="48">
        <f t="shared" si="18"/>
        <v>222571</v>
      </c>
      <c r="K28" s="48">
        <f t="shared" si="18"/>
        <v>2743.9375238567591</v>
      </c>
      <c r="L28" s="48">
        <f t="shared" si="18"/>
        <v>3907084.8620945206</v>
      </c>
      <c r="M28" s="48">
        <f t="shared" si="11"/>
        <v>11868615</v>
      </c>
      <c r="O28" s="48">
        <f t="shared" si="18"/>
        <v>504491.22054952855</v>
      </c>
      <c r="P28" s="48">
        <f t="shared" si="18"/>
        <v>379.59331919543911</v>
      </c>
      <c r="Q28" s="48">
        <f>SUM(Q29:Q31)</f>
        <v>1128381.186131276</v>
      </c>
      <c r="R28" s="48">
        <f t="shared" si="12"/>
        <v>1633252</v>
      </c>
      <c r="T28" s="48">
        <f t="shared" si="18"/>
        <v>224576.77945047143</v>
      </c>
      <c r="U28" s="48">
        <f t="shared" si="18"/>
        <v>167.97283354317187</v>
      </c>
      <c r="V28" s="48">
        <f t="shared" si="18"/>
        <v>501857.2477159854</v>
      </c>
      <c r="W28" s="48">
        <f>SUM(T28:V28)</f>
        <v>726602</v>
      </c>
      <c r="Y28" s="48">
        <f t="shared" si="18"/>
        <v>664997</v>
      </c>
      <c r="AA28" s="48">
        <f t="shared" si="18"/>
        <v>207572</v>
      </c>
      <c r="AC28" s="48">
        <f t="shared" si="18"/>
        <v>107015</v>
      </c>
      <c r="AE28" s="48">
        <f t="shared" si="18"/>
        <v>57298</v>
      </c>
      <c r="AG28" s="48">
        <f>SUM(AG29:AG31)</f>
        <v>3167375</v>
      </c>
      <c r="AI28" s="48">
        <f>SUM(AI29:AI31)</f>
        <v>777137</v>
      </c>
      <c r="AK28" s="48">
        <f t="shared" si="8"/>
        <v>19411853</v>
      </c>
    </row>
    <row r="29" spans="1:39">
      <c r="A29" s="45" t="s">
        <v>44</v>
      </c>
      <c r="C29" s="47">
        <f>PR!$U$106</f>
        <v>39491.424669702683</v>
      </c>
      <c r="D29" s="47">
        <f>PR!$U$107</f>
        <v>15.901188435047516</v>
      </c>
      <c r="E29" s="47">
        <f>PR!$U$108</f>
        <v>27159.67414186227</v>
      </c>
      <c r="F29" s="48">
        <f t="shared" si="10"/>
        <v>66667</v>
      </c>
      <c r="H29" s="47">
        <f>PR!$U$110</f>
        <v>2665957.575330297</v>
      </c>
      <c r="I29" s="47">
        <f>PR!$U$111</f>
        <v>418759</v>
      </c>
      <c r="J29" s="47">
        <f>PR!$U$112</f>
        <v>40590</v>
      </c>
      <c r="K29" s="47">
        <f>PR!$U$113</f>
        <v>1073.445542158559</v>
      </c>
      <c r="L29" s="47">
        <f>PR!$U$114</f>
        <v>1374125.9791275444</v>
      </c>
      <c r="M29" s="48">
        <f t="shared" si="11"/>
        <v>4500506</v>
      </c>
      <c r="O29" s="47">
        <f>PR!$U$116</f>
        <v>208505.95643167591</v>
      </c>
      <c r="P29" s="47">
        <f>PR!$U$117</f>
        <v>161.43306670174934</v>
      </c>
      <c r="Q29" s="47">
        <f>PR!$U$118</f>
        <v>468153.61050162232</v>
      </c>
      <c r="R29" s="48">
        <f t="shared" si="12"/>
        <v>676821</v>
      </c>
      <c r="T29" s="47">
        <f>PR!$X$106</f>
        <v>77780.043568324079</v>
      </c>
      <c r="U29" s="47">
        <f>PR!$X$107</f>
        <v>60.22020270457142</v>
      </c>
      <c r="V29" s="47">
        <f>PR!$X$108</f>
        <v>174637.73622897133</v>
      </c>
      <c r="W29" s="48">
        <f t="shared" si="9"/>
        <v>252478</v>
      </c>
      <c r="Y29" s="47">
        <f>PR!$X$110</f>
        <v>275740</v>
      </c>
      <c r="AA29" s="47">
        <f>PR!$X$111</f>
        <v>93246</v>
      </c>
      <c r="AC29" s="47">
        <f>PR!$X$113</f>
        <v>44949</v>
      </c>
      <c r="AE29" s="47">
        <f>PR!$X114</f>
        <v>23362</v>
      </c>
      <c r="AG29" s="47">
        <f>PR!$X$116</f>
        <v>1184057</v>
      </c>
      <c r="AI29" s="47">
        <f>PR!$X$117</f>
        <v>303911</v>
      </c>
      <c r="AK29" s="47">
        <f t="shared" si="8"/>
        <v>7421737</v>
      </c>
      <c r="AM29" t="str">
        <f>IF((AK29=PR!$X$120),"ok","erro")</f>
        <v>ok</v>
      </c>
    </row>
    <row r="30" spans="1:39">
      <c r="A30" s="45" t="s">
        <v>45</v>
      </c>
      <c r="C30" s="47">
        <f>RS!$U$106</f>
        <v>35391.924548254043</v>
      </c>
      <c r="D30" s="47">
        <f>RS!$U$107</f>
        <v>13.333667274404434</v>
      </c>
      <c r="E30" s="47">
        <f>RS!$U$108</f>
        <v>31649.741784471553</v>
      </c>
      <c r="F30" s="48">
        <f t="shared" si="10"/>
        <v>67055</v>
      </c>
      <c r="H30" s="47">
        <f>RS!$U$110</f>
        <v>2309985.0754517461</v>
      </c>
      <c r="I30" s="47">
        <f>RS!$U$111</f>
        <v>196571</v>
      </c>
      <c r="J30" s="47">
        <f>RS!$U$112</f>
        <v>78554</v>
      </c>
      <c r="K30" s="47">
        <f>RS!$U$113</f>
        <v>870.27119316160679</v>
      </c>
      <c r="L30" s="47">
        <f>RS!$U$114</f>
        <v>1790612.6533550923</v>
      </c>
      <c r="M30" s="48">
        <f t="shared" si="11"/>
        <v>4376593</v>
      </c>
      <c r="O30" s="47">
        <f>RS!$U$116</f>
        <v>172729.86954470738</v>
      </c>
      <c r="P30" s="47">
        <f>RS!$U$117</f>
        <v>109.14676956599578</v>
      </c>
      <c r="Q30" s="47">
        <f>RS!$U$118</f>
        <v>376059.98368572665</v>
      </c>
      <c r="R30" s="48">
        <f t="shared" si="12"/>
        <v>548899</v>
      </c>
      <c r="T30" s="47">
        <f>RS!$X$106</f>
        <v>87433.13045529263</v>
      </c>
      <c r="U30" s="47">
        <f>RS!$X$107</f>
        <v>55.248369997600093</v>
      </c>
      <c r="V30" s="47">
        <f>RS!$X$108</f>
        <v>190355.62117470975</v>
      </c>
      <c r="W30" s="48">
        <f t="shared" si="9"/>
        <v>277844</v>
      </c>
      <c r="Y30" s="47">
        <f>RS!$X$110</f>
        <v>234063</v>
      </c>
      <c r="AA30" s="47">
        <f>RS!$X$111</f>
        <v>60353</v>
      </c>
      <c r="AC30" s="47">
        <f>RS!$X$113</f>
        <v>41915</v>
      </c>
      <c r="AE30" s="47">
        <f>RS!$X$114</f>
        <v>21571</v>
      </c>
      <c r="AG30" s="47">
        <f>RS!$X$116</f>
        <v>1096779</v>
      </c>
      <c r="AI30" s="47">
        <f>RS!$X$117</f>
        <v>193521</v>
      </c>
      <c r="AK30" s="47">
        <f t="shared" si="8"/>
        <v>6918593</v>
      </c>
      <c r="AM30" t="str">
        <f>IF((AK30=RS!$X$120),"ok","erro")</f>
        <v>ok</v>
      </c>
    </row>
    <row r="31" spans="1:39">
      <c r="A31" s="45" t="s">
        <v>46</v>
      </c>
      <c r="C31" s="47">
        <f>SC!$U$106</f>
        <v>45919.450400420421</v>
      </c>
      <c r="D31" s="47">
        <f>SC!$U$107</f>
        <v>18.26146769458137</v>
      </c>
      <c r="E31" s="47">
        <f>SC!$U$108</f>
        <v>22330.288131884998</v>
      </c>
      <c r="F31" s="48">
        <f>SUM(C31:E31)</f>
        <v>68268</v>
      </c>
      <c r="H31" s="47">
        <f>SC!$U$110</f>
        <v>2012198.5495995795</v>
      </c>
      <c r="I31" s="47">
        <f>SC!$U$111</f>
        <v>132744</v>
      </c>
      <c r="J31" s="47">
        <f>SC!$U$112</f>
        <v>103427</v>
      </c>
      <c r="K31" s="47">
        <f>SC!$U$113</f>
        <v>800.22078853659332</v>
      </c>
      <c r="L31" s="47">
        <f>SC!$U$114</f>
        <v>742346.22961188387</v>
      </c>
      <c r="M31" s="48">
        <f>SUM(H31:L31)</f>
        <v>2991516</v>
      </c>
      <c r="O31" s="47">
        <f>SC!$U$116</f>
        <v>123255.39457314527</v>
      </c>
      <c r="P31" s="47">
        <f>SC!$U$117</f>
        <v>109.01348292769399</v>
      </c>
      <c r="Q31" s="47">
        <f>SC!$U$118</f>
        <v>284167.59194392705</v>
      </c>
      <c r="R31" s="48">
        <f>SUM(O31:Q31)</f>
        <v>407532</v>
      </c>
      <c r="T31" s="47">
        <f>SC!$X$106</f>
        <v>59363.605426854709</v>
      </c>
      <c r="U31" s="47">
        <f>SC!$X$107</f>
        <v>52.50426084100036</v>
      </c>
      <c r="V31" s="47">
        <f>SC!$X$108</f>
        <v>136863.89031230428</v>
      </c>
      <c r="W31" s="48">
        <f>SUM(T31:V31)</f>
        <v>196280</v>
      </c>
      <c r="Y31" s="47">
        <f>SC!$X$110</f>
        <v>155194</v>
      </c>
      <c r="AA31" s="47">
        <f>SC!$X$111</f>
        <v>53973</v>
      </c>
      <c r="AC31" s="47">
        <f>SC!$X$113</f>
        <v>20151</v>
      </c>
      <c r="AE31" s="47">
        <f>SC!$X$114</f>
        <v>12365</v>
      </c>
      <c r="AG31" s="47">
        <f>SC!$X$116</f>
        <v>886539</v>
      </c>
      <c r="AI31" s="47">
        <f>SC!$X$117</f>
        <v>279705</v>
      </c>
      <c r="AK31" s="47">
        <f t="shared" si="8"/>
        <v>5071523</v>
      </c>
      <c r="AM31" t="str">
        <f>IF((AK31=SC!$X$120),"ok","erro")</f>
        <v>ok</v>
      </c>
    </row>
    <row r="32" spans="1:39">
      <c r="A32" s="44" t="s">
        <v>47</v>
      </c>
      <c r="C32" s="48">
        <f>SUM(C33:C36)</f>
        <v>71323.330034710583</v>
      </c>
      <c r="D32" s="48">
        <f t="shared" ref="D32:AI32" si="19">SUM(D33:D36)</f>
        <v>26.589891238452765</v>
      </c>
      <c r="E32" s="48">
        <f t="shared" si="19"/>
        <v>17586.080074050959</v>
      </c>
      <c r="F32" s="48">
        <f t="shared" si="10"/>
        <v>88936</v>
      </c>
      <c r="H32" s="48">
        <f t="shared" si="19"/>
        <v>3682440.2953716828</v>
      </c>
      <c r="I32" s="48">
        <f t="shared" si="19"/>
        <v>320071</v>
      </c>
      <c r="J32" s="48">
        <f t="shared" si="19"/>
        <v>12808</v>
      </c>
      <c r="K32" s="48">
        <f>SUM(K33:K36)</f>
        <v>1282.3340199433733</v>
      </c>
      <c r="L32" s="48">
        <f t="shared" ref="L32" si="20">SUM(L33:L36)</f>
        <v>663530.37060837355</v>
      </c>
      <c r="M32" s="48">
        <f t="shared" si="11"/>
        <v>4680132</v>
      </c>
      <c r="O32" s="48">
        <f t="shared" si="19"/>
        <v>327533.61049590039</v>
      </c>
      <c r="P32" s="48">
        <f t="shared" si="19"/>
        <v>223.28298621288559</v>
      </c>
      <c r="Q32" s="48">
        <f t="shared" ref="Q32" si="21">SUM(Q33:Q36)</f>
        <v>563884.10651788674</v>
      </c>
      <c r="R32" s="48">
        <f t="shared" si="12"/>
        <v>891641</v>
      </c>
      <c r="T32" s="48">
        <f t="shared" si="19"/>
        <v>98334.389504099614</v>
      </c>
      <c r="U32" s="48">
        <f t="shared" si="19"/>
        <v>80.79310260546481</v>
      </c>
      <c r="V32" s="48">
        <f t="shared" si="19"/>
        <v>182085.81739329491</v>
      </c>
      <c r="W32" s="48">
        <f t="shared" si="9"/>
        <v>280501</v>
      </c>
      <c r="Y32" s="48">
        <f t="shared" si="19"/>
        <v>267448</v>
      </c>
      <c r="AA32" s="48">
        <f t="shared" si="19"/>
        <v>89224</v>
      </c>
      <c r="AC32" s="48">
        <f t="shared" si="19"/>
        <v>58473</v>
      </c>
      <c r="AE32" s="48">
        <f>SUM(AE33:AE36)</f>
        <v>24085</v>
      </c>
      <c r="AG32" s="48">
        <f>SUM(AG33:AG36)</f>
        <v>2096607</v>
      </c>
      <c r="AI32" s="48">
        <f t="shared" si="19"/>
        <v>654683</v>
      </c>
      <c r="AK32" s="48">
        <f t="shared" si="8"/>
        <v>9131730</v>
      </c>
    </row>
    <row r="33" spans="1:39">
      <c r="A33" s="45" t="s">
        <v>48</v>
      </c>
      <c r="C33" s="47">
        <f>DF!$U$106</f>
        <v>21761.787826040127</v>
      </c>
      <c r="D33" s="47">
        <f>DF!$U$107</f>
        <v>14.243003584113467</v>
      </c>
      <c r="E33" s="47">
        <f>DF!$U$108</f>
        <v>8081.9691703757599</v>
      </c>
      <c r="F33" s="48">
        <f t="shared" si="10"/>
        <v>29858</v>
      </c>
      <c r="H33" s="47">
        <f>DF!$U$110</f>
        <v>952582.21217395994</v>
      </c>
      <c r="I33" s="47">
        <f>DF!$U$111</f>
        <v>57905</v>
      </c>
      <c r="J33" s="47">
        <f>DF!$U$112</f>
        <v>1636</v>
      </c>
      <c r="K33" s="47">
        <f>DF!$U$113</f>
        <v>623.46126938727684</v>
      </c>
      <c r="L33" s="47">
        <f>DF!$U$114</f>
        <v>294232.32655665278</v>
      </c>
      <c r="M33" s="48">
        <f t="shared" si="11"/>
        <v>1306979</v>
      </c>
      <c r="O33" s="47">
        <f>DF!$U$116</f>
        <v>38772.691842223212</v>
      </c>
      <c r="P33" s="47">
        <f>DF!$U$117</f>
        <v>61.541433967111516</v>
      </c>
      <c r="Q33" s="47">
        <f>DF!$U$118</f>
        <v>90176.766723809676</v>
      </c>
      <c r="R33" s="48">
        <f t="shared" si="12"/>
        <v>129011</v>
      </c>
      <c r="T33" s="47">
        <f>DF!$X$106</f>
        <v>26936.308157776781</v>
      </c>
      <c r="U33" s="47">
        <f>DF!$X$107</f>
        <v>42.754293061603676</v>
      </c>
      <c r="V33" s="47">
        <f>DF!$X$108</f>
        <v>62647.937549161616</v>
      </c>
      <c r="W33" s="48">
        <f t="shared" si="9"/>
        <v>89627</v>
      </c>
      <c r="Y33" s="47">
        <f>DF!$X$110</f>
        <v>24329</v>
      </c>
      <c r="AA33" s="47">
        <f>DF!$X$111</f>
        <v>3507</v>
      </c>
      <c r="AC33" s="47">
        <f>DF!$X$113</f>
        <v>12847</v>
      </c>
      <c r="AE33" s="47">
        <f>DF!$X$114</f>
        <v>6041</v>
      </c>
      <c r="AG33" s="47">
        <f>DF!$X$116</f>
        <v>194584</v>
      </c>
      <c r="AI33" s="47">
        <f>DF!$X$117</f>
        <v>20403</v>
      </c>
      <c r="AK33" s="47">
        <f t="shared" si="8"/>
        <v>1817186</v>
      </c>
      <c r="AM33" t="str">
        <f>IF((AK33=DF!$X$120),"ok","erro")</f>
        <v>ok</v>
      </c>
    </row>
    <row r="34" spans="1:39">
      <c r="A34" s="45" t="s">
        <v>49</v>
      </c>
      <c r="C34" s="47">
        <f>GO!$U$106</f>
        <v>21806.735840950681</v>
      </c>
      <c r="D34" s="47">
        <f>GO!$U$107</f>
        <v>4.084705335983017</v>
      </c>
      <c r="E34" s="47">
        <f>GO!$U$108</f>
        <v>6416.1794537133355</v>
      </c>
      <c r="F34" s="48">
        <f t="shared" si="10"/>
        <v>28227</v>
      </c>
      <c r="H34" s="47">
        <f>GO!$U$110</f>
        <v>1452750.2641590494</v>
      </c>
      <c r="I34" s="47">
        <f>GO!$U$111</f>
        <v>159643</v>
      </c>
      <c r="J34" s="47">
        <f>GO!$U$112</f>
        <v>4650</v>
      </c>
      <c r="K34" s="47">
        <f>GO!$U$113</f>
        <v>272.12035763356835</v>
      </c>
      <c r="L34" s="47">
        <f>GO!$U$114</f>
        <v>263148.61548331706</v>
      </c>
      <c r="M34" s="48">
        <f t="shared" si="11"/>
        <v>1880464</v>
      </c>
      <c r="O34" s="47">
        <f>GO!$U$116</f>
        <v>125161.4972710255</v>
      </c>
      <c r="P34" s="47">
        <f>GO!$U$117</f>
        <v>52.925058325345162</v>
      </c>
      <c r="Q34" s="47">
        <f>GO!$U$118</f>
        <v>240519.57767064916</v>
      </c>
      <c r="R34" s="48">
        <f t="shared" si="12"/>
        <v>365734</v>
      </c>
      <c r="T34" s="47">
        <f>GO!$X$106</f>
        <v>35165.502728974512</v>
      </c>
      <c r="U34" s="47">
        <f>GO!$X$107</f>
        <v>14.869878705125302</v>
      </c>
      <c r="V34" s="47">
        <f>GO!$X$108</f>
        <v>67576.62739232037</v>
      </c>
      <c r="W34" s="48">
        <f t="shared" si="9"/>
        <v>102757</v>
      </c>
      <c r="Y34" s="47">
        <f>GO!$X$110</f>
        <v>113855</v>
      </c>
      <c r="AA34" s="47">
        <f>GO!$X$111</f>
        <v>31580</v>
      </c>
      <c r="AC34" s="47">
        <f>GO!$X$113</f>
        <v>23488</v>
      </c>
      <c r="AE34" s="47">
        <f>GO!$X$114</f>
        <v>10185</v>
      </c>
      <c r="AG34" s="47">
        <f>GO!$X$116</f>
        <v>890070</v>
      </c>
      <c r="AI34" s="47">
        <f>GO!$X$117</f>
        <v>284662</v>
      </c>
      <c r="AK34" s="47">
        <f t="shared" si="8"/>
        <v>3731022</v>
      </c>
      <c r="AM34" t="str">
        <f>IF((AK34=GO!$X$120),"ok","erro")</f>
        <v>ok</v>
      </c>
    </row>
    <row r="35" spans="1:39">
      <c r="A35" s="45" t="s">
        <v>50</v>
      </c>
      <c r="C35" s="47">
        <f>MT!$U$106</f>
        <v>16860.113327394105</v>
      </c>
      <c r="D35" s="47">
        <f>MT!$U$107</f>
        <v>5.8866726058950007</v>
      </c>
      <c r="E35" s="47">
        <f>MT!$U$108</f>
        <v>0</v>
      </c>
      <c r="F35" s="48">
        <f t="shared" si="10"/>
        <v>16866</v>
      </c>
      <c r="H35" s="47">
        <f>MT!$U$110</f>
        <v>693440.51207899943</v>
      </c>
      <c r="I35" s="47">
        <f>MT!$U$111</f>
        <v>48431</v>
      </c>
      <c r="J35" s="47">
        <f>MT!$U$112</f>
        <v>1332</v>
      </c>
      <c r="K35" s="47">
        <f>MT!$U$113</f>
        <v>259.48792100057472</v>
      </c>
      <c r="L35" s="47">
        <f>MT!$U$114</f>
        <v>0</v>
      </c>
      <c r="M35" s="48">
        <f t="shared" si="11"/>
        <v>743463</v>
      </c>
      <c r="O35" s="47">
        <f>MT!$U$116</f>
        <v>96800.617808649666</v>
      </c>
      <c r="P35" s="47">
        <f>MT!$U$117</f>
        <v>80.648740999575239</v>
      </c>
      <c r="Q35" s="47">
        <f>MT!$U$118</f>
        <v>134186.73345035076</v>
      </c>
      <c r="R35" s="48">
        <f t="shared" si="12"/>
        <v>231068</v>
      </c>
      <c r="T35" s="47">
        <f>MT!$X$106</f>
        <v>19176.382191350334</v>
      </c>
      <c r="U35" s="47">
        <f>MT!$X$107</f>
        <v>15.976665393973235</v>
      </c>
      <c r="V35" s="47">
        <f>MT!$X$108</f>
        <v>26582.641143255692</v>
      </c>
      <c r="W35" s="48">
        <f t="shared" si="9"/>
        <v>45775</v>
      </c>
      <c r="Y35" s="47">
        <f>MT!$X$110</f>
        <v>75047</v>
      </c>
      <c r="AA35" s="47">
        <f>MT!$X$111</f>
        <v>36038</v>
      </c>
      <c r="AC35" s="47">
        <f>MT!$X$113</f>
        <v>12291</v>
      </c>
      <c r="AE35" s="47">
        <f>MT!$X$114</f>
        <v>3780</v>
      </c>
      <c r="AG35" s="47">
        <f>MT!$X$116</f>
        <v>635742</v>
      </c>
      <c r="AI35" s="47">
        <f>MT!$X$117</f>
        <v>236064</v>
      </c>
      <c r="AK35" s="47">
        <f t="shared" si="8"/>
        <v>2036134</v>
      </c>
      <c r="AM35" t="str">
        <f>IF((AK35=MT!$X$120),"ok","erro")</f>
        <v>ok</v>
      </c>
    </row>
    <row r="36" spans="1:39">
      <c r="A36" s="45" t="s">
        <v>51</v>
      </c>
      <c r="C36" s="47">
        <f>MS!$U$106</f>
        <v>10894.693040325677</v>
      </c>
      <c r="D36" s="47">
        <f>MS!$U$107</f>
        <v>2.3755097124612803</v>
      </c>
      <c r="E36" s="47">
        <f>MS!$U$108</f>
        <v>3087.9314499618613</v>
      </c>
      <c r="F36" s="48">
        <f t="shared" si="10"/>
        <v>13985</v>
      </c>
      <c r="H36" s="47">
        <f>MS!$U$110</f>
        <v>583667.30695967434</v>
      </c>
      <c r="I36" s="47">
        <f>MS!$U$111</f>
        <v>54092</v>
      </c>
      <c r="J36" s="47">
        <f>MS!$U$112</f>
        <v>5190</v>
      </c>
      <c r="K36" s="47">
        <f>MS!$U$113</f>
        <v>127.26447192195337</v>
      </c>
      <c r="L36" s="47">
        <f>MS!$U$114</f>
        <v>106149.4285684037</v>
      </c>
      <c r="M36" s="48">
        <f t="shared" si="11"/>
        <v>749226</v>
      </c>
      <c r="O36" s="47">
        <f>MS!$U$116</f>
        <v>66798.803574002013</v>
      </c>
      <c r="P36" s="47">
        <f>MS!$U$117</f>
        <v>28.167752920853673</v>
      </c>
      <c r="Q36" s="47">
        <f>MS!$U$118</f>
        <v>99001.028673077133</v>
      </c>
      <c r="R36" s="48">
        <f t="shared" si="12"/>
        <v>165828</v>
      </c>
      <c r="T36" s="47">
        <f>MS!$X$106</f>
        <v>17056.196425997983</v>
      </c>
      <c r="U36" s="47">
        <f>MS!$X$107</f>
        <v>7.1922654447625973</v>
      </c>
      <c r="V36" s="47">
        <f>MS!$X$108</f>
        <v>25278.611308557254</v>
      </c>
      <c r="W36" s="48">
        <f t="shared" si="9"/>
        <v>42342</v>
      </c>
      <c r="Y36" s="47">
        <f>MS!$X$110</f>
        <v>54217</v>
      </c>
      <c r="AA36" s="47">
        <f>MS!$X$111</f>
        <v>18099</v>
      </c>
      <c r="AC36" s="47">
        <f>MS!$X$113</f>
        <v>9847</v>
      </c>
      <c r="AE36" s="47">
        <f>MS!$X$114</f>
        <v>4079</v>
      </c>
      <c r="AG36" s="47">
        <f>MS!$X$116</f>
        <v>376211</v>
      </c>
      <c r="AI36" s="47">
        <f>MS!$X$117</f>
        <v>113554</v>
      </c>
      <c r="AK36" s="47">
        <f t="shared" si="8"/>
        <v>1547388</v>
      </c>
      <c r="AM36" t="str">
        <f>IF((AK36=MS!$X$120),"ok","erro")</f>
        <v>ok</v>
      </c>
    </row>
    <row r="37" spans="1:39" ht="14.25" customHeight="1"/>
  </sheetData>
  <mergeCells count="6">
    <mergeCell ref="AK2:AK3"/>
    <mergeCell ref="A2:A3"/>
    <mergeCell ref="C2:F2"/>
    <mergeCell ref="H2:M2"/>
    <mergeCell ref="O2:R2"/>
    <mergeCell ref="T2:W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8CBAD"/>
  </sheetPr>
  <dimension ref="A1:BJ166"/>
  <sheetViews>
    <sheetView showGridLines="0" zoomScale="90" zoomScaleNormal="90" workbookViewId="0">
      <pane xSplit="1" topLeftCell="O1" activePane="topRight" state="frozen"/>
      <selection pane="topRight" activeCell="A19" sqref="A1:A1048576"/>
      <selection activeCell="A10" sqref="A10"/>
    </sheetView>
  </sheetViews>
  <sheetFormatPr defaultColWidth="10.85546875" defaultRowHeight="15.75"/>
  <cols>
    <col min="1" max="1" width="35.42578125" style="5" customWidth="1"/>
    <col min="2" max="2" width="11.42578125" bestFit="1" customWidth="1"/>
    <col min="11" max="11" width="13.5703125" customWidth="1"/>
    <col min="12" max="12" width="15.7109375" customWidth="1"/>
    <col min="13" max="13" width="19.42578125" customWidth="1"/>
    <col min="14" max="14" width="13.7109375" customWidth="1"/>
    <col min="26" max="26" width="12.42578125" bestFit="1" customWidth="1"/>
    <col min="28" max="28" width="12.140625" customWidth="1"/>
    <col min="30" max="30" width="13.28515625" style="5" bestFit="1" customWidth="1"/>
  </cols>
  <sheetData>
    <row r="1" spans="1:30">
      <c r="A1" s="84">
        <v>2023</v>
      </c>
    </row>
    <row r="2" spans="1:30" ht="15.75" customHeight="1">
      <c r="A2" s="96" t="s">
        <v>52</v>
      </c>
    </row>
    <row r="3" spans="1:30">
      <c r="A3" s="97"/>
      <c r="B3" s="6" t="s">
        <v>53</v>
      </c>
      <c r="C3" s="6" t="s">
        <v>54</v>
      </c>
      <c r="D3" s="6" t="s">
        <v>55</v>
      </c>
      <c r="E3" s="6" t="s">
        <v>56</v>
      </c>
      <c r="F3" s="6" t="s">
        <v>57</v>
      </c>
      <c r="G3" s="6" t="s">
        <v>58</v>
      </c>
      <c r="H3" s="6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  <c r="T3" s="6" t="s">
        <v>71</v>
      </c>
      <c r="U3" s="6" t="s">
        <v>72</v>
      </c>
      <c r="V3" s="6" t="s">
        <v>73</v>
      </c>
      <c r="W3" s="6" t="s">
        <v>74</v>
      </c>
      <c r="X3" s="6" t="s">
        <v>75</v>
      </c>
      <c r="Y3" s="6" t="s">
        <v>76</v>
      </c>
      <c r="Z3" s="6" t="s">
        <v>77</v>
      </c>
      <c r="AA3" s="6" t="s">
        <v>78</v>
      </c>
      <c r="AB3" s="6" t="s">
        <v>79</v>
      </c>
      <c r="AD3" s="32" t="s">
        <v>80</v>
      </c>
    </row>
    <row r="4" spans="1:30" ht="15">
      <c r="A4" s="58" t="s">
        <v>81</v>
      </c>
      <c r="B4" s="31">
        <v>0</v>
      </c>
      <c r="C4" s="31">
        <v>0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0</v>
      </c>
      <c r="S4" s="31">
        <v>0</v>
      </c>
      <c r="T4" s="31">
        <v>0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0</v>
      </c>
      <c r="AA4" s="31">
        <v>0</v>
      </c>
      <c r="AB4" s="31">
        <v>0</v>
      </c>
      <c r="AD4" s="52">
        <f t="shared" ref="AD4:AD22" si="0">SUM(B4:AB4)</f>
        <v>0</v>
      </c>
    </row>
    <row r="5" spans="1:30" ht="15">
      <c r="A5" s="58" t="s">
        <v>82</v>
      </c>
      <c r="B5" s="31">
        <v>0</v>
      </c>
      <c r="C5" s="31">
        <v>0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18"/>
      <c r="AD5" s="52">
        <f t="shared" si="0"/>
        <v>0</v>
      </c>
    </row>
    <row r="6" spans="1:30" ht="15">
      <c r="A6" s="58" t="s">
        <v>83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18"/>
      <c r="AD6" s="52">
        <f t="shared" si="0"/>
        <v>0</v>
      </c>
    </row>
    <row r="7" spans="1:30" ht="15">
      <c r="A7" s="58" t="s">
        <v>84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18"/>
      <c r="AD7" s="52">
        <f t="shared" si="0"/>
        <v>0</v>
      </c>
    </row>
    <row r="8" spans="1:30" ht="15">
      <c r="A8" s="58" t="s">
        <v>85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18"/>
      <c r="AD8" s="52">
        <f t="shared" si="0"/>
        <v>0</v>
      </c>
    </row>
    <row r="9" spans="1:30" ht="15">
      <c r="A9" s="58" t="s">
        <v>86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18"/>
      <c r="AD9" s="52">
        <f t="shared" si="0"/>
        <v>0</v>
      </c>
    </row>
    <row r="10" spans="1:30" ht="15">
      <c r="A10" s="58" t="s">
        <v>87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18"/>
      <c r="AD10" s="52">
        <f t="shared" si="0"/>
        <v>0</v>
      </c>
    </row>
    <row r="11" spans="1:30" ht="15">
      <c r="A11" s="58" t="s">
        <v>88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18"/>
      <c r="AD11" s="52">
        <f t="shared" si="0"/>
        <v>0</v>
      </c>
    </row>
    <row r="12" spans="1:30" ht="15">
      <c r="A12" s="58" t="s">
        <v>89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31">
        <v>0</v>
      </c>
      <c r="AC12" s="18"/>
      <c r="AD12" s="52">
        <f t="shared" si="0"/>
        <v>0</v>
      </c>
    </row>
    <row r="13" spans="1:30" ht="15">
      <c r="A13" s="58" t="s">
        <v>90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18"/>
      <c r="AD13" s="52">
        <f t="shared" si="0"/>
        <v>0</v>
      </c>
    </row>
    <row r="14" spans="1:30" ht="15">
      <c r="A14" s="58" t="s">
        <v>91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18"/>
      <c r="AD14" s="52">
        <f t="shared" si="0"/>
        <v>0</v>
      </c>
    </row>
    <row r="15" spans="1:30" ht="15">
      <c r="A15" s="58" t="s">
        <v>92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18"/>
      <c r="AD15" s="52">
        <f t="shared" si="0"/>
        <v>0</v>
      </c>
    </row>
    <row r="16" spans="1:30" ht="15">
      <c r="A16" s="58" t="s">
        <v>93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18"/>
      <c r="AD16" s="52">
        <f t="shared" si="0"/>
        <v>0</v>
      </c>
    </row>
    <row r="17" spans="1:61" ht="15">
      <c r="A17" s="58" t="s">
        <v>94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18"/>
      <c r="AD17" s="52">
        <f t="shared" si="0"/>
        <v>0</v>
      </c>
    </row>
    <row r="18" spans="1:61" ht="15">
      <c r="A18" s="58" t="s">
        <v>95</v>
      </c>
      <c r="B18" s="31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18"/>
      <c r="AD18" s="52">
        <f t="shared" si="0"/>
        <v>0</v>
      </c>
    </row>
    <row r="19" spans="1:61" ht="15">
      <c r="A19" s="58" t="s">
        <v>96</v>
      </c>
      <c r="B19" s="31">
        <v>0</v>
      </c>
      <c r="C19" s="31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18"/>
      <c r="AD19" s="52">
        <f t="shared" si="0"/>
        <v>0</v>
      </c>
    </row>
    <row r="20" spans="1:61" ht="15">
      <c r="A20" s="58" t="s">
        <v>97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18"/>
      <c r="AD20" s="52">
        <f t="shared" si="0"/>
        <v>0</v>
      </c>
    </row>
    <row r="21" spans="1:61" ht="15">
      <c r="A21" s="58" t="s">
        <v>98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</v>
      </c>
      <c r="AC21" s="18"/>
      <c r="AD21" s="52">
        <f t="shared" si="0"/>
        <v>0</v>
      </c>
    </row>
    <row r="22" spans="1:61">
      <c r="A22" s="7"/>
      <c r="B22" s="18"/>
      <c r="C22" s="18"/>
      <c r="AC22" s="18"/>
      <c r="AD22" s="51">
        <f t="shared" si="0"/>
        <v>0</v>
      </c>
    </row>
    <row r="23" spans="1:61">
      <c r="A23" s="1" t="s">
        <v>99</v>
      </c>
      <c r="B23" s="55">
        <f>SUM(B4:B22)</f>
        <v>0</v>
      </c>
      <c r="C23" s="55">
        <f>SUM(C4:C21)</f>
        <v>0</v>
      </c>
      <c r="D23" s="55">
        <f t="shared" ref="D23:AB23" si="1">SUM(D4:D21)</f>
        <v>0</v>
      </c>
      <c r="E23" s="55">
        <f t="shared" si="1"/>
        <v>0</v>
      </c>
      <c r="F23" s="55">
        <f t="shared" si="1"/>
        <v>0</v>
      </c>
      <c r="G23" s="55">
        <f t="shared" si="1"/>
        <v>0</v>
      </c>
      <c r="H23" s="55">
        <f t="shared" si="1"/>
        <v>0</v>
      </c>
      <c r="I23" s="55">
        <f t="shared" si="1"/>
        <v>0</v>
      </c>
      <c r="J23" s="55">
        <f t="shared" si="1"/>
        <v>0</v>
      </c>
      <c r="K23" s="55">
        <f t="shared" si="1"/>
        <v>0</v>
      </c>
      <c r="L23" s="55">
        <f t="shared" si="1"/>
        <v>0</v>
      </c>
      <c r="M23" s="55">
        <f t="shared" si="1"/>
        <v>0</v>
      </c>
      <c r="N23" s="55">
        <f t="shared" si="1"/>
        <v>0</v>
      </c>
      <c r="O23" s="55">
        <f t="shared" si="1"/>
        <v>0</v>
      </c>
      <c r="P23" s="55">
        <f t="shared" si="1"/>
        <v>0</v>
      </c>
      <c r="Q23" s="55">
        <f t="shared" si="1"/>
        <v>0</v>
      </c>
      <c r="R23" s="55">
        <f t="shared" si="1"/>
        <v>0</v>
      </c>
      <c r="S23" s="55">
        <f t="shared" si="1"/>
        <v>0</v>
      </c>
      <c r="T23" s="55">
        <f t="shared" si="1"/>
        <v>0</v>
      </c>
      <c r="U23" s="55">
        <f t="shared" si="1"/>
        <v>0</v>
      </c>
      <c r="V23" s="55">
        <f t="shared" si="1"/>
        <v>0</v>
      </c>
      <c r="W23" s="55">
        <f t="shared" si="1"/>
        <v>0</v>
      </c>
      <c r="X23" s="55">
        <f t="shared" si="1"/>
        <v>0</v>
      </c>
      <c r="Y23" s="55">
        <f t="shared" si="1"/>
        <v>0</v>
      </c>
      <c r="Z23" s="55">
        <f t="shared" si="1"/>
        <v>0</v>
      </c>
      <c r="AA23" s="55">
        <f t="shared" si="1"/>
        <v>0</v>
      </c>
      <c r="AB23" s="55">
        <f t="shared" si="1"/>
        <v>0</v>
      </c>
      <c r="AC23" s="8"/>
      <c r="AD23" s="52">
        <f>SUM(AD4:AD22)</f>
        <v>0</v>
      </c>
    </row>
    <row r="24" spans="1:6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61">
      <c r="A25" s="98" t="s">
        <v>100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61" s="5" customFormat="1">
      <c r="A26" s="99"/>
      <c r="B26" s="6" t="s">
        <v>53</v>
      </c>
      <c r="C26" s="6" t="s">
        <v>54</v>
      </c>
      <c r="D26" s="6" t="s">
        <v>55</v>
      </c>
      <c r="E26" s="6" t="s">
        <v>56</v>
      </c>
      <c r="F26" s="6" t="s">
        <v>57</v>
      </c>
      <c r="G26" s="6" t="s">
        <v>58</v>
      </c>
      <c r="H26" s="6" t="s">
        <v>59</v>
      </c>
      <c r="I26" s="6" t="s">
        <v>60</v>
      </c>
      <c r="J26" s="6" t="s">
        <v>61</v>
      </c>
      <c r="K26" s="6" t="s">
        <v>62</v>
      </c>
      <c r="L26" s="6" t="s">
        <v>63</v>
      </c>
      <c r="M26" s="6" t="s">
        <v>64</v>
      </c>
      <c r="N26" s="6" t="s">
        <v>65</v>
      </c>
      <c r="O26" s="6" t="s">
        <v>66</v>
      </c>
      <c r="P26" s="6" t="s">
        <v>67</v>
      </c>
      <c r="Q26" s="6" t="s">
        <v>68</v>
      </c>
      <c r="R26" s="6" t="s">
        <v>69</v>
      </c>
      <c r="S26" s="6" t="s">
        <v>70</v>
      </c>
      <c r="T26" s="6" t="s">
        <v>71</v>
      </c>
      <c r="U26" s="6" t="s">
        <v>72</v>
      </c>
      <c r="V26" s="6" t="s">
        <v>73</v>
      </c>
      <c r="W26" s="6" t="s">
        <v>74</v>
      </c>
      <c r="X26" s="6" t="s">
        <v>75</v>
      </c>
      <c r="Y26" s="6" t="s">
        <v>76</v>
      </c>
      <c r="Z26" s="6" t="s">
        <v>77</v>
      </c>
      <c r="AA26" s="6" t="s">
        <v>78</v>
      </c>
      <c r="AB26" s="6" t="s">
        <v>79</v>
      </c>
      <c r="AD26" s="6" t="s">
        <v>101</v>
      </c>
    </row>
    <row r="27" spans="1:61">
      <c r="A27" s="59" t="s">
        <v>81</v>
      </c>
      <c r="B27" s="50">
        <f>B4+B5</f>
        <v>0</v>
      </c>
      <c r="C27" s="50">
        <f t="shared" ref="C27:AB27" si="2">C4+C5</f>
        <v>0</v>
      </c>
      <c r="D27" s="50">
        <f t="shared" si="2"/>
        <v>0</v>
      </c>
      <c r="E27" s="50">
        <f t="shared" si="2"/>
        <v>0</v>
      </c>
      <c r="F27" s="50">
        <f t="shared" si="2"/>
        <v>0</v>
      </c>
      <c r="G27" s="50">
        <f t="shared" si="2"/>
        <v>0</v>
      </c>
      <c r="H27" s="50">
        <f t="shared" si="2"/>
        <v>0</v>
      </c>
      <c r="I27" s="50">
        <f t="shared" si="2"/>
        <v>0</v>
      </c>
      <c r="J27" s="50">
        <f t="shared" si="2"/>
        <v>0</v>
      </c>
      <c r="K27" s="50">
        <f t="shared" si="2"/>
        <v>0</v>
      </c>
      <c r="L27" s="50">
        <f t="shared" si="2"/>
        <v>0</v>
      </c>
      <c r="M27" s="50">
        <f t="shared" si="2"/>
        <v>0</v>
      </c>
      <c r="N27" s="50">
        <f t="shared" si="2"/>
        <v>0</v>
      </c>
      <c r="O27" s="50">
        <f t="shared" si="2"/>
        <v>0</v>
      </c>
      <c r="P27" s="50">
        <f t="shared" si="2"/>
        <v>0</v>
      </c>
      <c r="Q27" s="50">
        <f t="shared" si="2"/>
        <v>0</v>
      </c>
      <c r="R27" s="50">
        <f t="shared" si="2"/>
        <v>0</v>
      </c>
      <c r="S27" s="50">
        <f t="shared" si="2"/>
        <v>0</v>
      </c>
      <c r="T27" s="50">
        <f t="shared" si="2"/>
        <v>0</v>
      </c>
      <c r="U27" s="50">
        <f t="shared" si="2"/>
        <v>0</v>
      </c>
      <c r="V27" s="50">
        <f t="shared" si="2"/>
        <v>0</v>
      </c>
      <c r="W27" s="50">
        <f t="shared" si="2"/>
        <v>0</v>
      </c>
      <c r="X27" s="50">
        <f t="shared" si="2"/>
        <v>0</v>
      </c>
      <c r="Y27" s="50">
        <f t="shared" si="2"/>
        <v>0</v>
      </c>
      <c r="Z27" s="50">
        <f t="shared" si="2"/>
        <v>0</v>
      </c>
      <c r="AA27" s="50">
        <f t="shared" si="2"/>
        <v>0</v>
      </c>
      <c r="AB27" s="50">
        <f t="shared" si="2"/>
        <v>0</v>
      </c>
      <c r="AC27" s="51"/>
      <c r="AD27" s="52">
        <f t="shared" ref="AD27:AD32" si="3">SUM(B27:AB27)</f>
        <v>0</v>
      </c>
      <c r="AH27" s="7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</row>
    <row r="28" spans="1:61">
      <c r="A28" s="59" t="s">
        <v>84</v>
      </c>
      <c r="B28" s="50">
        <f t="shared" ref="B28:AB28" si="4">B7</f>
        <v>0</v>
      </c>
      <c r="C28" s="50">
        <f t="shared" si="4"/>
        <v>0</v>
      </c>
      <c r="D28" s="50">
        <f t="shared" si="4"/>
        <v>0</v>
      </c>
      <c r="E28" s="50">
        <f t="shared" si="4"/>
        <v>0</v>
      </c>
      <c r="F28" s="50">
        <f t="shared" si="4"/>
        <v>0</v>
      </c>
      <c r="G28" s="50">
        <f t="shared" si="4"/>
        <v>0</v>
      </c>
      <c r="H28" s="50">
        <f t="shared" si="4"/>
        <v>0</v>
      </c>
      <c r="I28" s="50">
        <f t="shared" si="4"/>
        <v>0</v>
      </c>
      <c r="J28" s="50">
        <f t="shared" si="4"/>
        <v>0</v>
      </c>
      <c r="K28" s="50">
        <f t="shared" si="4"/>
        <v>0</v>
      </c>
      <c r="L28" s="50">
        <f t="shared" si="4"/>
        <v>0</v>
      </c>
      <c r="M28" s="50">
        <f t="shared" si="4"/>
        <v>0</v>
      </c>
      <c r="N28" s="50">
        <f t="shared" si="4"/>
        <v>0</v>
      </c>
      <c r="O28" s="50">
        <f t="shared" si="4"/>
        <v>0</v>
      </c>
      <c r="P28" s="50">
        <f t="shared" si="4"/>
        <v>0</v>
      </c>
      <c r="Q28" s="50">
        <f t="shared" si="4"/>
        <v>0</v>
      </c>
      <c r="R28" s="50">
        <f t="shared" si="4"/>
        <v>0</v>
      </c>
      <c r="S28" s="50">
        <f t="shared" si="4"/>
        <v>0</v>
      </c>
      <c r="T28" s="50">
        <f t="shared" si="4"/>
        <v>0</v>
      </c>
      <c r="U28" s="50">
        <f t="shared" si="4"/>
        <v>0</v>
      </c>
      <c r="V28" s="50">
        <f t="shared" si="4"/>
        <v>0</v>
      </c>
      <c r="W28" s="50">
        <f t="shared" si="4"/>
        <v>0</v>
      </c>
      <c r="X28" s="50">
        <f t="shared" si="4"/>
        <v>0</v>
      </c>
      <c r="Y28" s="50">
        <f t="shared" si="4"/>
        <v>0</v>
      </c>
      <c r="Z28" s="50">
        <f t="shared" si="4"/>
        <v>0</v>
      </c>
      <c r="AA28" s="50">
        <f t="shared" si="4"/>
        <v>0</v>
      </c>
      <c r="AB28" s="50">
        <f t="shared" si="4"/>
        <v>0</v>
      </c>
      <c r="AC28" s="51"/>
      <c r="AD28" s="52">
        <f t="shared" si="3"/>
        <v>0</v>
      </c>
      <c r="AH28" s="7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</row>
    <row r="29" spans="1:61">
      <c r="A29" s="59" t="s">
        <v>85</v>
      </c>
      <c r="B29" s="50">
        <f>B8+B10</f>
        <v>0</v>
      </c>
      <c r="C29" s="50">
        <f t="shared" ref="C29:AB29" si="5">C8+C10</f>
        <v>0</v>
      </c>
      <c r="D29" s="50">
        <f t="shared" si="5"/>
        <v>0</v>
      </c>
      <c r="E29" s="50">
        <f t="shared" si="5"/>
        <v>0</v>
      </c>
      <c r="F29" s="50">
        <f t="shared" si="5"/>
        <v>0</v>
      </c>
      <c r="G29" s="50">
        <f t="shared" si="5"/>
        <v>0</v>
      </c>
      <c r="H29" s="50">
        <f t="shared" si="5"/>
        <v>0</v>
      </c>
      <c r="I29" s="50">
        <f t="shared" si="5"/>
        <v>0</v>
      </c>
      <c r="J29" s="50">
        <f t="shared" si="5"/>
        <v>0</v>
      </c>
      <c r="K29" s="50">
        <f t="shared" si="5"/>
        <v>0</v>
      </c>
      <c r="L29" s="50">
        <f t="shared" si="5"/>
        <v>0</v>
      </c>
      <c r="M29" s="50">
        <f t="shared" si="5"/>
        <v>0</v>
      </c>
      <c r="N29" s="50">
        <f t="shared" si="5"/>
        <v>0</v>
      </c>
      <c r="O29" s="50">
        <f t="shared" si="5"/>
        <v>0</v>
      </c>
      <c r="P29" s="50">
        <f t="shared" si="5"/>
        <v>0</v>
      </c>
      <c r="Q29" s="50">
        <f t="shared" si="5"/>
        <v>0</v>
      </c>
      <c r="R29" s="50">
        <f t="shared" si="5"/>
        <v>0</v>
      </c>
      <c r="S29" s="50">
        <f t="shared" si="5"/>
        <v>0</v>
      </c>
      <c r="T29" s="50">
        <f t="shared" si="5"/>
        <v>0</v>
      </c>
      <c r="U29" s="50">
        <f t="shared" si="5"/>
        <v>0</v>
      </c>
      <c r="V29" s="50">
        <f t="shared" si="5"/>
        <v>0</v>
      </c>
      <c r="W29" s="50">
        <f t="shared" si="5"/>
        <v>0</v>
      </c>
      <c r="X29" s="50">
        <f t="shared" si="5"/>
        <v>0</v>
      </c>
      <c r="Y29" s="50">
        <f t="shared" si="5"/>
        <v>0</v>
      </c>
      <c r="Z29" s="50">
        <f t="shared" si="5"/>
        <v>0</v>
      </c>
      <c r="AA29" s="50">
        <f t="shared" si="5"/>
        <v>0</v>
      </c>
      <c r="AB29" s="50">
        <f t="shared" si="5"/>
        <v>0</v>
      </c>
      <c r="AC29" s="51"/>
      <c r="AD29" s="52">
        <f t="shared" si="3"/>
        <v>0</v>
      </c>
      <c r="AH29" s="7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1">
      <c r="A30" s="59" t="s">
        <v>102</v>
      </c>
      <c r="B30" s="50">
        <f t="shared" ref="B30:AB30" si="6">B9+B12+B13+B14+B18+B20</f>
        <v>0</v>
      </c>
      <c r="C30" s="50">
        <f t="shared" si="6"/>
        <v>0</v>
      </c>
      <c r="D30" s="50">
        <f t="shared" si="6"/>
        <v>0</v>
      </c>
      <c r="E30" s="50">
        <f t="shared" si="6"/>
        <v>0</v>
      </c>
      <c r="F30" s="50">
        <f t="shared" si="6"/>
        <v>0</v>
      </c>
      <c r="G30" s="50">
        <f t="shared" si="6"/>
        <v>0</v>
      </c>
      <c r="H30" s="50">
        <f t="shared" si="6"/>
        <v>0</v>
      </c>
      <c r="I30" s="50">
        <f t="shared" si="6"/>
        <v>0</v>
      </c>
      <c r="J30" s="50">
        <f t="shared" si="6"/>
        <v>0</v>
      </c>
      <c r="K30" s="50">
        <f t="shared" si="6"/>
        <v>0</v>
      </c>
      <c r="L30" s="50">
        <f t="shared" si="6"/>
        <v>0</v>
      </c>
      <c r="M30" s="50">
        <f t="shared" si="6"/>
        <v>0</v>
      </c>
      <c r="N30" s="50">
        <f t="shared" si="6"/>
        <v>0</v>
      </c>
      <c r="O30" s="50">
        <f t="shared" si="6"/>
        <v>0</v>
      </c>
      <c r="P30" s="50">
        <f t="shared" si="6"/>
        <v>0</v>
      </c>
      <c r="Q30" s="50">
        <f t="shared" si="6"/>
        <v>0</v>
      </c>
      <c r="R30" s="50">
        <f t="shared" si="6"/>
        <v>0</v>
      </c>
      <c r="S30" s="50">
        <f t="shared" si="6"/>
        <v>0</v>
      </c>
      <c r="T30" s="50">
        <f t="shared" si="6"/>
        <v>0</v>
      </c>
      <c r="U30" s="50">
        <f t="shared" si="6"/>
        <v>0</v>
      </c>
      <c r="V30" s="50">
        <f t="shared" si="6"/>
        <v>0</v>
      </c>
      <c r="W30" s="50">
        <f t="shared" si="6"/>
        <v>0</v>
      </c>
      <c r="X30" s="50">
        <f t="shared" si="6"/>
        <v>0</v>
      </c>
      <c r="Y30" s="50">
        <f t="shared" si="6"/>
        <v>0</v>
      </c>
      <c r="Z30" s="50">
        <f t="shared" si="6"/>
        <v>0</v>
      </c>
      <c r="AA30" s="50">
        <f t="shared" si="6"/>
        <v>0</v>
      </c>
      <c r="AB30" s="50">
        <f t="shared" si="6"/>
        <v>0</v>
      </c>
      <c r="AC30" s="51"/>
      <c r="AD30" s="52">
        <f t="shared" si="3"/>
        <v>0</v>
      </c>
      <c r="AH30" s="7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</row>
    <row r="31" spans="1:61">
      <c r="A31" s="59" t="s">
        <v>16</v>
      </c>
      <c r="B31" s="50">
        <f>B6+B11+B15+B19+B21</f>
        <v>0</v>
      </c>
      <c r="C31" s="50">
        <f t="shared" ref="C31:AB31" si="7">C6+C11+C15+C19+C21</f>
        <v>0</v>
      </c>
      <c r="D31" s="50">
        <f t="shared" si="7"/>
        <v>0</v>
      </c>
      <c r="E31" s="50">
        <f t="shared" si="7"/>
        <v>0</v>
      </c>
      <c r="F31" s="50">
        <f t="shared" si="7"/>
        <v>0</v>
      </c>
      <c r="G31" s="50">
        <f t="shared" si="7"/>
        <v>0</v>
      </c>
      <c r="H31" s="50">
        <f t="shared" si="7"/>
        <v>0</v>
      </c>
      <c r="I31" s="50">
        <f t="shared" si="7"/>
        <v>0</v>
      </c>
      <c r="J31" s="50">
        <f t="shared" si="7"/>
        <v>0</v>
      </c>
      <c r="K31" s="50">
        <f t="shared" si="7"/>
        <v>0</v>
      </c>
      <c r="L31" s="50">
        <f t="shared" si="7"/>
        <v>0</v>
      </c>
      <c r="M31" s="50">
        <f t="shared" si="7"/>
        <v>0</v>
      </c>
      <c r="N31" s="50">
        <f t="shared" si="7"/>
        <v>0</v>
      </c>
      <c r="O31" s="50">
        <f t="shared" si="7"/>
        <v>0</v>
      </c>
      <c r="P31" s="50">
        <f t="shared" si="7"/>
        <v>0</v>
      </c>
      <c r="Q31" s="50">
        <f t="shared" si="7"/>
        <v>0</v>
      </c>
      <c r="R31" s="50">
        <f t="shared" si="7"/>
        <v>0</v>
      </c>
      <c r="S31" s="50">
        <f t="shared" si="7"/>
        <v>0</v>
      </c>
      <c r="T31" s="50">
        <f t="shared" si="7"/>
        <v>0</v>
      </c>
      <c r="U31" s="50">
        <f t="shared" si="7"/>
        <v>0</v>
      </c>
      <c r="V31" s="50">
        <f t="shared" si="7"/>
        <v>0</v>
      </c>
      <c r="W31" s="50">
        <f t="shared" si="7"/>
        <v>0</v>
      </c>
      <c r="X31" s="50">
        <f t="shared" si="7"/>
        <v>0</v>
      </c>
      <c r="Y31" s="50">
        <f t="shared" si="7"/>
        <v>0</v>
      </c>
      <c r="Z31" s="50">
        <f t="shared" si="7"/>
        <v>0</v>
      </c>
      <c r="AA31" s="50">
        <f t="shared" si="7"/>
        <v>0</v>
      </c>
      <c r="AB31" s="50">
        <f t="shared" si="7"/>
        <v>0</v>
      </c>
      <c r="AC31" s="51"/>
      <c r="AD31" s="52">
        <f t="shared" si="3"/>
        <v>0</v>
      </c>
      <c r="AH31" s="7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</row>
    <row r="32" spans="1:61">
      <c r="A32" s="59" t="s">
        <v>94</v>
      </c>
      <c r="B32" s="50">
        <f t="shared" ref="B32:AB32" si="8">B16+B17</f>
        <v>0</v>
      </c>
      <c r="C32" s="50">
        <f t="shared" si="8"/>
        <v>0</v>
      </c>
      <c r="D32" s="50">
        <f t="shared" si="8"/>
        <v>0</v>
      </c>
      <c r="E32" s="50">
        <f t="shared" si="8"/>
        <v>0</v>
      </c>
      <c r="F32" s="50">
        <f t="shared" si="8"/>
        <v>0</v>
      </c>
      <c r="G32" s="50">
        <f t="shared" si="8"/>
        <v>0</v>
      </c>
      <c r="H32" s="50">
        <f t="shared" si="8"/>
        <v>0</v>
      </c>
      <c r="I32" s="50">
        <f t="shared" si="8"/>
        <v>0</v>
      </c>
      <c r="J32" s="50">
        <f t="shared" si="8"/>
        <v>0</v>
      </c>
      <c r="K32" s="50">
        <f t="shared" si="8"/>
        <v>0</v>
      </c>
      <c r="L32" s="50">
        <f t="shared" si="8"/>
        <v>0</v>
      </c>
      <c r="M32" s="50">
        <f t="shared" si="8"/>
        <v>0</v>
      </c>
      <c r="N32" s="50">
        <f t="shared" si="8"/>
        <v>0</v>
      </c>
      <c r="O32" s="50">
        <f t="shared" si="8"/>
        <v>0</v>
      </c>
      <c r="P32" s="50">
        <f t="shared" si="8"/>
        <v>0</v>
      </c>
      <c r="Q32" s="50">
        <f t="shared" si="8"/>
        <v>0</v>
      </c>
      <c r="R32" s="50">
        <f t="shared" si="8"/>
        <v>0</v>
      </c>
      <c r="S32" s="50">
        <f t="shared" si="8"/>
        <v>0</v>
      </c>
      <c r="T32" s="50">
        <f t="shared" si="8"/>
        <v>0</v>
      </c>
      <c r="U32" s="50">
        <f t="shared" si="8"/>
        <v>0</v>
      </c>
      <c r="V32" s="50">
        <f t="shared" si="8"/>
        <v>0</v>
      </c>
      <c r="W32" s="50">
        <f t="shared" si="8"/>
        <v>0</v>
      </c>
      <c r="X32" s="50">
        <f t="shared" si="8"/>
        <v>0</v>
      </c>
      <c r="Y32" s="50">
        <f t="shared" si="8"/>
        <v>0</v>
      </c>
      <c r="Z32" s="50">
        <f t="shared" si="8"/>
        <v>0</v>
      </c>
      <c r="AA32" s="50">
        <f t="shared" si="8"/>
        <v>0</v>
      </c>
      <c r="AB32" s="50">
        <f t="shared" si="8"/>
        <v>0</v>
      </c>
      <c r="AC32" s="51"/>
      <c r="AD32" s="52">
        <f t="shared" si="3"/>
        <v>0</v>
      </c>
      <c r="AH32" s="7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</row>
    <row r="33" spans="1:61">
      <c r="A33" s="6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3"/>
      <c r="AH33" s="7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</row>
    <row r="34" spans="1:61">
      <c r="A34" s="59" t="s">
        <v>101</v>
      </c>
      <c r="B34" s="52">
        <f t="shared" ref="B34:AB34" si="9">SUM(B27:B32)</f>
        <v>0</v>
      </c>
      <c r="C34" s="52">
        <f t="shared" si="9"/>
        <v>0</v>
      </c>
      <c r="D34" s="52">
        <f t="shared" si="9"/>
        <v>0</v>
      </c>
      <c r="E34" s="52">
        <f t="shared" si="9"/>
        <v>0</v>
      </c>
      <c r="F34" s="52">
        <f t="shared" si="9"/>
        <v>0</v>
      </c>
      <c r="G34" s="52">
        <f t="shared" si="9"/>
        <v>0</v>
      </c>
      <c r="H34" s="52">
        <f t="shared" si="9"/>
        <v>0</v>
      </c>
      <c r="I34" s="52">
        <f t="shared" si="9"/>
        <v>0</v>
      </c>
      <c r="J34" s="52">
        <f t="shared" si="9"/>
        <v>0</v>
      </c>
      <c r="K34" s="52">
        <f t="shared" si="9"/>
        <v>0</v>
      </c>
      <c r="L34" s="52">
        <f t="shared" si="9"/>
        <v>0</v>
      </c>
      <c r="M34" s="52">
        <f t="shared" si="9"/>
        <v>0</v>
      </c>
      <c r="N34" s="52">
        <f t="shared" si="9"/>
        <v>0</v>
      </c>
      <c r="O34" s="52">
        <f t="shared" si="9"/>
        <v>0</v>
      </c>
      <c r="P34" s="52">
        <f t="shared" si="9"/>
        <v>0</v>
      </c>
      <c r="Q34" s="52">
        <f t="shared" si="9"/>
        <v>0</v>
      </c>
      <c r="R34" s="52">
        <f t="shared" si="9"/>
        <v>0</v>
      </c>
      <c r="S34" s="52">
        <f t="shared" si="9"/>
        <v>0</v>
      </c>
      <c r="T34" s="52">
        <f t="shared" si="9"/>
        <v>0</v>
      </c>
      <c r="U34" s="52">
        <f t="shared" si="9"/>
        <v>0</v>
      </c>
      <c r="V34" s="52">
        <f t="shared" si="9"/>
        <v>0</v>
      </c>
      <c r="W34" s="52">
        <f t="shared" si="9"/>
        <v>0</v>
      </c>
      <c r="X34" s="52">
        <f t="shared" si="9"/>
        <v>0</v>
      </c>
      <c r="Y34" s="52">
        <f t="shared" si="9"/>
        <v>0</v>
      </c>
      <c r="Z34" s="52">
        <f t="shared" si="9"/>
        <v>0</v>
      </c>
      <c r="AA34" s="52">
        <f t="shared" si="9"/>
        <v>0</v>
      </c>
      <c r="AB34" s="52">
        <f t="shared" si="9"/>
        <v>0</v>
      </c>
      <c r="AC34" s="51"/>
      <c r="AD34" s="54">
        <f>SUM(AD27:AD32)</f>
        <v>0</v>
      </c>
      <c r="AH34" s="7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</row>
    <row r="35" spans="1:61" ht="15.75" customHeight="1">
      <c r="A35" s="7"/>
    </row>
    <row r="36" spans="1:61">
      <c r="A36" s="98" t="s">
        <v>103</v>
      </c>
    </row>
    <row r="37" spans="1:61">
      <c r="A37" s="99"/>
      <c r="B37" s="32" t="s">
        <v>53</v>
      </c>
      <c r="C37" s="32" t="s">
        <v>54</v>
      </c>
      <c r="D37" s="32" t="s">
        <v>55</v>
      </c>
      <c r="E37" s="32" t="s">
        <v>56</v>
      </c>
      <c r="F37" s="32" t="s">
        <v>57</v>
      </c>
      <c r="G37" s="32" t="s">
        <v>58</v>
      </c>
      <c r="H37" s="32" t="s">
        <v>59</v>
      </c>
      <c r="I37" s="32" t="s">
        <v>60</v>
      </c>
      <c r="J37" s="32" t="s">
        <v>61</v>
      </c>
      <c r="K37" s="32" t="s">
        <v>62</v>
      </c>
      <c r="L37" s="32" t="s">
        <v>63</v>
      </c>
      <c r="M37" s="32" t="s">
        <v>64</v>
      </c>
      <c r="N37" s="32" t="s">
        <v>65</v>
      </c>
      <c r="O37" s="32" t="s">
        <v>66</v>
      </c>
      <c r="P37" s="32" t="s">
        <v>67</v>
      </c>
      <c r="Q37" s="32" t="s">
        <v>68</v>
      </c>
      <c r="R37" s="32" t="s">
        <v>69</v>
      </c>
      <c r="S37" s="32" t="s">
        <v>70</v>
      </c>
      <c r="T37" s="32" t="s">
        <v>71</v>
      </c>
      <c r="U37" s="32" t="s">
        <v>72</v>
      </c>
      <c r="V37" s="32" t="s">
        <v>73</v>
      </c>
      <c r="W37" s="32" t="s">
        <v>74</v>
      </c>
      <c r="X37" s="32" t="s">
        <v>75</v>
      </c>
      <c r="Y37" s="32" t="s">
        <v>76</v>
      </c>
      <c r="Z37" s="32" t="s">
        <v>77</v>
      </c>
      <c r="AA37" s="32" t="s">
        <v>78</v>
      </c>
      <c r="AB37" s="32" t="s">
        <v>79</v>
      </c>
      <c r="AD37" s="6" t="s">
        <v>101</v>
      </c>
    </row>
    <row r="38" spans="1:61">
      <c r="A38" s="61" t="s">
        <v>104</v>
      </c>
      <c r="B38" s="31">
        <v>0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18"/>
      <c r="AD38" s="52">
        <f t="shared" ref="AD38:AD47" si="10">SUM(B38:AB38)</f>
        <v>0</v>
      </c>
    </row>
    <row r="39" spans="1:61">
      <c r="A39" s="61" t="s">
        <v>105</v>
      </c>
      <c r="B39" s="31">
        <v>0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18"/>
      <c r="AD39" s="52">
        <f t="shared" si="10"/>
        <v>0</v>
      </c>
    </row>
    <row r="40" spans="1:61">
      <c r="A40" s="61" t="s">
        <v>106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18"/>
      <c r="AD40" s="52">
        <f t="shared" si="10"/>
        <v>0</v>
      </c>
    </row>
    <row r="41" spans="1:61">
      <c r="A41" s="61" t="s">
        <v>107</v>
      </c>
      <c r="B41" s="31">
        <v>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18"/>
      <c r="AD41" s="52">
        <f t="shared" si="10"/>
        <v>0</v>
      </c>
    </row>
    <row r="42" spans="1:61">
      <c r="A42" s="61" t="s">
        <v>108</v>
      </c>
      <c r="B42" s="31">
        <v>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18"/>
      <c r="AD42" s="52">
        <f t="shared" si="10"/>
        <v>0</v>
      </c>
    </row>
    <row r="43" spans="1:61">
      <c r="A43" s="61" t="s">
        <v>109</v>
      </c>
      <c r="B43" s="31">
        <v>0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18"/>
      <c r="AD43" s="52">
        <f t="shared" si="10"/>
        <v>0</v>
      </c>
    </row>
    <row r="44" spans="1:61">
      <c r="A44" s="61" t="s">
        <v>110</v>
      </c>
      <c r="B44" s="31">
        <v>0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18"/>
      <c r="AD44" s="52">
        <f t="shared" si="10"/>
        <v>0</v>
      </c>
    </row>
    <row r="45" spans="1:61">
      <c r="A45" s="59" t="s">
        <v>111</v>
      </c>
      <c r="B45" s="31">
        <v>0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18"/>
      <c r="AD45" s="52">
        <f t="shared" si="10"/>
        <v>0</v>
      </c>
    </row>
    <row r="46" spans="1:61">
      <c r="A46" s="59" t="s">
        <v>112</v>
      </c>
      <c r="B46" s="31">
        <v>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18"/>
      <c r="AD46" s="52">
        <f t="shared" si="10"/>
        <v>0</v>
      </c>
    </row>
    <row r="47" spans="1:61">
      <c r="A47" s="59" t="s">
        <v>113</v>
      </c>
      <c r="B47" s="31">
        <v>0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18"/>
      <c r="AD47" s="52">
        <f t="shared" si="10"/>
        <v>0</v>
      </c>
    </row>
    <row r="48" spans="1:61">
      <c r="A48" s="60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8"/>
      <c r="AD48" s="56"/>
    </row>
    <row r="49" spans="1:62">
      <c r="A49" s="59" t="s">
        <v>101</v>
      </c>
      <c r="B49" s="52">
        <f t="shared" ref="B49:AB49" si="11">SUM(B38:B47)</f>
        <v>0</v>
      </c>
      <c r="C49" s="52">
        <f t="shared" si="11"/>
        <v>0</v>
      </c>
      <c r="D49" s="52">
        <f t="shared" si="11"/>
        <v>0</v>
      </c>
      <c r="E49" s="52">
        <f t="shared" si="11"/>
        <v>0</v>
      </c>
      <c r="F49" s="52">
        <f t="shared" si="11"/>
        <v>0</v>
      </c>
      <c r="G49" s="52">
        <f t="shared" si="11"/>
        <v>0</v>
      </c>
      <c r="H49" s="52">
        <f t="shared" si="11"/>
        <v>0</v>
      </c>
      <c r="I49" s="52">
        <f t="shared" si="11"/>
        <v>0</v>
      </c>
      <c r="J49" s="52">
        <f t="shared" si="11"/>
        <v>0</v>
      </c>
      <c r="K49" s="52">
        <f t="shared" si="11"/>
        <v>0</v>
      </c>
      <c r="L49" s="52">
        <f t="shared" si="11"/>
        <v>0</v>
      </c>
      <c r="M49" s="52">
        <f t="shared" si="11"/>
        <v>0</v>
      </c>
      <c r="N49" s="52">
        <f t="shared" si="11"/>
        <v>0</v>
      </c>
      <c r="O49" s="52">
        <f t="shared" si="11"/>
        <v>0</v>
      </c>
      <c r="P49" s="52">
        <f t="shared" si="11"/>
        <v>0</v>
      </c>
      <c r="Q49" s="52">
        <f t="shared" si="11"/>
        <v>0</v>
      </c>
      <c r="R49" s="52">
        <f t="shared" si="11"/>
        <v>0</v>
      </c>
      <c r="S49" s="52">
        <f t="shared" si="11"/>
        <v>0</v>
      </c>
      <c r="T49" s="52">
        <f t="shared" si="11"/>
        <v>0</v>
      </c>
      <c r="U49" s="52">
        <f t="shared" si="11"/>
        <v>0</v>
      </c>
      <c r="V49" s="52">
        <f t="shared" si="11"/>
        <v>0</v>
      </c>
      <c r="W49" s="52">
        <f t="shared" si="11"/>
        <v>0</v>
      </c>
      <c r="X49" s="52">
        <f t="shared" si="11"/>
        <v>0</v>
      </c>
      <c r="Y49" s="52">
        <f t="shared" si="11"/>
        <v>0</v>
      </c>
      <c r="Z49" s="52">
        <f t="shared" si="11"/>
        <v>0</v>
      </c>
      <c r="AA49" s="52">
        <f t="shared" si="11"/>
        <v>0</v>
      </c>
      <c r="AB49" s="52">
        <f t="shared" si="11"/>
        <v>0</v>
      </c>
      <c r="AC49" s="12"/>
      <c r="AD49" s="54">
        <f>SUM(AD38:AD47)</f>
        <v>0</v>
      </c>
    </row>
    <row r="51" spans="1:62">
      <c r="J51" t="s">
        <v>114</v>
      </c>
      <c r="L51" s="17" t="e">
        <f>ROUND(AD34/AD49,7)</f>
        <v>#DIV/0!</v>
      </c>
    </row>
    <row r="54" spans="1:62" ht="15.75" customHeight="1">
      <c r="A54" s="96" t="s">
        <v>115</v>
      </c>
    </row>
    <row r="55" spans="1:62" s="5" customFormat="1">
      <c r="A55" s="97"/>
      <c r="B55" s="16" t="s">
        <v>53</v>
      </c>
      <c r="C55" s="16" t="s">
        <v>54</v>
      </c>
      <c r="D55" s="16" t="s">
        <v>55</v>
      </c>
      <c r="E55" s="16" t="s">
        <v>56</v>
      </c>
      <c r="F55" s="16" t="s">
        <v>57</v>
      </c>
      <c r="G55" s="16" t="s">
        <v>58</v>
      </c>
      <c r="H55" s="16" t="s">
        <v>59</v>
      </c>
      <c r="I55" s="16" t="s">
        <v>60</v>
      </c>
      <c r="J55" s="16" t="s">
        <v>61</v>
      </c>
      <c r="K55" s="16" t="s">
        <v>62</v>
      </c>
      <c r="L55" s="16" t="s">
        <v>63</v>
      </c>
      <c r="M55" s="16" t="s">
        <v>64</v>
      </c>
      <c r="N55" s="16" t="s">
        <v>65</v>
      </c>
      <c r="O55" s="16" t="s">
        <v>66</v>
      </c>
      <c r="P55" s="16" t="s">
        <v>67</v>
      </c>
      <c r="Q55" s="16" t="s">
        <v>68</v>
      </c>
      <c r="R55" s="16" t="s">
        <v>69</v>
      </c>
      <c r="S55" s="16" t="s">
        <v>70</v>
      </c>
      <c r="T55" s="16" t="s">
        <v>71</v>
      </c>
      <c r="U55" s="16" t="s">
        <v>72</v>
      </c>
      <c r="V55" s="16" t="s">
        <v>73</v>
      </c>
      <c r="W55" s="16" t="s">
        <v>74</v>
      </c>
      <c r="X55" s="16" t="s">
        <v>75</v>
      </c>
      <c r="Y55" s="16" t="s">
        <v>76</v>
      </c>
      <c r="Z55" s="16" t="s">
        <v>77</v>
      </c>
      <c r="AA55" s="16" t="s">
        <v>78</v>
      </c>
      <c r="AB55" s="16" t="s">
        <v>79</v>
      </c>
      <c r="AD55" s="6" t="s">
        <v>80</v>
      </c>
    </row>
    <row r="56" spans="1:62">
      <c r="A56" s="86" t="s">
        <v>104</v>
      </c>
      <c r="B56" s="50" t="e">
        <f t="shared" ref="B56:AB56" si="12">ROUND(B38*$L$51,0)</f>
        <v>#DIV/0!</v>
      </c>
      <c r="C56" s="50" t="e">
        <f t="shared" si="12"/>
        <v>#DIV/0!</v>
      </c>
      <c r="D56" s="50" t="e">
        <f t="shared" si="12"/>
        <v>#DIV/0!</v>
      </c>
      <c r="E56" s="50" t="e">
        <f t="shared" si="12"/>
        <v>#DIV/0!</v>
      </c>
      <c r="F56" s="50" t="e">
        <f t="shared" si="12"/>
        <v>#DIV/0!</v>
      </c>
      <c r="G56" s="50" t="e">
        <f t="shared" si="12"/>
        <v>#DIV/0!</v>
      </c>
      <c r="H56" s="50" t="e">
        <f t="shared" si="12"/>
        <v>#DIV/0!</v>
      </c>
      <c r="I56" s="50" t="e">
        <f t="shared" si="12"/>
        <v>#DIV/0!</v>
      </c>
      <c r="J56" s="50" t="e">
        <f t="shared" si="12"/>
        <v>#DIV/0!</v>
      </c>
      <c r="K56" s="50" t="e">
        <f t="shared" si="12"/>
        <v>#DIV/0!</v>
      </c>
      <c r="L56" s="50" t="e">
        <f t="shared" si="12"/>
        <v>#DIV/0!</v>
      </c>
      <c r="M56" s="50" t="e">
        <f t="shared" si="12"/>
        <v>#DIV/0!</v>
      </c>
      <c r="N56" s="50" t="e">
        <f t="shared" si="12"/>
        <v>#DIV/0!</v>
      </c>
      <c r="O56" s="50" t="e">
        <f t="shared" si="12"/>
        <v>#DIV/0!</v>
      </c>
      <c r="P56" s="50" t="e">
        <f t="shared" si="12"/>
        <v>#DIV/0!</v>
      </c>
      <c r="Q56" s="50" t="e">
        <f t="shared" si="12"/>
        <v>#DIV/0!</v>
      </c>
      <c r="R56" s="50" t="e">
        <f t="shared" si="12"/>
        <v>#DIV/0!</v>
      </c>
      <c r="S56" s="50" t="e">
        <f t="shared" si="12"/>
        <v>#DIV/0!</v>
      </c>
      <c r="T56" s="50" t="e">
        <f t="shared" si="12"/>
        <v>#DIV/0!</v>
      </c>
      <c r="U56" s="50" t="e">
        <f t="shared" si="12"/>
        <v>#DIV/0!</v>
      </c>
      <c r="V56" s="50" t="e">
        <f t="shared" si="12"/>
        <v>#DIV/0!</v>
      </c>
      <c r="W56" s="50" t="e">
        <f t="shared" si="12"/>
        <v>#DIV/0!</v>
      </c>
      <c r="X56" s="50" t="e">
        <f t="shared" si="12"/>
        <v>#DIV/0!</v>
      </c>
      <c r="Y56" s="50" t="e">
        <f t="shared" si="12"/>
        <v>#DIV/0!</v>
      </c>
      <c r="Z56" s="50" t="e">
        <f t="shared" si="12"/>
        <v>#DIV/0!</v>
      </c>
      <c r="AA56" s="50" t="e">
        <f t="shared" si="12"/>
        <v>#DIV/0!</v>
      </c>
      <c r="AB56" s="50" t="e">
        <f t="shared" si="12"/>
        <v>#DIV/0!</v>
      </c>
      <c r="AC56" s="51"/>
      <c r="AD56" s="52" t="e">
        <f t="shared" ref="AD56:AD65" si="13">SUM(B56:AB56)</f>
        <v>#DIV/0!</v>
      </c>
      <c r="AH56" s="7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</row>
    <row r="57" spans="1:62" s="14" customFormat="1">
      <c r="A57" s="86" t="s">
        <v>105</v>
      </c>
      <c r="B57" s="50" t="e">
        <f t="shared" ref="B57:AB57" si="14">ROUND(B39*$L$51,0)</f>
        <v>#DIV/0!</v>
      </c>
      <c r="C57" s="50" t="e">
        <f t="shared" si="14"/>
        <v>#DIV/0!</v>
      </c>
      <c r="D57" s="50" t="e">
        <f t="shared" si="14"/>
        <v>#DIV/0!</v>
      </c>
      <c r="E57" s="50" t="e">
        <f t="shared" si="14"/>
        <v>#DIV/0!</v>
      </c>
      <c r="F57" s="50" t="e">
        <f t="shared" si="14"/>
        <v>#DIV/0!</v>
      </c>
      <c r="G57" s="50" t="e">
        <f t="shared" si="14"/>
        <v>#DIV/0!</v>
      </c>
      <c r="H57" s="50" t="e">
        <f t="shared" si="14"/>
        <v>#DIV/0!</v>
      </c>
      <c r="I57" s="50" t="e">
        <f t="shared" si="14"/>
        <v>#DIV/0!</v>
      </c>
      <c r="J57" s="50" t="e">
        <f t="shared" si="14"/>
        <v>#DIV/0!</v>
      </c>
      <c r="K57" s="50" t="e">
        <f t="shared" si="14"/>
        <v>#DIV/0!</v>
      </c>
      <c r="L57" s="50" t="e">
        <f t="shared" si="14"/>
        <v>#DIV/0!</v>
      </c>
      <c r="M57" s="50" t="e">
        <f t="shared" si="14"/>
        <v>#DIV/0!</v>
      </c>
      <c r="N57" s="50" t="e">
        <f t="shared" si="14"/>
        <v>#DIV/0!</v>
      </c>
      <c r="O57" s="50" t="e">
        <f t="shared" si="14"/>
        <v>#DIV/0!</v>
      </c>
      <c r="P57" s="50" t="e">
        <f t="shared" si="14"/>
        <v>#DIV/0!</v>
      </c>
      <c r="Q57" s="50" t="e">
        <f t="shared" si="14"/>
        <v>#DIV/0!</v>
      </c>
      <c r="R57" s="50" t="e">
        <f t="shared" si="14"/>
        <v>#DIV/0!</v>
      </c>
      <c r="S57" s="50" t="e">
        <f t="shared" si="14"/>
        <v>#DIV/0!</v>
      </c>
      <c r="T57" s="50" t="e">
        <f t="shared" si="14"/>
        <v>#DIV/0!</v>
      </c>
      <c r="U57" s="50" t="e">
        <f t="shared" si="14"/>
        <v>#DIV/0!</v>
      </c>
      <c r="V57" s="50" t="e">
        <f t="shared" si="14"/>
        <v>#DIV/0!</v>
      </c>
      <c r="W57" s="50" t="e">
        <f t="shared" si="14"/>
        <v>#DIV/0!</v>
      </c>
      <c r="X57" s="50" t="e">
        <f t="shared" si="14"/>
        <v>#DIV/0!</v>
      </c>
      <c r="Y57" s="50" t="e">
        <f t="shared" si="14"/>
        <v>#DIV/0!</v>
      </c>
      <c r="Z57" s="50" t="e">
        <f t="shared" si="14"/>
        <v>#DIV/0!</v>
      </c>
      <c r="AA57" s="50" t="e">
        <f t="shared" si="14"/>
        <v>#DIV/0!</v>
      </c>
      <c r="AB57" s="50" t="e">
        <f t="shared" si="14"/>
        <v>#DIV/0!</v>
      </c>
      <c r="AC57" s="57"/>
      <c r="AD57" s="52" t="e">
        <f t="shared" si="13"/>
        <v>#DIV/0!</v>
      </c>
      <c r="AH57" s="15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</row>
    <row r="58" spans="1:62" s="14" customFormat="1">
      <c r="A58" s="86" t="s">
        <v>106</v>
      </c>
      <c r="B58" s="50" t="e">
        <f t="shared" ref="B58:AB58" si="15">ROUND(B40*$L$51,0)</f>
        <v>#DIV/0!</v>
      </c>
      <c r="C58" s="50" t="e">
        <f t="shared" si="15"/>
        <v>#DIV/0!</v>
      </c>
      <c r="D58" s="50" t="e">
        <f t="shared" si="15"/>
        <v>#DIV/0!</v>
      </c>
      <c r="E58" s="50" t="e">
        <f t="shared" si="15"/>
        <v>#DIV/0!</v>
      </c>
      <c r="F58" s="50" t="e">
        <f t="shared" si="15"/>
        <v>#DIV/0!</v>
      </c>
      <c r="G58" s="50" t="e">
        <f t="shared" si="15"/>
        <v>#DIV/0!</v>
      </c>
      <c r="H58" s="50" t="e">
        <f t="shared" si="15"/>
        <v>#DIV/0!</v>
      </c>
      <c r="I58" s="50" t="e">
        <f t="shared" si="15"/>
        <v>#DIV/0!</v>
      </c>
      <c r="J58" s="50" t="e">
        <f t="shared" si="15"/>
        <v>#DIV/0!</v>
      </c>
      <c r="K58" s="50" t="e">
        <f t="shared" si="15"/>
        <v>#DIV/0!</v>
      </c>
      <c r="L58" s="50" t="e">
        <f t="shared" si="15"/>
        <v>#DIV/0!</v>
      </c>
      <c r="M58" s="50" t="e">
        <f t="shared" si="15"/>
        <v>#DIV/0!</v>
      </c>
      <c r="N58" s="50" t="e">
        <f t="shared" si="15"/>
        <v>#DIV/0!</v>
      </c>
      <c r="O58" s="50" t="e">
        <f t="shared" si="15"/>
        <v>#DIV/0!</v>
      </c>
      <c r="P58" s="50" t="e">
        <f t="shared" si="15"/>
        <v>#DIV/0!</v>
      </c>
      <c r="Q58" s="50" t="e">
        <f t="shared" si="15"/>
        <v>#DIV/0!</v>
      </c>
      <c r="R58" s="50" t="e">
        <f t="shared" si="15"/>
        <v>#DIV/0!</v>
      </c>
      <c r="S58" s="50" t="e">
        <f t="shared" si="15"/>
        <v>#DIV/0!</v>
      </c>
      <c r="T58" s="50" t="e">
        <f t="shared" si="15"/>
        <v>#DIV/0!</v>
      </c>
      <c r="U58" s="50" t="e">
        <f t="shared" si="15"/>
        <v>#DIV/0!</v>
      </c>
      <c r="V58" s="50" t="e">
        <f t="shared" si="15"/>
        <v>#DIV/0!</v>
      </c>
      <c r="W58" s="50" t="e">
        <f t="shared" si="15"/>
        <v>#DIV/0!</v>
      </c>
      <c r="X58" s="50" t="e">
        <f t="shared" si="15"/>
        <v>#DIV/0!</v>
      </c>
      <c r="Y58" s="50" t="e">
        <f t="shared" si="15"/>
        <v>#DIV/0!</v>
      </c>
      <c r="Z58" s="50" t="e">
        <f t="shared" si="15"/>
        <v>#DIV/0!</v>
      </c>
      <c r="AA58" s="50" t="e">
        <f t="shared" si="15"/>
        <v>#DIV/0!</v>
      </c>
      <c r="AB58" s="50" t="e">
        <f t="shared" si="15"/>
        <v>#DIV/0!</v>
      </c>
      <c r="AC58" s="57"/>
      <c r="AD58" s="52" t="e">
        <f t="shared" si="13"/>
        <v>#DIV/0!</v>
      </c>
      <c r="AH58" s="15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</row>
    <row r="59" spans="1:62">
      <c r="A59" s="86" t="s">
        <v>107</v>
      </c>
      <c r="B59" s="50" t="e">
        <f t="shared" ref="B59:AB59" si="16">ROUND(B41*$L$51,0)</f>
        <v>#DIV/0!</v>
      </c>
      <c r="C59" s="50" t="e">
        <f t="shared" si="16"/>
        <v>#DIV/0!</v>
      </c>
      <c r="D59" s="50" t="e">
        <f t="shared" si="16"/>
        <v>#DIV/0!</v>
      </c>
      <c r="E59" s="50" t="e">
        <f t="shared" si="16"/>
        <v>#DIV/0!</v>
      </c>
      <c r="F59" s="50" t="e">
        <f t="shared" si="16"/>
        <v>#DIV/0!</v>
      </c>
      <c r="G59" s="50" t="e">
        <f t="shared" si="16"/>
        <v>#DIV/0!</v>
      </c>
      <c r="H59" s="50" t="e">
        <f t="shared" si="16"/>
        <v>#DIV/0!</v>
      </c>
      <c r="I59" s="50" t="e">
        <f t="shared" si="16"/>
        <v>#DIV/0!</v>
      </c>
      <c r="J59" s="50" t="e">
        <f t="shared" si="16"/>
        <v>#DIV/0!</v>
      </c>
      <c r="K59" s="50" t="e">
        <f t="shared" si="16"/>
        <v>#DIV/0!</v>
      </c>
      <c r="L59" s="50" t="e">
        <f t="shared" si="16"/>
        <v>#DIV/0!</v>
      </c>
      <c r="M59" s="50" t="e">
        <f t="shared" si="16"/>
        <v>#DIV/0!</v>
      </c>
      <c r="N59" s="50" t="e">
        <f t="shared" si="16"/>
        <v>#DIV/0!</v>
      </c>
      <c r="O59" s="50" t="e">
        <f t="shared" si="16"/>
        <v>#DIV/0!</v>
      </c>
      <c r="P59" s="50" t="e">
        <f t="shared" si="16"/>
        <v>#DIV/0!</v>
      </c>
      <c r="Q59" s="50" t="e">
        <f t="shared" si="16"/>
        <v>#DIV/0!</v>
      </c>
      <c r="R59" s="50" t="e">
        <f t="shared" si="16"/>
        <v>#DIV/0!</v>
      </c>
      <c r="S59" s="50" t="e">
        <f t="shared" si="16"/>
        <v>#DIV/0!</v>
      </c>
      <c r="T59" s="50" t="e">
        <f t="shared" si="16"/>
        <v>#DIV/0!</v>
      </c>
      <c r="U59" s="50" t="e">
        <f t="shared" si="16"/>
        <v>#DIV/0!</v>
      </c>
      <c r="V59" s="50" t="e">
        <f t="shared" si="16"/>
        <v>#DIV/0!</v>
      </c>
      <c r="W59" s="50" t="e">
        <f t="shared" si="16"/>
        <v>#DIV/0!</v>
      </c>
      <c r="X59" s="50" t="e">
        <f t="shared" si="16"/>
        <v>#DIV/0!</v>
      </c>
      <c r="Y59" s="50" t="e">
        <f t="shared" si="16"/>
        <v>#DIV/0!</v>
      </c>
      <c r="Z59" s="50" t="e">
        <f t="shared" si="16"/>
        <v>#DIV/0!</v>
      </c>
      <c r="AA59" s="50" t="e">
        <f t="shared" si="16"/>
        <v>#DIV/0!</v>
      </c>
      <c r="AB59" s="50" t="e">
        <f t="shared" si="16"/>
        <v>#DIV/0!</v>
      </c>
      <c r="AC59" s="51"/>
      <c r="AD59" s="52" t="e">
        <f t="shared" si="13"/>
        <v>#DIV/0!</v>
      </c>
      <c r="AH59" s="7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</row>
    <row r="60" spans="1:62">
      <c r="A60" s="86" t="s">
        <v>108</v>
      </c>
      <c r="B60" s="50" t="e">
        <f t="shared" ref="B60:AB60" si="17">ROUND(B42*$L$51,0)</f>
        <v>#DIV/0!</v>
      </c>
      <c r="C60" s="50" t="e">
        <f t="shared" si="17"/>
        <v>#DIV/0!</v>
      </c>
      <c r="D60" s="50" t="e">
        <f t="shared" si="17"/>
        <v>#DIV/0!</v>
      </c>
      <c r="E60" s="50" t="e">
        <f t="shared" si="17"/>
        <v>#DIV/0!</v>
      </c>
      <c r="F60" s="50" t="e">
        <f t="shared" si="17"/>
        <v>#DIV/0!</v>
      </c>
      <c r="G60" s="50" t="e">
        <f t="shared" si="17"/>
        <v>#DIV/0!</v>
      </c>
      <c r="H60" s="50" t="e">
        <f t="shared" si="17"/>
        <v>#DIV/0!</v>
      </c>
      <c r="I60" s="50" t="e">
        <f t="shared" si="17"/>
        <v>#DIV/0!</v>
      </c>
      <c r="J60" s="50" t="e">
        <f t="shared" si="17"/>
        <v>#DIV/0!</v>
      </c>
      <c r="K60" s="50" t="e">
        <f t="shared" si="17"/>
        <v>#DIV/0!</v>
      </c>
      <c r="L60" s="50" t="e">
        <f t="shared" si="17"/>
        <v>#DIV/0!</v>
      </c>
      <c r="M60" s="50" t="e">
        <f t="shared" si="17"/>
        <v>#DIV/0!</v>
      </c>
      <c r="N60" s="50" t="e">
        <f t="shared" si="17"/>
        <v>#DIV/0!</v>
      </c>
      <c r="O60" s="50" t="e">
        <f t="shared" si="17"/>
        <v>#DIV/0!</v>
      </c>
      <c r="P60" s="50" t="e">
        <f t="shared" si="17"/>
        <v>#DIV/0!</v>
      </c>
      <c r="Q60" s="50" t="e">
        <f t="shared" si="17"/>
        <v>#DIV/0!</v>
      </c>
      <c r="R60" s="50" t="e">
        <f t="shared" si="17"/>
        <v>#DIV/0!</v>
      </c>
      <c r="S60" s="50" t="e">
        <f t="shared" si="17"/>
        <v>#DIV/0!</v>
      </c>
      <c r="T60" s="50" t="e">
        <f t="shared" si="17"/>
        <v>#DIV/0!</v>
      </c>
      <c r="U60" s="50" t="e">
        <f t="shared" si="17"/>
        <v>#DIV/0!</v>
      </c>
      <c r="V60" s="50" t="e">
        <f t="shared" si="17"/>
        <v>#DIV/0!</v>
      </c>
      <c r="W60" s="50" t="e">
        <f t="shared" si="17"/>
        <v>#DIV/0!</v>
      </c>
      <c r="X60" s="50" t="e">
        <f t="shared" si="17"/>
        <v>#DIV/0!</v>
      </c>
      <c r="Y60" s="50" t="e">
        <f t="shared" si="17"/>
        <v>#DIV/0!</v>
      </c>
      <c r="Z60" s="50" t="e">
        <f t="shared" si="17"/>
        <v>#DIV/0!</v>
      </c>
      <c r="AA60" s="50" t="e">
        <f t="shared" si="17"/>
        <v>#DIV/0!</v>
      </c>
      <c r="AB60" s="50" t="e">
        <f t="shared" si="17"/>
        <v>#DIV/0!</v>
      </c>
      <c r="AC60" s="51"/>
      <c r="AD60" s="52" t="e">
        <f t="shared" si="13"/>
        <v>#DIV/0!</v>
      </c>
      <c r="AH60" s="7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</row>
    <row r="61" spans="1:62" s="14" customFormat="1">
      <c r="A61" s="86" t="s">
        <v>109</v>
      </c>
      <c r="B61" s="50" t="e">
        <f t="shared" ref="B61:AB61" si="18">ROUND(B43*$L$51,0)</f>
        <v>#DIV/0!</v>
      </c>
      <c r="C61" s="50" t="e">
        <f t="shared" si="18"/>
        <v>#DIV/0!</v>
      </c>
      <c r="D61" s="50" t="e">
        <f t="shared" si="18"/>
        <v>#DIV/0!</v>
      </c>
      <c r="E61" s="50" t="e">
        <f t="shared" si="18"/>
        <v>#DIV/0!</v>
      </c>
      <c r="F61" s="50" t="e">
        <f t="shared" si="18"/>
        <v>#DIV/0!</v>
      </c>
      <c r="G61" s="50" t="e">
        <f t="shared" si="18"/>
        <v>#DIV/0!</v>
      </c>
      <c r="H61" s="50" t="e">
        <f t="shared" si="18"/>
        <v>#DIV/0!</v>
      </c>
      <c r="I61" s="50" t="e">
        <f t="shared" si="18"/>
        <v>#DIV/0!</v>
      </c>
      <c r="J61" s="50" t="e">
        <f t="shared" si="18"/>
        <v>#DIV/0!</v>
      </c>
      <c r="K61" s="50" t="e">
        <f t="shared" si="18"/>
        <v>#DIV/0!</v>
      </c>
      <c r="L61" s="50" t="e">
        <f t="shared" si="18"/>
        <v>#DIV/0!</v>
      </c>
      <c r="M61" s="50" t="e">
        <f t="shared" si="18"/>
        <v>#DIV/0!</v>
      </c>
      <c r="N61" s="50" t="e">
        <f t="shared" si="18"/>
        <v>#DIV/0!</v>
      </c>
      <c r="O61" s="50" t="e">
        <f t="shared" si="18"/>
        <v>#DIV/0!</v>
      </c>
      <c r="P61" s="50" t="e">
        <f t="shared" si="18"/>
        <v>#DIV/0!</v>
      </c>
      <c r="Q61" s="50" t="e">
        <f t="shared" si="18"/>
        <v>#DIV/0!</v>
      </c>
      <c r="R61" s="50" t="e">
        <f t="shared" si="18"/>
        <v>#DIV/0!</v>
      </c>
      <c r="S61" s="50" t="e">
        <f t="shared" si="18"/>
        <v>#DIV/0!</v>
      </c>
      <c r="T61" s="50" t="e">
        <f t="shared" si="18"/>
        <v>#DIV/0!</v>
      </c>
      <c r="U61" s="50" t="e">
        <f t="shared" si="18"/>
        <v>#DIV/0!</v>
      </c>
      <c r="V61" s="50" t="e">
        <f t="shared" si="18"/>
        <v>#DIV/0!</v>
      </c>
      <c r="W61" s="50" t="e">
        <f t="shared" si="18"/>
        <v>#DIV/0!</v>
      </c>
      <c r="X61" s="50" t="e">
        <f t="shared" si="18"/>
        <v>#DIV/0!</v>
      </c>
      <c r="Y61" s="50" t="e">
        <f t="shared" si="18"/>
        <v>#DIV/0!</v>
      </c>
      <c r="Z61" s="50" t="e">
        <f t="shared" si="18"/>
        <v>#DIV/0!</v>
      </c>
      <c r="AA61" s="50" t="e">
        <f t="shared" si="18"/>
        <v>#DIV/0!</v>
      </c>
      <c r="AB61" s="50" t="e">
        <f t="shared" si="18"/>
        <v>#DIV/0!</v>
      </c>
      <c r="AC61" s="57"/>
      <c r="AD61" s="52" t="e">
        <f t="shared" si="13"/>
        <v>#DIV/0!</v>
      </c>
      <c r="AH61" s="15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</row>
    <row r="62" spans="1:62" s="14" customFormat="1">
      <c r="A62" s="86" t="s">
        <v>110</v>
      </c>
      <c r="B62" s="50" t="e">
        <f t="shared" ref="B62:AB62" si="19">ROUND(B44*$L$51,0)</f>
        <v>#DIV/0!</v>
      </c>
      <c r="C62" s="50" t="e">
        <f t="shared" si="19"/>
        <v>#DIV/0!</v>
      </c>
      <c r="D62" s="50" t="e">
        <f t="shared" si="19"/>
        <v>#DIV/0!</v>
      </c>
      <c r="E62" s="50" t="e">
        <f t="shared" si="19"/>
        <v>#DIV/0!</v>
      </c>
      <c r="F62" s="50" t="e">
        <f t="shared" si="19"/>
        <v>#DIV/0!</v>
      </c>
      <c r="G62" s="50" t="e">
        <f t="shared" si="19"/>
        <v>#DIV/0!</v>
      </c>
      <c r="H62" s="50" t="e">
        <f t="shared" si="19"/>
        <v>#DIV/0!</v>
      </c>
      <c r="I62" s="50" t="e">
        <f t="shared" si="19"/>
        <v>#DIV/0!</v>
      </c>
      <c r="J62" s="50" t="e">
        <f t="shared" si="19"/>
        <v>#DIV/0!</v>
      </c>
      <c r="K62" s="50" t="e">
        <f t="shared" si="19"/>
        <v>#DIV/0!</v>
      </c>
      <c r="L62" s="50" t="e">
        <f t="shared" si="19"/>
        <v>#DIV/0!</v>
      </c>
      <c r="M62" s="50" t="e">
        <f t="shared" si="19"/>
        <v>#DIV/0!</v>
      </c>
      <c r="N62" s="50" t="e">
        <f t="shared" si="19"/>
        <v>#DIV/0!</v>
      </c>
      <c r="O62" s="50" t="e">
        <f t="shared" si="19"/>
        <v>#DIV/0!</v>
      </c>
      <c r="P62" s="50" t="e">
        <f t="shared" si="19"/>
        <v>#DIV/0!</v>
      </c>
      <c r="Q62" s="50" t="e">
        <f t="shared" si="19"/>
        <v>#DIV/0!</v>
      </c>
      <c r="R62" s="50" t="e">
        <f t="shared" si="19"/>
        <v>#DIV/0!</v>
      </c>
      <c r="S62" s="50" t="e">
        <f t="shared" si="19"/>
        <v>#DIV/0!</v>
      </c>
      <c r="T62" s="50" t="e">
        <f t="shared" si="19"/>
        <v>#DIV/0!</v>
      </c>
      <c r="U62" s="50" t="e">
        <f t="shared" si="19"/>
        <v>#DIV/0!</v>
      </c>
      <c r="V62" s="50" t="e">
        <f t="shared" si="19"/>
        <v>#DIV/0!</v>
      </c>
      <c r="W62" s="50" t="e">
        <f t="shared" si="19"/>
        <v>#DIV/0!</v>
      </c>
      <c r="X62" s="50" t="e">
        <f t="shared" si="19"/>
        <v>#DIV/0!</v>
      </c>
      <c r="Y62" s="50" t="e">
        <f t="shared" si="19"/>
        <v>#DIV/0!</v>
      </c>
      <c r="Z62" s="50" t="e">
        <f t="shared" si="19"/>
        <v>#DIV/0!</v>
      </c>
      <c r="AA62" s="50" t="e">
        <f t="shared" si="19"/>
        <v>#DIV/0!</v>
      </c>
      <c r="AB62" s="50" t="e">
        <f t="shared" si="19"/>
        <v>#DIV/0!</v>
      </c>
      <c r="AC62" s="57"/>
      <c r="AD62" s="52" t="e">
        <f t="shared" si="13"/>
        <v>#DIV/0!</v>
      </c>
      <c r="AH62" s="15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</row>
    <row r="63" spans="1:62" s="14" customFormat="1">
      <c r="A63" s="86" t="s">
        <v>111</v>
      </c>
      <c r="B63" s="50" t="e">
        <f t="shared" ref="B63:AB63" si="20">ROUND(B45*$L$51,0)</f>
        <v>#DIV/0!</v>
      </c>
      <c r="C63" s="50" t="e">
        <f t="shared" si="20"/>
        <v>#DIV/0!</v>
      </c>
      <c r="D63" s="50" t="e">
        <f t="shared" si="20"/>
        <v>#DIV/0!</v>
      </c>
      <c r="E63" s="50" t="e">
        <f t="shared" si="20"/>
        <v>#DIV/0!</v>
      </c>
      <c r="F63" s="50" t="e">
        <f t="shared" si="20"/>
        <v>#DIV/0!</v>
      </c>
      <c r="G63" s="50" t="e">
        <f t="shared" si="20"/>
        <v>#DIV/0!</v>
      </c>
      <c r="H63" s="50" t="e">
        <f t="shared" si="20"/>
        <v>#DIV/0!</v>
      </c>
      <c r="I63" s="50" t="e">
        <f t="shared" si="20"/>
        <v>#DIV/0!</v>
      </c>
      <c r="J63" s="50" t="e">
        <f t="shared" si="20"/>
        <v>#DIV/0!</v>
      </c>
      <c r="K63" s="50" t="e">
        <f t="shared" si="20"/>
        <v>#DIV/0!</v>
      </c>
      <c r="L63" s="50" t="e">
        <f t="shared" si="20"/>
        <v>#DIV/0!</v>
      </c>
      <c r="M63" s="50" t="e">
        <f t="shared" si="20"/>
        <v>#DIV/0!</v>
      </c>
      <c r="N63" s="50" t="e">
        <f t="shared" si="20"/>
        <v>#DIV/0!</v>
      </c>
      <c r="O63" s="50" t="e">
        <f t="shared" si="20"/>
        <v>#DIV/0!</v>
      </c>
      <c r="P63" s="50" t="e">
        <f t="shared" si="20"/>
        <v>#DIV/0!</v>
      </c>
      <c r="Q63" s="50" t="e">
        <f t="shared" si="20"/>
        <v>#DIV/0!</v>
      </c>
      <c r="R63" s="50" t="e">
        <f t="shared" si="20"/>
        <v>#DIV/0!</v>
      </c>
      <c r="S63" s="50" t="e">
        <f t="shared" si="20"/>
        <v>#DIV/0!</v>
      </c>
      <c r="T63" s="50" t="e">
        <f t="shared" si="20"/>
        <v>#DIV/0!</v>
      </c>
      <c r="U63" s="50" t="e">
        <f t="shared" si="20"/>
        <v>#DIV/0!</v>
      </c>
      <c r="V63" s="50" t="e">
        <f t="shared" si="20"/>
        <v>#DIV/0!</v>
      </c>
      <c r="W63" s="50" t="e">
        <f t="shared" si="20"/>
        <v>#DIV/0!</v>
      </c>
      <c r="X63" s="50" t="e">
        <f t="shared" si="20"/>
        <v>#DIV/0!</v>
      </c>
      <c r="Y63" s="50" t="e">
        <f t="shared" si="20"/>
        <v>#DIV/0!</v>
      </c>
      <c r="Z63" s="50" t="e">
        <f t="shared" si="20"/>
        <v>#DIV/0!</v>
      </c>
      <c r="AA63" s="50" t="e">
        <f t="shared" si="20"/>
        <v>#DIV/0!</v>
      </c>
      <c r="AB63" s="50" t="e">
        <f t="shared" si="20"/>
        <v>#DIV/0!</v>
      </c>
      <c r="AC63" s="57"/>
      <c r="AD63" s="52" t="e">
        <f t="shared" si="13"/>
        <v>#DIV/0!</v>
      </c>
      <c r="AH63" s="15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</row>
    <row r="64" spans="1:62" s="14" customFormat="1">
      <c r="A64" s="86" t="s">
        <v>112</v>
      </c>
      <c r="B64" s="50" t="e">
        <f t="shared" ref="B64:AB64" si="21">ROUND(B46*$L$51,0)</f>
        <v>#DIV/0!</v>
      </c>
      <c r="C64" s="50" t="e">
        <f t="shared" si="21"/>
        <v>#DIV/0!</v>
      </c>
      <c r="D64" s="50" t="e">
        <f t="shared" si="21"/>
        <v>#DIV/0!</v>
      </c>
      <c r="E64" s="50" t="e">
        <f t="shared" si="21"/>
        <v>#DIV/0!</v>
      </c>
      <c r="F64" s="50" t="e">
        <f t="shared" si="21"/>
        <v>#DIV/0!</v>
      </c>
      <c r="G64" s="50" t="e">
        <f t="shared" si="21"/>
        <v>#DIV/0!</v>
      </c>
      <c r="H64" s="50" t="e">
        <f t="shared" si="21"/>
        <v>#DIV/0!</v>
      </c>
      <c r="I64" s="50" t="e">
        <f t="shared" si="21"/>
        <v>#DIV/0!</v>
      </c>
      <c r="J64" s="50" t="e">
        <f t="shared" si="21"/>
        <v>#DIV/0!</v>
      </c>
      <c r="K64" s="50" t="e">
        <f t="shared" si="21"/>
        <v>#DIV/0!</v>
      </c>
      <c r="L64" s="50" t="e">
        <f t="shared" si="21"/>
        <v>#DIV/0!</v>
      </c>
      <c r="M64" s="50" t="e">
        <f t="shared" si="21"/>
        <v>#DIV/0!</v>
      </c>
      <c r="N64" s="50" t="e">
        <f t="shared" si="21"/>
        <v>#DIV/0!</v>
      </c>
      <c r="O64" s="50" t="e">
        <f t="shared" si="21"/>
        <v>#DIV/0!</v>
      </c>
      <c r="P64" s="50" t="e">
        <f t="shared" si="21"/>
        <v>#DIV/0!</v>
      </c>
      <c r="Q64" s="50" t="e">
        <f t="shared" si="21"/>
        <v>#DIV/0!</v>
      </c>
      <c r="R64" s="50" t="e">
        <f t="shared" si="21"/>
        <v>#DIV/0!</v>
      </c>
      <c r="S64" s="50" t="e">
        <f t="shared" si="21"/>
        <v>#DIV/0!</v>
      </c>
      <c r="T64" s="50" t="e">
        <f t="shared" si="21"/>
        <v>#DIV/0!</v>
      </c>
      <c r="U64" s="50" t="e">
        <f t="shared" si="21"/>
        <v>#DIV/0!</v>
      </c>
      <c r="V64" s="50" t="e">
        <f t="shared" si="21"/>
        <v>#DIV/0!</v>
      </c>
      <c r="W64" s="50" t="e">
        <f t="shared" si="21"/>
        <v>#DIV/0!</v>
      </c>
      <c r="X64" s="50" t="e">
        <f t="shared" si="21"/>
        <v>#DIV/0!</v>
      </c>
      <c r="Y64" s="50" t="e">
        <f t="shared" si="21"/>
        <v>#DIV/0!</v>
      </c>
      <c r="Z64" s="50" t="e">
        <f t="shared" si="21"/>
        <v>#DIV/0!</v>
      </c>
      <c r="AA64" s="50" t="e">
        <f t="shared" si="21"/>
        <v>#DIV/0!</v>
      </c>
      <c r="AB64" s="50" t="e">
        <f t="shared" si="21"/>
        <v>#DIV/0!</v>
      </c>
      <c r="AC64" s="57"/>
      <c r="AD64" s="52" t="e">
        <f t="shared" si="13"/>
        <v>#DIV/0!</v>
      </c>
      <c r="AH64" s="15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</row>
    <row r="65" spans="1:62">
      <c r="A65" s="86" t="s">
        <v>113</v>
      </c>
      <c r="B65" s="50" t="e">
        <f t="shared" ref="B65:AB65" si="22">ROUND(B47*$L$51,0)</f>
        <v>#DIV/0!</v>
      </c>
      <c r="C65" s="50" t="e">
        <f t="shared" si="22"/>
        <v>#DIV/0!</v>
      </c>
      <c r="D65" s="50" t="e">
        <f t="shared" si="22"/>
        <v>#DIV/0!</v>
      </c>
      <c r="E65" s="50" t="e">
        <f t="shared" si="22"/>
        <v>#DIV/0!</v>
      </c>
      <c r="F65" s="50" t="e">
        <f t="shared" si="22"/>
        <v>#DIV/0!</v>
      </c>
      <c r="G65" s="50" t="e">
        <f t="shared" si="22"/>
        <v>#DIV/0!</v>
      </c>
      <c r="H65" s="50" t="e">
        <f t="shared" si="22"/>
        <v>#DIV/0!</v>
      </c>
      <c r="I65" s="50" t="e">
        <f t="shared" si="22"/>
        <v>#DIV/0!</v>
      </c>
      <c r="J65" s="50" t="e">
        <f t="shared" si="22"/>
        <v>#DIV/0!</v>
      </c>
      <c r="K65" s="50" t="e">
        <f t="shared" si="22"/>
        <v>#DIV/0!</v>
      </c>
      <c r="L65" s="50" t="e">
        <f t="shared" si="22"/>
        <v>#DIV/0!</v>
      </c>
      <c r="M65" s="50" t="e">
        <f t="shared" si="22"/>
        <v>#DIV/0!</v>
      </c>
      <c r="N65" s="50" t="e">
        <f t="shared" si="22"/>
        <v>#DIV/0!</v>
      </c>
      <c r="O65" s="50" t="e">
        <f t="shared" si="22"/>
        <v>#DIV/0!</v>
      </c>
      <c r="P65" s="50" t="e">
        <f t="shared" si="22"/>
        <v>#DIV/0!</v>
      </c>
      <c r="Q65" s="50" t="e">
        <f t="shared" si="22"/>
        <v>#DIV/0!</v>
      </c>
      <c r="R65" s="50" t="e">
        <f t="shared" si="22"/>
        <v>#DIV/0!</v>
      </c>
      <c r="S65" s="50" t="e">
        <f t="shared" si="22"/>
        <v>#DIV/0!</v>
      </c>
      <c r="T65" s="50" t="e">
        <f t="shared" si="22"/>
        <v>#DIV/0!</v>
      </c>
      <c r="U65" s="50" t="e">
        <f t="shared" si="22"/>
        <v>#DIV/0!</v>
      </c>
      <c r="V65" s="50" t="e">
        <f t="shared" si="22"/>
        <v>#DIV/0!</v>
      </c>
      <c r="W65" s="50" t="e">
        <f t="shared" si="22"/>
        <v>#DIV/0!</v>
      </c>
      <c r="X65" s="50" t="e">
        <f t="shared" si="22"/>
        <v>#DIV/0!</v>
      </c>
      <c r="Y65" s="50" t="e">
        <f t="shared" si="22"/>
        <v>#DIV/0!</v>
      </c>
      <c r="Z65" s="50" t="e">
        <f t="shared" si="22"/>
        <v>#DIV/0!</v>
      </c>
      <c r="AA65" s="50" t="e">
        <f t="shared" si="22"/>
        <v>#DIV/0!</v>
      </c>
      <c r="AB65" s="50" t="e">
        <f t="shared" si="22"/>
        <v>#DIV/0!</v>
      </c>
      <c r="AC65" s="51"/>
      <c r="AD65" s="52" t="e">
        <f t="shared" si="13"/>
        <v>#DIV/0!</v>
      </c>
      <c r="AH65" s="7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</row>
    <row r="66" spans="1:62">
      <c r="A66" s="60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3"/>
      <c r="AH66" s="7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</row>
    <row r="67" spans="1:62" s="5" customFormat="1">
      <c r="A67" s="59" t="s">
        <v>80</v>
      </c>
      <c r="B67" s="52" t="e">
        <f t="shared" ref="B67:AB67" si="23">SUM(B56:B65)</f>
        <v>#DIV/0!</v>
      </c>
      <c r="C67" s="52" t="e">
        <f t="shared" si="23"/>
        <v>#DIV/0!</v>
      </c>
      <c r="D67" s="52" t="e">
        <f t="shared" si="23"/>
        <v>#DIV/0!</v>
      </c>
      <c r="E67" s="52" t="e">
        <f t="shared" si="23"/>
        <v>#DIV/0!</v>
      </c>
      <c r="F67" s="52" t="e">
        <f t="shared" si="23"/>
        <v>#DIV/0!</v>
      </c>
      <c r="G67" s="52" t="e">
        <f t="shared" si="23"/>
        <v>#DIV/0!</v>
      </c>
      <c r="H67" s="52" t="e">
        <f t="shared" si="23"/>
        <v>#DIV/0!</v>
      </c>
      <c r="I67" s="52" t="e">
        <f t="shared" si="23"/>
        <v>#DIV/0!</v>
      </c>
      <c r="J67" s="52" t="e">
        <f t="shared" si="23"/>
        <v>#DIV/0!</v>
      </c>
      <c r="K67" s="52" t="e">
        <f t="shared" si="23"/>
        <v>#DIV/0!</v>
      </c>
      <c r="L67" s="52" t="e">
        <f t="shared" si="23"/>
        <v>#DIV/0!</v>
      </c>
      <c r="M67" s="52" t="e">
        <f t="shared" si="23"/>
        <v>#DIV/0!</v>
      </c>
      <c r="N67" s="52" t="e">
        <f t="shared" si="23"/>
        <v>#DIV/0!</v>
      </c>
      <c r="O67" s="52" t="e">
        <f t="shared" si="23"/>
        <v>#DIV/0!</v>
      </c>
      <c r="P67" s="52" t="e">
        <f t="shared" si="23"/>
        <v>#DIV/0!</v>
      </c>
      <c r="Q67" s="52" t="e">
        <f t="shared" si="23"/>
        <v>#DIV/0!</v>
      </c>
      <c r="R67" s="52" t="e">
        <f t="shared" si="23"/>
        <v>#DIV/0!</v>
      </c>
      <c r="S67" s="52" t="e">
        <f t="shared" si="23"/>
        <v>#DIV/0!</v>
      </c>
      <c r="T67" s="52" t="e">
        <f t="shared" si="23"/>
        <v>#DIV/0!</v>
      </c>
      <c r="U67" s="52" t="e">
        <f t="shared" si="23"/>
        <v>#DIV/0!</v>
      </c>
      <c r="V67" s="52" t="e">
        <f t="shared" si="23"/>
        <v>#DIV/0!</v>
      </c>
      <c r="W67" s="52" t="e">
        <f t="shared" si="23"/>
        <v>#DIV/0!</v>
      </c>
      <c r="X67" s="52" t="e">
        <f t="shared" si="23"/>
        <v>#DIV/0!</v>
      </c>
      <c r="Y67" s="52" t="e">
        <f t="shared" si="23"/>
        <v>#DIV/0!</v>
      </c>
      <c r="Z67" s="52" t="e">
        <f t="shared" si="23"/>
        <v>#DIV/0!</v>
      </c>
      <c r="AA67" s="52" t="e">
        <f t="shared" si="23"/>
        <v>#DIV/0!</v>
      </c>
      <c r="AB67" s="52" t="e">
        <f t="shared" si="23"/>
        <v>#DIV/0!</v>
      </c>
      <c r="AC67" s="53"/>
      <c r="AD67" s="52" t="e">
        <f>SUM(AD56:AD65)</f>
        <v>#DIV/0!</v>
      </c>
      <c r="AH67" s="7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</row>
    <row r="72" spans="1:62" s="5" customFormat="1"/>
    <row r="73" spans="1:62" s="5" customFormat="1"/>
    <row r="74" spans="1:62" s="5" customFormat="1"/>
    <row r="75" spans="1:62" s="5" customFormat="1"/>
    <row r="76" spans="1:62" s="5" customFormat="1"/>
    <row r="77" spans="1:62" s="5" customFormat="1"/>
    <row r="78" spans="1:62" s="5" customFormat="1"/>
    <row r="79" spans="1:62" s="5" customFormat="1"/>
    <row r="80" spans="1:62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 ht="15" customHeigh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</sheetData>
  <mergeCells count="4">
    <mergeCell ref="A2:A3"/>
    <mergeCell ref="A54:A55"/>
    <mergeCell ref="A25:A26"/>
    <mergeCell ref="A36:A37"/>
  </mergeCells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8CBAD"/>
  </sheetPr>
  <dimension ref="A1:BJ166"/>
  <sheetViews>
    <sheetView showGridLines="0" topLeftCell="A16" zoomScale="90" zoomScaleNormal="90" workbookViewId="0">
      <pane xSplit="1" topLeftCell="L1" activePane="topRight" state="frozen"/>
      <selection pane="topRight" activeCell="J11" sqref="J11"/>
    </sheetView>
  </sheetViews>
  <sheetFormatPr defaultColWidth="10.85546875" defaultRowHeight="15.75"/>
  <cols>
    <col min="1" max="1" width="35.42578125" style="5" customWidth="1"/>
    <col min="2" max="2" width="11.42578125" bestFit="1" customWidth="1"/>
    <col min="11" max="11" width="13.5703125" customWidth="1"/>
    <col min="12" max="12" width="15.7109375" customWidth="1"/>
    <col min="13" max="13" width="19.42578125" customWidth="1"/>
    <col min="14" max="14" width="13.7109375" customWidth="1"/>
    <col min="26" max="26" width="12.42578125" bestFit="1" customWidth="1"/>
    <col min="28" max="28" width="12.140625" customWidth="1"/>
    <col min="30" max="30" width="13.28515625" style="5" bestFit="1" customWidth="1"/>
  </cols>
  <sheetData>
    <row r="1" spans="1:30">
      <c r="A1" s="84">
        <v>2022</v>
      </c>
    </row>
    <row r="2" spans="1:30" ht="15.75" customHeight="1">
      <c r="A2" s="96" t="s">
        <v>116</v>
      </c>
    </row>
    <row r="3" spans="1:30" ht="15.75" customHeight="1">
      <c r="A3" s="97"/>
      <c r="B3" s="6" t="s">
        <v>53</v>
      </c>
      <c r="C3" s="6" t="s">
        <v>54</v>
      </c>
      <c r="D3" s="6" t="s">
        <v>55</v>
      </c>
      <c r="E3" s="6" t="s">
        <v>56</v>
      </c>
      <c r="F3" s="6" t="s">
        <v>57</v>
      </c>
      <c r="G3" s="6" t="s">
        <v>58</v>
      </c>
      <c r="H3" s="6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  <c r="T3" s="6" t="s">
        <v>71</v>
      </c>
      <c r="U3" s="6" t="s">
        <v>72</v>
      </c>
      <c r="V3" s="6" t="s">
        <v>73</v>
      </c>
      <c r="W3" s="6" t="s">
        <v>74</v>
      </c>
      <c r="X3" s="6" t="s">
        <v>75</v>
      </c>
      <c r="Y3" s="6" t="s">
        <v>76</v>
      </c>
      <c r="Z3" s="6" t="s">
        <v>77</v>
      </c>
      <c r="AA3" s="6" t="s">
        <v>78</v>
      </c>
      <c r="AB3" s="6" t="s">
        <v>79</v>
      </c>
      <c r="AD3" s="32" t="s">
        <v>80</v>
      </c>
    </row>
    <row r="4" spans="1:30" ht="15">
      <c r="A4" s="58" t="s">
        <v>81</v>
      </c>
      <c r="B4" s="31">
        <v>3641</v>
      </c>
      <c r="C4" s="31">
        <v>24325</v>
      </c>
      <c r="D4" s="31">
        <v>1456</v>
      </c>
      <c r="E4" s="31">
        <v>16222</v>
      </c>
      <c r="F4" s="31">
        <v>100913</v>
      </c>
      <c r="G4" s="31">
        <v>61019</v>
      </c>
      <c r="H4" s="31">
        <v>58124</v>
      </c>
      <c r="I4" s="31">
        <v>53063</v>
      </c>
      <c r="J4" s="31">
        <v>159902</v>
      </c>
      <c r="K4" s="31">
        <v>13929</v>
      </c>
      <c r="L4" s="31">
        <v>48894</v>
      </c>
      <c r="M4" s="31">
        <v>54585</v>
      </c>
      <c r="N4" s="31">
        <v>436187</v>
      </c>
      <c r="O4" s="31">
        <v>23972</v>
      </c>
      <c r="P4" s="31">
        <v>29376</v>
      </c>
      <c r="Q4" s="31">
        <v>418119</v>
      </c>
      <c r="R4" s="31">
        <v>94047</v>
      </c>
      <c r="S4" s="31">
        <v>18661</v>
      </c>
      <c r="T4" s="31">
        <v>308129</v>
      </c>
      <c r="U4" s="31">
        <v>30212</v>
      </c>
      <c r="V4" s="31">
        <v>196007</v>
      </c>
      <c r="W4" s="31">
        <v>10491</v>
      </c>
      <c r="X4" s="31">
        <v>1458</v>
      </c>
      <c r="Y4" s="31">
        <v>133072</v>
      </c>
      <c r="Z4" s="31">
        <v>1829921</v>
      </c>
      <c r="AA4" s="31">
        <v>18555</v>
      </c>
      <c r="AB4" s="31">
        <v>11042</v>
      </c>
      <c r="AD4" s="52">
        <f>SUM(B4:AB4)</f>
        <v>4155322</v>
      </c>
    </row>
    <row r="5" spans="1:30" ht="15">
      <c r="A5" s="58" t="s">
        <v>82</v>
      </c>
      <c r="B5" s="31">
        <v>1</v>
      </c>
      <c r="C5" s="31">
        <v>1</v>
      </c>
      <c r="D5" s="31"/>
      <c r="E5" s="31"/>
      <c r="F5" s="31">
        <v>17</v>
      </c>
      <c r="G5" s="31">
        <v>57</v>
      </c>
      <c r="H5" s="31"/>
      <c r="I5" s="31">
        <v>319</v>
      </c>
      <c r="J5" s="31">
        <v>27</v>
      </c>
      <c r="K5" s="31">
        <v>6</v>
      </c>
      <c r="L5" s="31">
        <v>272</v>
      </c>
      <c r="M5" s="31">
        <v>15</v>
      </c>
      <c r="N5" s="31">
        <v>439</v>
      </c>
      <c r="O5" s="31">
        <v>11</v>
      </c>
      <c r="P5" s="31">
        <v>14</v>
      </c>
      <c r="Q5" s="31"/>
      <c r="R5" s="31"/>
      <c r="S5" s="31">
        <v>5</v>
      </c>
      <c r="T5" s="31"/>
      <c r="U5" s="31">
        <v>8</v>
      </c>
      <c r="V5" s="31"/>
      <c r="W5" s="31">
        <v>1</v>
      </c>
      <c r="X5" s="31"/>
      <c r="Y5" s="31">
        <v>2</v>
      </c>
      <c r="Z5" s="31">
        <v>917</v>
      </c>
      <c r="AA5" s="31">
        <v>1</v>
      </c>
      <c r="AB5" s="31">
        <v>2</v>
      </c>
      <c r="AC5" s="18"/>
      <c r="AD5" s="52">
        <f t="shared" ref="AD5:AD21" si="0">SUM(B5:AB5)</f>
        <v>2115</v>
      </c>
    </row>
    <row r="6" spans="1:30" ht="15">
      <c r="A6" s="58" t="s">
        <v>83</v>
      </c>
      <c r="B6" s="31">
        <v>0</v>
      </c>
      <c r="C6" s="31">
        <v>932</v>
      </c>
      <c r="D6" s="31">
        <v>1</v>
      </c>
      <c r="E6" s="31">
        <v>44</v>
      </c>
      <c r="F6" s="31">
        <v>1553</v>
      </c>
      <c r="G6" s="31">
        <v>3005</v>
      </c>
      <c r="H6" s="31">
        <v>22</v>
      </c>
      <c r="I6" s="31">
        <v>1861</v>
      </c>
      <c r="J6" s="31">
        <v>204</v>
      </c>
      <c r="K6" s="31">
        <v>8</v>
      </c>
      <c r="L6" s="31">
        <v>69</v>
      </c>
      <c r="M6" s="31">
        <v>208</v>
      </c>
      <c r="N6" s="31">
        <v>2321</v>
      </c>
      <c r="O6" s="31">
        <v>13</v>
      </c>
      <c r="P6" s="31">
        <v>1862</v>
      </c>
      <c r="Q6" s="31">
        <v>1493</v>
      </c>
      <c r="R6" s="31">
        <v>2047</v>
      </c>
      <c r="S6" s="31">
        <v>34</v>
      </c>
      <c r="T6" s="31">
        <v>53255</v>
      </c>
      <c r="U6" s="31">
        <v>4780</v>
      </c>
      <c r="V6" s="31">
        <v>2042</v>
      </c>
      <c r="W6" s="31">
        <v>1</v>
      </c>
      <c r="X6" s="31">
        <v>1</v>
      </c>
      <c r="Y6" s="31">
        <v>3655</v>
      </c>
      <c r="Z6" s="31">
        <v>12142</v>
      </c>
      <c r="AA6" s="31">
        <v>1459</v>
      </c>
      <c r="AB6" s="31">
        <v>8</v>
      </c>
      <c r="AC6" s="18"/>
      <c r="AD6" s="52">
        <f t="shared" si="0"/>
        <v>93020</v>
      </c>
    </row>
    <row r="7" spans="1:30" ht="15">
      <c r="A7" s="58" t="s">
        <v>84</v>
      </c>
      <c r="B7" s="31">
        <v>138263</v>
      </c>
      <c r="C7" s="31">
        <v>454951</v>
      </c>
      <c r="D7" s="31">
        <v>116063</v>
      </c>
      <c r="E7" s="31">
        <v>504698</v>
      </c>
      <c r="F7" s="31">
        <v>2073848</v>
      </c>
      <c r="G7" s="31">
        <v>1525109</v>
      </c>
      <c r="H7" s="31">
        <v>1098422</v>
      </c>
      <c r="I7" s="31">
        <v>933548</v>
      </c>
      <c r="J7" s="31">
        <v>1778559</v>
      </c>
      <c r="K7" s="31">
        <v>877055</v>
      </c>
      <c r="L7" s="31">
        <v>1040358</v>
      </c>
      <c r="M7" s="31">
        <v>709327</v>
      </c>
      <c r="N7" s="31">
        <v>5563419</v>
      </c>
      <c r="O7" s="31">
        <v>1061518</v>
      </c>
      <c r="P7" s="31">
        <v>654204</v>
      </c>
      <c r="Q7" s="31">
        <v>3218487</v>
      </c>
      <c r="R7" s="31">
        <v>1471536</v>
      </c>
      <c r="S7" s="31">
        <v>533125</v>
      </c>
      <c r="T7" s="31">
        <v>2287627</v>
      </c>
      <c r="U7" s="31">
        <v>585433</v>
      </c>
      <c r="V7" s="31">
        <v>2728336</v>
      </c>
      <c r="W7" s="31">
        <v>464450</v>
      </c>
      <c r="X7" s="31">
        <v>109436</v>
      </c>
      <c r="Y7" s="31">
        <v>2455690</v>
      </c>
      <c r="Z7" s="31">
        <v>12768443</v>
      </c>
      <c r="AA7" s="31">
        <v>377753</v>
      </c>
      <c r="AB7" s="31">
        <v>329774</v>
      </c>
      <c r="AC7" s="18"/>
      <c r="AD7" s="52">
        <f t="shared" si="0"/>
        <v>45859432</v>
      </c>
    </row>
    <row r="8" spans="1:30" ht="15">
      <c r="A8" s="58" t="s">
        <v>85</v>
      </c>
      <c r="B8" s="31">
        <v>30126</v>
      </c>
      <c r="C8" s="31">
        <v>77620</v>
      </c>
      <c r="D8" s="31">
        <v>16107</v>
      </c>
      <c r="E8" s="31">
        <v>77534</v>
      </c>
      <c r="F8" s="31">
        <v>415456</v>
      </c>
      <c r="G8" s="31">
        <v>269601</v>
      </c>
      <c r="H8" s="31">
        <v>129555</v>
      </c>
      <c r="I8" s="31">
        <v>226896</v>
      </c>
      <c r="J8" s="31">
        <v>396620</v>
      </c>
      <c r="K8" s="31">
        <v>152967</v>
      </c>
      <c r="L8" s="31">
        <v>298486</v>
      </c>
      <c r="M8" s="31">
        <v>195776</v>
      </c>
      <c r="N8" s="31">
        <v>1013466</v>
      </c>
      <c r="O8" s="31">
        <v>228057</v>
      </c>
      <c r="P8" s="31">
        <v>102321</v>
      </c>
      <c r="Q8" s="31">
        <v>816349</v>
      </c>
      <c r="R8" s="31">
        <v>255698</v>
      </c>
      <c r="S8" s="31">
        <v>113923</v>
      </c>
      <c r="T8" s="31">
        <v>386413</v>
      </c>
      <c r="U8" s="31">
        <v>115808</v>
      </c>
      <c r="V8" s="31">
        <v>706398</v>
      </c>
      <c r="W8" s="31">
        <v>112557</v>
      </c>
      <c r="X8" s="31">
        <v>24770</v>
      </c>
      <c r="Y8" s="31">
        <v>505072</v>
      </c>
      <c r="Z8" s="31">
        <v>2020008</v>
      </c>
      <c r="AA8" s="31">
        <v>63211</v>
      </c>
      <c r="AB8" s="31">
        <v>88764</v>
      </c>
      <c r="AC8" s="18"/>
      <c r="AD8" s="52">
        <f t="shared" si="0"/>
        <v>8839559</v>
      </c>
    </row>
    <row r="9" spans="1:30" ht="15">
      <c r="A9" s="58" t="s">
        <v>86</v>
      </c>
      <c r="B9" s="31">
        <v>0</v>
      </c>
      <c r="C9" s="31"/>
      <c r="D9" s="31"/>
      <c r="E9" s="31">
        <v>14</v>
      </c>
      <c r="F9" s="31">
        <v>24</v>
      </c>
      <c r="G9" s="31">
        <v>21</v>
      </c>
      <c r="H9" s="31">
        <v>24</v>
      </c>
      <c r="I9" s="31">
        <v>19</v>
      </c>
      <c r="J9" s="31">
        <v>37</v>
      </c>
      <c r="K9" s="31">
        <v>14</v>
      </c>
      <c r="L9" s="31">
        <v>39</v>
      </c>
      <c r="M9" s="31">
        <v>33</v>
      </c>
      <c r="N9" s="31">
        <v>49</v>
      </c>
      <c r="O9" s="31">
        <v>12</v>
      </c>
      <c r="P9" s="31">
        <v>12</v>
      </c>
      <c r="Q9" s="31">
        <v>62</v>
      </c>
      <c r="R9" s="31">
        <v>26</v>
      </c>
      <c r="S9" s="31">
        <v>25</v>
      </c>
      <c r="T9" s="31">
        <v>109</v>
      </c>
      <c r="U9" s="31">
        <v>17</v>
      </c>
      <c r="V9" s="31">
        <v>56</v>
      </c>
      <c r="W9" s="31"/>
      <c r="X9" s="31">
        <v>1</v>
      </c>
      <c r="Y9" s="31">
        <v>116</v>
      </c>
      <c r="Z9" s="31">
        <v>362</v>
      </c>
      <c r="AA9" s="31">
        <v>2</v>
      </c>
      <c r="AB9" s="31">
        <v>14</v>
      </c>
      <c r="AC9" s="18"/>
      <c r="AD9" s="52">
        <f t="shared" si="0"/>
        <v>1088</v>
      </c>
    </row>
    <row r="10" spans="1:30" ht="15">
      <c r="A10" s="58" t="s">
        <v>87</v>
      </c>
      <c r="B10" s="31">
        <v>0</v>
      </c>
      <c r="C10" s="31"/>
      <c r="D10" s="31"/>
      <c r="E10" s="31"/>
      <c r="F10" s="31">
        <v>2</v>
      </c>
      <c r="G10" s="31"/>
      <c r="H10" s="31">
        <v>4</v>
      </c>
      <c r="I10" s="31">
        <v>1</v>
      </c>
      <c r="J10" s="31">
        <v>2</v>
      </c>
      <c r="K10" s="31">
        <v>1</v>
      </c>
      <c r="L10" s="31">
        <v>1</v>
      </c>
      <c r="M10" s="31">
        <v>1</v>
      </c>
      <c r="N10" s="31">
        <v>1</v>
      </c>
      <c r="O10" s="31"/>
      <c r="P10" s="31"/>
      <c r="Q10" s="31"/>
      <c r="R10" s="31"/>
      <c r="S10" s="31"/>
      <c r="T10" s="31"/>
      <c r="U10" s="31"/>
      <c r="V10" s="31">
        <v>5</v>
      </c>
      <c r="W10" s="31">
        <v>1</v>
      </c>
      <c r="X10" s="31">
        <v>1</v>
      </c>
      <c r="Y10" s="31">
        <v>1</v>
      </c>
      <c r="Z10" s="31">
        <v>18</v>
      </c>
      <c r="AA10" s="31"/>
      <c r="AB10" s="31"/>
      <c r="AC10" s="18"/>
      <c r="AD10" s="52">
        <f t="shared" si="0"/>
        <v>39</v>
      </c>
    </row>
    <row r="11" spans="1:30" ht="15">
      <c r="A11" s="58" t="s">
        <v>88</v>
      </c>
      <c r="B11" s="31">
        <v>0</v>
      </c>
      <c r="C11" s="31"/>
      <c r="D11" s="31"/>
      <c r="E11" s="31">
        <v>1</v>
      </c>
      <c r="F11" s="31">
        <v>4</v>
      </c>
      <c r="G11" s="31">
        <v>1</v>
      </c>
      <c r="H11" s="31">
        <v>4</v>
      </c>
      <c r="I11" s="31">
        <v>12</v>
      </c>
      <c r="J11" s="31"/>
      <c r="K11" s="31"/>
      <c r="L11" s="31">
        <v>1</v>
      </c>
      <c r="M11" s="31"/>
      <c r="N11" s="31">
        <v>7</v>
      </c>
      <c r="O11" s="31">
        <v>1</v>
      </c>
      <c r="P11" s="31"/>
      <c r="Q11" s="31">
        <v>22</v>
      </c>
      <c r="R11" s="31"/>
      <c r="S11" s="31"/>
      <c r="T11" s="31">
        <v>31</v>
      </c>
      <c r="U11" s="31">
        <v>2</v>
      </c>
      <c r="V11" s="31">
        <v>12</v>
      </c>
      <c r="W11" s="31"/>
      <c r="X11" s="31"/>
      <c r="Y11" s="31">
        <v>41</v>
      </c>
      <c r="Z11" s="31">
        <v>69</v>
      </c>
      <c r="AA11" s="31">
        <v>1</v>
      </c>
      <c r="AB11" s="31"/>
      <c r="AC11" s="18"/>
      <c r="AD11" s="52">
        <f t="shared" si="0"/>
        <v>209</v>
      </c>
    </row>
    <row r="12" spans="1:30" ht="15">
      <c r="A12" s="58" t="s">
        <v>89</v>
      </c>
      <c r="B12" s="31">
        <v>3</v>
      </c>
      <c r="C12" s="31">
        <v>117</v>
      </c>
      <c r="D12" s="31">
        <v>5</v>
      </c>
      <c r="E12" s="31">
        <v>72</v>
      </c>
      <c r="F12" s="31">
        <v>412</v>
      </c>
      <c r="G12" s="31">
        <v>229</v>
      </c>
      <c r="H12" s="31">
        <v>500</v>
      </c>
      <c r="I12" s="31">
        <v>206</v>
      </c>
      <c r="J12" s="31">
        <v>213</v>
      </c>
      <c r="K12" s="31">
        <v>31</v>
      </c>
      <c r="L12" s="31">
        <v>53</v>
      </c>
      <c r="M12" s="31">
        <v>53</v>
      </c>
      <c r="N12" s="31">
        <v>1335</v>
      </c>
      <c r="O12" s="31">
        <v>55</v>
      </c>
      <c r="P12" s="31">
        <v>112</v>
      </c>
      <c r="Q12" s="31">
        <v>1814</v>
      </c>
      <c r="R12" s="31">
        <v>1279</v>
      </c>
      <c r="S12" s="31">
        <v>30</v>
      </c>
      <c r="T12" s="31">
        <v>759</v>
      </c>
      <c r="U12" s="31">
        <v>228</v>
      </c>
      <c r="V12" s="31">
        <v>457</v>
      </c>
      <c r="W12" s="31">
        <v>12</v>
      </c>
      <c r="X12" s="31"/>
      <c r="Y12" s="31">
        <v>534</v>
      </c>
      <c r="Z12" s="31">
        <v>5026</v>
      </c>
      <c r="AA12" s="31">
        <v>148</v>
      </c>
      <c r="AB12" s="31">
        <v>14</v>
      </c>
      <c r="AC12" s="18"/>
      <c r="AD12" s="52">
        <f t="shared" si="0"/>
        <v>13697</v>
      </c>
    </row>
    <row r="13" spans="1:30" ht="15">
      <c r="A13" s="58" t="s">
        <v>90</v>
      </c>
      <c r="B13" s="31">
        <v>15</v>
      </c>
      <c r="C13" s="31">
        <v>4</v>
      </c>
      <c r="D13" s="31">
        <v>9</v>
      </c>
      <c r="E13" s="31">
        <v>38</v>
      </c>
      <c r="F13" s="31">
        <v>55</v>
      </c>
      <c r="G13" s="31">
        <v>33</v>
      </c>
      <c r="H13" s="31">
        <v>159</v>
      </c>
      <c r="I13" s="31">
        <v>25</v>
      </c>
      <c r="J13" s="31">
        <v>141</v>
      </c>
      <c r="K13" s="31">
        <v>115</v>
      </c>
      <c r="L13" s="31">
        <v>222</v>
      </c>
      <c r="M13" s="31">
        <v>44</v>
      </c>
      <c r="N13" s="31">
        <v>444</v>
      </c>
      <c r="O13" s="31">
        <v>58</v>
      </c>
      <c r="P13" s="31">
        <v>18</v>
      </c>
      <c r="Q13" s="31">
        <v>585</v>
      </c>
      <c r="R13" s="31">
        <v>204</v>
      </c>
      <c r="S13" s="31">
        <v>39</v>
      </c>
      <c r="T13" s="31">
        <v>401</v>
      </c>
      <c r="U13" s="31">
        <v>47</v>
      </c>
      <c r="V13" s="31">
        <v>168</v>
      </c>
      <c r="W13" s="31">
        <v>35</v>
      </c>
      <c r="X13" s="31">
        <v>21</v>
      </c>
      <c r="Y13" s="31">
        <v>176</v>
      </c>
      <c r="Z13" s="31">
        <v>1631</v>
      </c>
      <c r="AA13" s="31">
        <v>4</v>
      </c>
      <c r="AB13" s="31">
        <v>20</v>
      </c>
      <c r="AC13" s="18"/>
      <c r="AD13" s="52">
        <f t="shared" si="0"/>
        <v>4711</v>
      </c>
    </row>
    <row r="14" spans="1:30" ht="15">
      <c r="A14" s="58" t="s">
        <v>91</v>
      </c>
      <c r="B14" s="31"/>
      <c r="C14" s="31">
        <v>0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>
        <v>1</v>
      </c>
      <c r="U14" s="31"/>
      <c r="V14" s="31"/>
      <c r="W14" s="31"/>
      <c r="X14" s="31"/>
      <c r="Y14" s="31"/>
      <c r="Z14" s="31"/>
      <c r="AA14" s="31"/>
      <c r="AB14" s="31"/>
      <c r="AC14" s="18"/>
      <c r="AD14" s="52">
        <f t="shared" si="0"/>
        <v>1</v>
      </c>
    </row>
    <row r="15" spans="1:30" ht="15">
      <c r="A15" s="58" t="s">
        <v>92</v>
      </c>
      <c r="B15" s="31"/>
      <c r="C15" s="31">
        <v>1</v>
      </c>
      <c r="D15" s="31"/>
      <c r="E15" s="31">
        <v>7</v>
      </c>
      <c r="F15" s="31">
        <v>21</v>
      </c>
      <c r="G15" s="31"/>
      <c r="H15" s="31">
        <v>1</v>
      </c>
      <c r="I15" s="31">
        <v>11</v>
      </c>
      <c r="J15" s="31">
        <v>22</v>
      </c>
      <c r="K15" s="31">
        <v>2</v>
      </c>
      <c r="L15" s="31">
        <v>3</v>
      </c>
      <c r="M15" s="31">
        <v>2</v>
      </c>
      <c r="N15" s="31">
        <v>56</v>
      </c>
      <c r="O15" s="31"/>
      <c r="P15" s="31">
        <v>1</v>
      </c>
      <c r="Q15" s="31">
        <v>26</v>
      </c>
      <c r="R15" s="31"/>
      <c r="S15" s="31">
        <v>2</v>
      </c>
      <c r="T15" s="31">
        <v>10</v>
      </c>
      <c r="U15" s="31">
        <v>2</v>
      </c>
      <c r="V15" s="31">
        <v>70</v>
      </c>
      <c r="W15" s="31"/>
      <c r="X15" s="31"/>
      <c r="Y15" s="31">
        <v>12</v>
      </c>
      <c r="Z15" s="31">
        <v>270</v>
      </c>
      <c r="AA15" s="31">
        <v>3</v>
      </c>
      <c r="AB15" s="31"/>
      <c r="AC15" s="18"/>
      <c r="AD15" s="52">
        <f t="shared" si="0"/>
        <v>522</v>
      </c>
    </row>
    <row r="16" spans="1:30" ht="15">
      <c r="A16" s="58" t="s">
        <v>93</v>
      </c>
      <c r="B16" s="31">
        <v>6</v>
      </c>
      <c r="C16" s="31">
        <v>6</v>
      </c>
      <c r="D16" s="31">
        <v>2</v>
      </c>
      <c r="E16" s="31">
        <v>2</v>
      </c>
      <c r="F16" s="31">
        <v>66</v>
      </c>
      <c r="G16" s="31">
        <v>175</v>
      </c>
      <c r="H16" s="31">
        <v>3</v>
      </c>
      <c r="I16" s="31">
        <v>1822</v>
      </c>
      <c r="J16" s="31">
        <v>80</v>
      </c>
      <c r="K16" s="31">
        <v>7</v>
      </c>
      <c r="L16" s="31">
        <v>11</v>
      </c>
      <c r="M16" s="31">
        <v>32</v>
      </c>
      <c r="N16" s="31">
        <v>69</v>
      </c>
      <c r="O16" s="31"/>
      <c r="P16" s="31">
        <v>29</v>
      </c>
      <c r="Q16" s="31"/>
      <c r="R16" s="31">
        <v>17</v>
      </c>
      <c r="S16" s="31">
        <v>17</v>
      </c>
      <c r="T16" s="31">
        <v>17</v>
      </c>
      <c r="U16" s="31">
        <v>44</v>
      </c>
      <c r="V16" s="31"/>
      <c r="W16" s="31">
        <v>2</v>
      </c>
      <c r="X16" s="31">
        <v>1</v>
      </c>
      <c r="Y16" s="31">
        <v>23</v>
      </c>
      <c r="Z16" s="31">
        <v>7033</v>
      </c>
      <c r="AA16" s="31">
        <v>1</v>
      </c>
      <c r="AB16" s="31">
        <v>176</v>
      </c>
      <c r="AC16" s="18"/>
      <c r="AD16" s="52">
        <f t="shared" si="0"/>
        <v>9641</v>
      </c>
    </row>
    <row r="17" spans="1:61" ht="15">
      <c r="A17" s="58" t="s">
        <v>94</v>
      </c>
      <c r="B17" s="31">
        <v>147655</v>
      </c>
      <c r="C17" s="31">
        <v>391775</v>
      </c>
      <c r="D17" s="31">
        <v>90574</v>
      </c>
      <c r="E17" s="31">
        <v>416766</v>
      </c>
      <c r="F17" s="31">
        <v>1990269</v>
      </c>
      <c r="G17" s="31">
        <v>1584885</v>
      </c>
      <c r="H17" s="31">
        <v>667464</v>
      </c>
      <c r="I17" s="31">
        <v>864182</v>
      </c>
      <c r="J17" s="31">
        <v>1811152</v>
      </c>
      <c r="K17" s="31">
        <v>905698</v>
      </c>
      <c r="L17" s="31">
        <v>966579</v>
      </c>
      <c r="M17" s="31">
        <v>738131</v>
      </c>
      <c r="N17" s="31">
        <v>5286294</v>
      </c>
      <c r="O17" s="31">
        <v>1033894</v>
      </c>
      <c r="P17" s="31">
        <v>666645</v>
      </c>
      <c r="Q17" s="31">
        <v>3576153</v>
      </c>
      <c r="R17" s="31">
        <v>1387852</v>
      </c>
      <c r="S17" s="31">
        <v>677050</v>
      </c>
      <c r="T17" s="31">
        <v>2631264</v>
      </c>
      <c r="U17" s="31">
        <v>648554</v>
      </c>
      <c r="V17" s="31">
        <v>3699646</v>
      </c>
      <c r="W17" s="31">
        <v>508110</v>
      </c>
      <c r="X17" s="31">
        <v>115098</v>
      </c>
      <c r="Y17" s="31">
        <v>2395604</v>
      </c>
      <c r="Z17" s="31">
        <v>14069111</v>
      </c>
      <c r="AA17" s="31">
        <v>376140</v>
      </c>
      <c r="AB17" s="31">
        <v>333787</v>
      </c>
      <c r="AC17" s="18"/>
      <c r="AD17" s="52">
        <f t="shared" si="0"/>
        <v>47980332</v>
      </c>
    </row>
    <row r="18" spans="1:61" ht="15">
      <c r="A18" s="58" t="s">
        <v>95</v>
      </c>
      <c r="B18" s="31">
        <v>124</v>
      </c>
      <c r="C18" s="31">
        <v>409</v>
      </c>
      <c r="D18" s="31">
        <v>131</v>
      </c>
      <c r="E18" s="31">
        <v>423</v>
      </c>
      <c r="F18" s="31">
        <v>2016</v>
      </c>
      <c r="G18" s="31">
        <v>1133</v>
      </c>
      <c r="H18" s="31">
        <v>2101</v>
      </c>
      <c r="I18" s="31">
        <v>1221</v>
      </c>
      <c r="J18" s="31">
        <v>1735</v>
      </c>
      <c r="K18" s="31">
        <v>789</v>
      </c>
      <c r="L18" s="31">
        <v>1213</v>
      </c>
      <c r="M18" s="31">
        <v>785</v>
      </c>
      <c r="N18" s="31">
        <v>3666</v>
      </c>
      <c r="O18" s="31">
        <v>942</v>
      </c>
      <c r="P18" s="31">
        <v>596</v>
      </c>
      <c r="Q18" s="31">
        <v>2436</v>
      </c>
      <c r="R18" s="31">
        <v>1119</v>
      </c>
      <c r="S18" s="31">
        <v>489</v>
      </c>
      <c r="T18" s="31">
        <v>3528</v>
      </c>
      <c r="U18" s="31">
        <v>440</v>
      </c>
      <c r="V18" s="31">
        <v>2076</v>
      </c>
      <c r="W18" s="31">
        <v>332</v>
      </c>
      <c r="X18" s="31">
        <v>89</v>
      </c>
      <c r="Y18" s="31">
        <v>2369</v>
      </c>
      <c r="Z18" s="31">
        <v>12341</v>
      </c>
      <c r="AA18" s="31">
        <v>304</v>
      </c>
      <c r="AB18" s="31">
        <v>272</v>
      </c>
      <c r="AC18" s="18"/>
      <c r="AD18" s="52">
        <f t="shared" si="0"/>
        <v>43079</v>
      </c>
    </row>
    <row r="19" spans="1:61" ht="15">
      <c r="A19" s="58" t="s">
        <v>96</v>
      </c>
      <c r="B19" s="31">
        <v>12</v>
      </c>
      <c r="C19" s="31">
        <v>14208</v>
      </c>
      <c r="D19" s="31">
        <v>8</v>
      </c>
      <c r="E19" s="31">
        <v>2115</v>
      </c>
      <c r="F19" s="31">
        <v>47115</v>
      </c>
      <c r="G19" s="31">
        <v>27837</v>
      </c>
      <c r="H19" s="31">
        <v>880</v>
      </c>
      <c r="I19" s="31">
        <v>18038</v>
      </c>
      <c r="J19" s="31">
        <v>1856</v>
      </c>
      <c r="K19" s="31">
        <v>161</v>
      </c>
      <c r="L19" s="31">
        <v>1394</v>
      </c>
      <c r="M19" s="31">
        <v>968</v>
      </c>
      <c r="N19" s="31">
        <v>18357</v>
      </c>
      <c r="O19" s="31">
        <v>195</v>
      </c>
      <c r="P19" s="31">
        <v>7630</v>
      </c>
      <c r="Q19" s="31">
        <v>18518</v>
      </c>
      <c r="R19" s="31">
        <v>61731</v>
      </c>
      <c r="S19" s="31">
        <v>384</v>
      </c>
      <c r="T19" s="31">
        <v>883191</v>
      </c>
      <c r="U19" s="31">
        <v>18297</v>
      </c>
      <c r="V19" s="31">
        <v>47518</v>
      </c>
      <c r="W19" s="31">
        <v>37</v>
      </c>
      <c r="X19" s="31">
        <v>45</v>
      </c>
      <c r="Y19" s="31">
        <v>52568</v>
      </c>
      <c r="Z19" s="31">
        <v>75749</v>
      </c>
      <c r="AA19" s="31">
        <v>9420</v>
      </c>
      <c r="AB19" s="31">
        <v>176</v>
      </c>
      <c r="AC19" s="18"/>
      <c r="AD19" s="52">
        <f t="shared" si="0"/>
        <v>1308408</v>
      </c>
    </row>
    <row r="20" spans="1:61" ht="15">
      <c r="A20" s="58" t="s">
        <v>97</v>
      </c>
      <c r="B20" s="31">
        <v>50</v>
      </c>
      <c r="C20" s="31">
        <v>291</v>
      </c>
      <c r="D20" s="31">
        <v>33</v>
      </c>
      <c r="E20" s="31">
        <v>338</v>
      </c>
      <c r="F20" s="31">
        <v>1464</v>
      </c>
      <c r="G20" s="31">
        <v>678</v>
      </c>
      <c r="H20" s="31">
        <v>1940</v>
      </c>
      <c r="I20" s="31">
        <v>1282</v>
      </c>
      <c r="J20" s="31">
        <v>1165</v>
      </c>
      <c r="K20" s="31">
        <v>264</v>
      </c>
      <c r="L20" s="31">
        <v>824</v>
      </c>
      <c r="M20" s="31">
        <v>716</v>
      </c>
      <c r="N20" s="31">
        <v>3295</v>
      </c>
      <c r="O20" s="31">
        <v>362</v>
      </c>
      <c r="P20" s="31">
        <v>338</v>
      </c>
      <c r="Q20" s="31">
        <v>3212</v>
      </c>
      <c r="R20" s="31">
        <v>917</v>
      </c>
      <c r="S20" s="31">
        <v>279</v>
      </c>
      <c r="T20" s="31">
        <v>2846</v>
      </c>
      <c r="U20" s="31">
        <v>287</v>
      </c>
      <c r="V20" s="31">
        <v>3073</v>
      </c>
      <c r="W20" s="31">
        <v>124</v>
      </c>
      <c r="X20" s="31">
        <v>25</v>
      </c>
      <c r="Y20" s="31">
        <v>3928</v>
      </c>
      <c r="Z20" s="31">
        <v>17489</v>
      </c>
      <c r="AA20" s="31">
        <v>243</v>
      </c>
      <c r="AB20" s="31">
        <v>68</v>
      </c>
      <c r="AC20" s="18"/>
      <c r="AD20" s="52">
        <f t="shared" si="0"/>
        <v>45531</v>
      </c>
    </row>
    <row r="21" spans="1:61" ht="15">
      <c r="A21" s="58" t="s">
        <v>98</v>
      </c>
      <c r="B21" s="31">
        <v>9</v>
      </c>
      <c r="C21" s="31">
        <v>9635</v>
      </c>
      <c r="D21" s="31">
        <v>9</v>
      </c>
      <c r="E21" s="31">
        <v>461</v>
      </c>
      <c r="F21" s="31">
        <v>24746</v>
      </c>
      <c r="G21" s="31">
        <v>24463</v>
      </c>
      <c r="H21" s="31">
        <v>751</v>
      </c>
      <c r="I21" s="31">
        <v>21776</v>
      </c>
      <c r="J21" s="31">
        <v>3108</v>
      </c>
      <c r="K21" s="31">
        <v>185</v>
      </c>
      <c r="L21" s="31">
        <v>808</v>
      </c>
      <c r="M21" s="31">
        <v>3892</v>
      </c>
      <c r="N21" s="31">
        <v>22183</v>
      </c>
      <c r="O21" s="31">
        <v>280</v>
      </c>
      <c r="P21" s="31">
        <v>13684</v>
      </c>
      <c r="Q21" s="31">
        <v>23051</v>
      </c>
      <c r="R21" s="31">
        <v>29599</v>
      </c>
      <c r="S21" s="31">
        <v>451</v>
      </c>
      <c r="T21" s="31">
        <v>699343</v>
      </c>
      <c r="U21" s="31">
        <v>31067</v>
      </c>
      <c r="V21" s="31">
        <v>42509</v>
      </c>
      <c r="W21" s="31">
        <v>62</v>
      </c>
      <c r="X21" s="31">
        <v>24</v>
      </c>
      <c r="Y21" s="31">
        <v>59533</v>
      </c>
      <c r="Z21" s="31">
        <v>202549</v>
      </c>
      <c r="AA21" s="31">
        <v>11168</v>
      </c>
      <c r="AB21" s="31">
        <v>167</v>
      </c>
      <c r="AC21" s="18"/>
      <c r="AD21" s="52">
        <f t="shared" si="0"/>
        <v>1225513</v>
      </c>
    </row>
    <row r="22" spans="1:61">
      <c r="A22" s="7"/>
      <c r="B22" s="18"/>
      <c r="C22" s="18"/>
      <c r="AC22" s="18"/>
      <c r="AD22" s="51"/>
    </row>
    <row r="23" spans="1:61">
      <c r="A23" s="1" t="s">
        <v>99</v>
      </c>
      <c r="B23" s="55">
        <f>SUM(B4:B21)</f>
        <v>319905</v>
      </c>
      <c r="C23" s="55">
        <f t="shared" ref="C23:AB23" si="1">SUM(C4:C21)</f>
        <v>974275</v>
      </c>
      <c r="D23" s="55">
        <f t="shared" si="1"/>
        <v>224398</v>
      </c>
      <c r="E23" s="55">
        <f t="shared" si="1"/>
        <v>1018735</v>
      </c>
      <c r="F23" s="55">
        <f t="shared" si="1"/>
        <v>4657981</v>
      </c>
      <c r="G23" s="55">
        <f t="shared" si="1"/>
        <v>3498246</v>
      </c>
      <c r="H23" s="55">
        <f t="shared" si="1"/>
        <v>1959954</v>
      </c>
      <c r="I23" s="55">
        <f t="shared" si="1"/>
        <v>2124282</v>
      </c>
      <c r="J23" s="55">
        <f t="shared" si="1"/>
        <v>4154823</v>
      </c>
      <c r="K23" s="55">
        <f t="shared" si="1"/>
        <v>1951232</v>
      </c>
      <c r="L23" s="55">
        <f t="shared" si="1"/>
        <v>2359227</v>
      </c>
      <c r="M23" s="55">
        <f t="shared" si="1"/>
        <v>1704568</v>
      </c>
      <c r="N23" s="55">
        <f t="shared" si="1"/>
        <v>12351588</v>
      </c>
      <c r="O23" s="55">
        <f t="shared" si="1"/>
        <v>2349370</v>
      </c>
      <c r="P23" s="55">
        <f t="shared" si="1"/>
        <v>1476842</v>
      </c>
      <c r="Q23" s="55">
        <f t="shared" si="1"/>
        <v>8080327</v>
      </c>
      <c r="R23" s="55">
        <f t="shared" si="1"/>
        <v>3306072</v>
      </c>
      <c r="S23" s="55">
        <f t="shared" si="1"/>
        <v>1344514</v>
      </c>
      <c r="T23" s="55">
        <f t="shared" si="1"/>
        <v>7256924</v>
      </c>
      <c r="U23" s="55">
        <f t="shared" si="1"/>
        <v>1435226</v>
      </c>
      <c r="V23" s="55">
        <f t="shared" si="1"/>
        <v>7428373</v>
      </c>
      <c r="W23" s="55">
        <f t="shared" si="1"/>
        <v>1096215</v>
      </c>
      <c r="X23" s="55">
        <f t="shared" si="1"/>
        <v>250970</v>
      </c>
      <c r="Y23" s="55">
        <f t="shared" si="1"/>
        <v>5612396</v>
      </c>
      <c r="Z23" s="55">
        <f t="shared" si="1"/>
        <v>31023079</v>
      </c>
      <c r="AA23" s="55">
        <f t="shared" si="1"/>
        <v>858413</v>
      </c>
      <c r="AB23" s="55">
        <f t="shared" si="1"/>
        <v>764284</v>
      </c>
      <c r="AC23" s="8"/>
      <c r="AD23" s="52">
        <f>SUM(AD4:AD21)</f>
        <v>109582219</v>
      </c>
    </row>
    <row r="24" spans="1:6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61">
      <c r="A25" s="98" t="s">
        <v>100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61" s="5" customFormat="1">
      <c r="A26" s="99"/>
      <c r="B26" s="62" t="s">
        <v>53</v>
      </c>
      <c r="C26" s="6" t="s">
        <v>54</v>
      </c>
      <c r="D26" s="6" t="s">
        <v>55</v>
      </c>
      <c r="E26" s="6" t="s">
        <v>56</v>
      </c>
      <c r="F26" s="6" t="s">
        <v>57</v>
      </c>
      <c r="G26" s="6" t="s">
        <v>58</v>
      </c>
      <c r="H26" s="6" t="s">
        <v>59</v>
      </c>
      <c r="I26" s="6" t="s">
        <v>60</v>
      </c>
      <c r="J26" s="6" t="s">
        <v>61</v>
      </c>
      <c r="K26" s="6" t="s">
        <v>62</v>
      </c>
      <c r="L26" s="6" t="s">
        <v>63</v>
      </c>
      <c r="M26" s="6" t="s">
        <v>64</v>
      </c>
      <c r="N26" s="6" t="s">
        <v>65</v>
      </c>
      <c r="O26" s="6" t="s">
        <v>66</v>
      </c>
      <c r="P26" s="6" t="s">
        <v>67</v>
      </c>
      <c r="Q26" s="6" t="s">
        <v>68</v>
      </c>
      <c r="R26" s="6" t="s">
        <v>69</v>
      </c>
      <c r="S26" s="6" t="s">
        <v>70</v>
      </c>
      <c r="T26" s="6" t="s">
        <v>71</v>
      </c>
      <c r="U26" s="6" t="s">
        <v>72</v>
      </c>
      <c r="V26" s="6" t="s">
        <v>73</v>
      </c>
      <c r="W26" s="6" t="s">
        <v>74</v>
      </c>
      <c r="X26" s="6" t="s">
        <v>75</v>
      </c>
      <c r="Y26" s="6" t="s">
        <v>76</v>
      </c>
      <c r="Z26" s="6" t="s">
        <v>77</v>
      </c>
      <c r="AA26" s="6" t="s">
        <v>78</v>
      </c>
      <c r="AB26" s="6" t="s">
        <v>79</v>
      </c>
      <c r="AD26" s="6" t="s">
        <v>101</v>
      </c>
    </row>
    <row r="27" spans="1:61">
      <c r="A27" s="59" t="s">
        <v>81</v>
      </c>
      <c r="B27" s="50">
        <f>B4+B5</f>
        <v>3642</v>
      </c>
      <c r="C27" s="50">
        <f t="shared" ref="C27:AB27" si="2">C4+C5</f>
        <v>24326</v>
      </c>
      <c r="D27" s="50">
        <f t="shared" si="2"/>
        <v>1456</v>
      </c>
      <c r="E27" s="50">
        <f t="shared" si="2"/>
        <v>16222</v>
      </c>
      <c r="F27" s="50">
        <f t="shared" si="2"/>
        <v>100930</v>
      </c>
      <c r="G27" s="50">
        <f t="shared" si="2"/>
        <v>61076</v>
      </c>
      <c r="H27" s="50">
        <f t="shared" si="2"/>
        <v>58124</v>
      </c>
      <c r="I27" s="50">
        <f t="shared" si="2"/>
        <v>53382</v>
      </c>
      <c r="J27" s="50">
        <f t="shared" si="2"/>
        <v>159929</v>
      </c>
      <c r="K27" s="50">
        <f t="shared" si="2"/>
        <v>13935</v>
      </c>
      <c r="L27" s="50">
        <f t="shared" si="2"/>
        <v>49166</v>
      </c>
      <c r="M27" s="50">
        <f t="shared" si="2"/>
        <v>54600</v>
      </c>
      <c r="N27" s="50">
        <f t="shared" si="2"/>
        <v>436626</v>
      </c>
      <c r="O27" s="50">
        <f t="shared" si="2"/>
        <v>23983</v>
      </c>
      <c r="P27" s="50">
        <f t="shared" si="2"/>
        <v>29390</v>
      </c>
      <c r="Q27" s="50">
        <f t="shared" si="2"/>
        <v>418119</v>
      </c>
      <c r="R27" s="50">
        <f t="shared" si="2"/>
        <v>94047</v>
      </c>
      <c r="S27" s="50">
        <f t="shared" si="2"/>
        <v>18666</v>
      </c>
      <c r="T27" s="50">
        <f t="shared" si="2"/>
        <v>308129</v>
      </c>
      <c r="U27" s="50">
        <f t="shared" si="2"/>
        <v>30220</v>
      </c>
      <c r="V27" s="50">
        <f t="shared" si="2"/>
        <v>196007</v>
      </c>
      <c r="W27" s="50">
        <f t="shared" si="2"/>
        <v>10492</v>
      </c>
      <c r="X27" s="50">
        <f t="shared" si="2"/>
        <v>1458</v>
      </c>
      <c r="Y27" s="50">
        <f t="shared" si="2"/>
        <v>133074</v>
      </c>
      <c r="Z27" s="50">
        <f t="shared" si="2"/>
        <v>1830838</v>
      </c>
      <c r="AA27" s="50">
        <f t="shared" si="2"/>
        <v>18556</v>
      </c>
      <c r="AB27" s="50">
        <f t="shared" si="2"/>
        <v>11044</v>
      </c>
      <c r="AC27" s="51"/>
      <c r="AD27" s="52">
        <f t="shared" ref="AD27:AD32" si="3">SUM(B27:AB27)</f>
        <v>4157437</v>
      </c>
      <c r="AH27" s="7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</row>
    <row r="28" spans="1:61">
      <c r="A28" s="59" t="s">
        <v>84</v>
      </c>
      <c r="B28" s="50">
        <f t="shared" ref="B28:AB28" si="4">B7</f>
        <v>138263</v>
      </c>
      <c r="C28" s="50">
        <f t="shared" si="4"/>
        <v>454951</v>
      </c>
      <c r="D28" s="50">
        <f t="shared" si="4"/>
        <v>116063</v>
      </c>
      <c r="E28" s="50">
        <f t="shared" si="4"/>
        <v>504698</v>
      </c>
      <c r="F28" s="50">
        <f t="shared" si="4"/>
        <v>2073848</v>
      </c>
      <c r="G28" s="50">
        <f t="shared" si="4"/>
        <v>1525109</v>
      </c>
      <c r="H28" s="50">
        <f t="shared" si="4"/>
        <v>1098422</v>
      </c>
      <c r="I28" s="50">
        <f t="shared" si="4"/>
        <v>933548</v>
      </c>
      <c r="J28" s="50">
        <f t="shared" si="4"/>
        <v>1778559</v>
      </c>
      <c r="K28" s="50">
        <f t="shared" si="4"/>
        <v>877055</v>
      </c>
      <c r="L28" s="50">
        <f t="shared" si="4"/>
        <v>1040358</v>
      </c>
      <c r="M28" s="50">
        <f t="shared" si="4"/>
        <v>709327</v>
      </c>
      <c r="N28" s="50">
        <f t="shared" si="4"/>
        <v>5563419</v>
      </c>
      <c r="O28" s="50">
        <f t="shared" si="4"/>
        <v>1061518</v>
      </c>
      <c r="P28" s="50">
        <f t="shared" si="4"/>
        <v>654204</v>
      </c>
      <c r="Q28" s="50">
        <f t="shared" si="4"/>
        <v>3218487</v>
      </c>
      <c r="R28" s="50">
        <f t="shared" si="4"/>
        <v>1471536</v>
      </c>
      <c r="S28" s="50">
        <f t="shared" si="4"/>
        <v>533125</v>
      </c>
      <c r="T28" s="50">
        <f t="shared" si="4"/>
        <v>2287627</v>
      </c>
      <c r="U28" s="50">
        <f t="shared" si="4"/>
        <v>585433</v>
      </c>
      <c r="V28" s="50">
        <f t="shared" si="4"/>
        <v>2728336</v>
      </c>
      <c r="W28" s="50">
        <f t="shared" si="4"/>
        <v>464450</v>
      </c>
      <c r="X28" s="50">
        <f t="shared" si="4"/>
        <v>109436</v>
      </c>
      <c r="Y28" s="50">
        <f t="shared" si="4"/>
        <v>2455690</v>
      </c>
      <c r="Z28" s="50">
        <f t="shared" si="4"/>
        <v>12768443</v>
      </c>
      <c r="AA28" s="50">
        <f t="shared" si="4"/>
        <v>377753</v>
      </c>
      <c r="AB28" s="50">
        <f t="shared" si="4"/>
        <v>329774</v>
      </c>
      <c r="AC28" s="51"/>
      <c r="AD28" s="52">
        <f t="shared" si="3"/>
        <v>45859432</v>
      </c>
      <c r="AH28" s="7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</row>
    <row r="29" spans="1:61">
      <c r="A29" s="59" t="s">
        <v>85</v>
      </c>
      <c r="B29" s="50">
        <f>B8+B10</f>
        <v>30126</v>
      </c>
      <c r="C29" s="50">
        <f t="shared" ref="C29:AB29" si="5">C8+C10</f>
        <v>77620</v>
      </c>
      <c r="D29" s="50">
        <f t="shared" si="5"/>
        <v>16107</v>
      </c>
      <c r="E29" s="50">
        <f t="shared" si="5"/>
        <v>77534</v>
      </c>
      <c r="F29" s="50">
        <f t="shared" si="5"/>
        <v>415458</v>
      </c>
      <c r="G29" s="50">
        <f t="shared" si="5"/>
        <v>269601</v>
      </c>
      <c r="H29" s="50">
        <f t="shared" si="5"/>
        <v>129559</v>
      </c>
      <c r="I29" s="50">
        <f t="shared" si="5"/>
        <v>226897</v>
      </c>
      <c r="J29" s="50">
        <f t="shared" si="5"/>
        <v>396622</v>
      </c>
      <c r="K29" s="50">
        <f t="shared" si="5"/>
        <v>152968</v>
      </c>
      <c r="L29" s="50">
        <f t="shared" si="5"/>
        <v>298487</v>
      </c>
      <c r="M29" s="50">
        <f t="shared" si="5"/>
        <v>195777</v>
      </c>
      <c r="N29" s="50">
        <f t="shared" si="5"/>
        <v>1013467</v>
      </c>
      <c r="O29" s="50">
        <f t="shared" si="5"/>
        <v>228057</v>
      </c>
      <c r="P29" s="50">
        <f t="shared" si="5"/>
        <v>102321</v>
      </c>
      <c r="Q29" s="50">
        <f t="shared" si="5"/>
        <v>816349</v>
      </c>
      <c r="R29" s="50">
        <f t="shared" si="5"/>
        <v>255698</v>
      </c>
      <c r="S29" s="50">
        <f t="shared" si="5"/>
        <v>113923</v>
      </c>
      <c r="T29" s="50">
        <f t="shared" si="5"/>
        <v>386413</v>
      </c>
      <c r="U29" s="50">
        <f t="shared" si="5"/>
        <v>115808</v>
      </c>
      <c r="V29" s="50">
        <f t="shared" si="5"/>
        <v>706403</v>
      </c>
      <c r="W29" s="50">
        <f t="shared" si="5"/>
        <v>112558</v>
      </c>
      <c r="X29" s="50">
        <f t="shared" si="5"/>
        <v>24771</v>
      </c>
      <c r="Y29" s="50">
        <f t="shared" si="5"/>
        <v>505073</v>
      </c>
      <c r="Z29" s="50">
        <f t="shared" si="5"/>
        <v>2020026</v>
      </c>
      <c r="AA29" s="50">
        <f t="shared" si="5"/>
        <v>63211</v>
      </c>
      <c r="AB29" s="50">
        <f t="shared" si="5"/>
        <v>88764</v>
      </c>
      <c r="AC29" s="51"/>
      <c r="AD29" s="52">
        <f t="shared" si="3"/>
        <v>8839598</v>
      </c>
      <c r="AH29" s="7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1">
      <c r="A30" s="59" t="s">
        <v>102</v>
      </c>
      <c r="B30" s="50">
        <f t="shared" ref="B30:AB30" si="6">B9+B12+B13+B14+B18+B20</f>
        <v>192</v>
      </c>
      <c r="C30" s="50">
        <f t="shared" si="6"/>
        <v>821</v>
      </c>
      <c r="D30" s="50">
        <f t="shared" si="6"/>
        <v>178</v>
      </c>
      <c r="E30" s="50">
        <f t="shared" si="6"/>
        <v>885</v>
      </c>
      <c r="F30" s="50">
        <f t="shared" si="6"/>
        <v>3971</v>
      </c>
      <c r="G30" s="50">
        <f t="shared" si="6"/>
        <v>2094</v>
      </c>
      <c r="H30" s="50">
        <f t="shared" si="6"/>
        <v>4724</v>
      </c>
      <c r="I30" s="50">
        <f t="shared" si="6"/>
        <v>2753</v>
      </c>
      <c r="J30" s="50">
        <f t="shared" si="6"/>
        <v>3291</v>
      </c>
      <c r="K30" s="50">
        <f t="shared" si="6"/>
        <v>1213</v>
      </c>
      <c r="L30" s="50">
        <f t="shared" si="6"/>
        <v>2351</v>
      </c>
      <c r="M30" s="50">
        <f t="shared" si="6"/>
        <v>1631</v>
      </c>
      <c r="N30" s="50">
        <f t="shared" si="6"/>
        <v>8789</v>
      </c>
      <c r="O30" s="50">
        <f t="shared" si="6"/>
        <v>1429</v>
      </c>
      <c r="P30" s="50">
        <f t="shared" si="6"/>
        <v>1076</v>
      </c>
      <c r="Q30" s="50">
        <f t="shared" si="6"/>
        <v>8109</v>
      </c>
      <c r="R30" s="50">
        <f t="shared" si="6"/>
        <v>3545</v>
      </c>
      <c r="S30" s="50">
        <f t="shared" si="6"/>
        <v>862</v>
      </c>
      <c r="T30" s="50">
        <f t="shared" si="6"/>
        <v>7644</v>
      </c>
      <c r="U30" s="50">
        <f t="shared" si="6"/>
        <v>1019</v>
      </c>
      <c r="V30" s="50">
        <f t="shared" si="6"/>
        <v>5830</v>
      </c>
      <c r="W30" s="50">
        <f t="shared" si="6"/>
        <v>503</v>
      </c>
      <c r="X30" s="50">
        <f t="shared" si="6"/>
        <v>136</v>
      </c>
      <c r="Y30" s="50">
        <f t="shared" si="6"/>
        <v>7123</v>
      </c>
      <c r="Z30" s="50">
        <f t="shared" si="6"/>
        <v>36849</v>
      </c>
      <c r="AA30" s="50">
        <f t="shared" si="6"/>
        <v>701</v>
      </c>
      <c r="AB30" s="50">
        <f t="shared" si="6"/>
        <v>388</v>
      </c>
      <c r="AC30" s="51"/>
      <c r="AD30" s="52">
        <f t="shared" si="3"/>
        <v>108107</v>
      </c>
      <c r="AH30" s="7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</row>
    <row r="31" spans="1:61">
      <c r="A31" s="59" t="s">
        <v>16</v>
      </c>
      <c r="B31" s="50">
        <f>B6+B11+B15+B19+B21</f>
        <v>21</v>
      </c>
      <c r="C31" s="50">
        <f t="shared" ref="C31:AB31" si="7">C6+C11+C15+C19+C21</f>
        <v>24776</v>
      </c>
      <c r="D31" s="50">
        <f t="shared" si="7"/>
        <v>18</v>
      </c>
      <c r="E31" s="50">
        <f t="shared" si="7"/>
        <v>2628</v>
      </c>
      <c r="F31" s="50">
        <f t="shared" si="7"/>
        <v>73439</v>
      </c>
      <c r="G31" s="50">
        <f t="shared" si="7"/>
        <v>55306</v>
      </c>
      <c r="H31" s="50">
        <f t="shared" si="7"/>
        <v>1658</v>
      </c>
      <c r="I31" s="50">
        <f t="shared" si="7"/>
        <v>41698</v>
      </c>
      <c r="J31" s="50">
        <f t="shared" si="7"/>
        <v>5190</v>
      </c>
      <c r="K31" s="50">
        <f t="shared" si="7"/>
        <v>356</v>
      </c>
      <c r="L31" s="50">
        <f t="shared" si="7"/>
        <v>2275</v>
      </c>
      <c r="M31" s="50">
        <f t="shared" si="7"/>
        <v>5070</v>
      </c>
      <c r="N31" s="50">
        <f t="shared" si="7"/>
        <v>42924</v>
      </c>
      <c r="O31" s="50">
        <f t="shared" si="7"/>
        <v>489</v>
      </c>
      <c r="P31" s="50">
        <f t="shared" si="7"/>
        <v>23177</v>
      </c>
      <c r="Q31" s="50">
        <f t="shared" si="7"/>
        <v>43110</v>
      </c>
      <c r="R31" s="50">
        <f t="shared" si="7"/>
        <v>93377</v>
      </c>
      <c r="S31" s="50">
        <f t="shared" si="7"/>
        <v>871</v>
      </c>
      <c r="T31" s="50">
        <f t="shared" si="7"/>
        <v>1635830</v>
      </c>
      <c r="U31" s="50">
        <f t="shared" si="7"/>
        <v>54148</v>
      </c>
      <c r="V31" s="50">
        <f t="shared" si="7"/>
        <v>92151</v>
      </c>
      <c r="W31" s="50">
        <f t="shared" si="7"/>
        <v>100</v>
      </c>
      <c r="X31" s="50">
        <f t="shared" si="7"/>
        <v>70</v>
      </c>
      <c r="Y31" s="50">
        <f t="shared" si="7"/>
        <v>115809</v>
      </c>
      <c r="Z31" s="50">
        <f t="shared" si="7"/>
        <v>290779</v>
      </c>
      <c r="AA31" s="50">
        <f t="shared" si="7"/>
        <v>22051</v>
      </c>
      <c r="AB31" s="50">
        <f t="shared" si="7"/>
        <v>351</v>
      </c>
      <c r="AC31" s="51"/>
      <c r="AD31" s="52">
        <f t="shared" si="3"/>
        <v>2627672</v>
      </c>
      <c r="AH31" s="7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</row>
    <row r="32" spans="1:61">
      <c r="A32" s="59" t="s">
        <v>94</v>
      </c>
      <c r="B32" s="50">
        <f t="shared" ref="B32:AB32" si="8">B16+B17</f>
        <v>147661</v>
      </c>
      <c r="C32" s="50">
        <f t="shared" si="8"/>
        <v>391781</v>
      </c>
      <c r="D32" s="50">
        <f t="shared" si="8"/>
        <v>90576</v>
      </c>
      <c r="E32" s="50">
        <f t="shared" si="8"/>
        <v>416768</v>
      </c>
      <c r="F32" s="50">
        <f t="shared" si="8"/>
        <v>1990335</v>
      </c>
      <c r="G32" s="50">
        <f t="shared" si="8"/>
        <v>1585060</v>
      </c>
      <c r="H32" s="50">
        <f t="shared" si="8"/>
        <v>667467</v>
      </c>
      <c r="I32" s="50">
        <f t="shared" si="8"/>
        <v>866004</v>
      </c>
      <c r="J32" s="50">
        <f t="shared" si="8"/>
        <v>1811232</v>
      </c>
      <c r="K32" s="50">
        <f t="shared" si="8"/>
        <v>905705</v>
      </c>
      <c r="L32" s="50">
        <f t="shared" si="8"/>
        <v>966590</v>
      </c>
      <c r="M32" s="50">
        <f t="shared" si="8"/>
        <v>738163</v>
      </c>
      <c r="N32" s="50">
        <f t="shared" si="8"/>
        <v>5286363</v>
      </c>
      <c r="O32" s="50">
        <f t="shared" si="8"/>
        <v>1033894</v>
      </c>
      <c r="P32" s="50">
        <f t="shared" si="8"/>
        <v>666674</v>
      </c>
      <c r="Q32" s="50">
        <f t="shared" si="8"/>
        <v>3576153</v>
      </c>
      <c r="R32" s="50">
        <f t="shared" si="8"/>
        <v>1387869</v>
      </c>
      <c r="S32" s="50">
        <f t="shared" si="8"/>
        <v>677067</v>
      </c>
      <c r="T32" s="50">
        <f t="shared" si="8"/>
        <v>2631281</v>
      </c>
      <c r="U32" s="50">
        <f t="shared" si="8"/>
        <v>648598</v>
      </c>
      <c r="V32" s="50">
        <f t="shared" si="8"/>
        <v>3699646</v>
      </c>
      <c r="W32" s="50">
        <f t="shared" si="8"/>
        <v>508112</v>
      </c>
      <c r="X32" s="50">
        <f t="shared" si="8"/>
        <v>115099</v>
      </c>
      <c r="Y32" s="50">
        <f t="shared" si="8"/>
        <v>2395627</v>
      </c>
      <c r="Z32" s="50">
        <f t="shared" si="8"/>
        <v>14076144</v>
      </c>
      <c r="AA32" s="50">
        <f t="shared" si="8"/>
        <v>376141</v>
      </c>
      <c r="AB32" s="50">
        <f t="shared" si="8"/>
        <v>333963</v>
      </c>
      <c r="AC32" s="51"/>
      <c r="AD32" s="52">
        <f t="shared" si="3"/>
        <v>47989973</v>
      </c>
      <c r="AH32" s="7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</row>
    <row r="33" spans="1:61">
      <c r="A33" s="6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3"/>
      <c r="AH33" s="7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</row>
    <row r="34" spans="1:61">
      <c r="A34" s="59" t="s">
        <v>101</v>
      </c>
      <c r="B34" s="52">
        <f t="shared" ref="B34:AB34" si="9">SUM(B27:B32)</f>
        <v>319905</v>
      </c>
      <c r="C34" s="52">
        <f t="shared" si="9"/>
        <v>974275</v>
      </c>
      <c r="D34" s="52">
        <f t="shared" si="9"/>
        <v>224398</v>
      </c>
      <c r="E34" s="52">
        <f t="shared" si="9"/>
        <v>1018735</v>
      </c>
      <c r="F34" s="52">
        <f t="shared" si="9"/>
        <v>4657981</v>
      </c>
      <c r="G34" s="52">
        <f t="shared" si="9"/>
        <v>3498246</v>
      </c>
      <c r="H34" s="52">
        <f t="shared" si="9"/>
        <v>1959954</v>
      </c>
      <c r="I34" s="52">
        <f t="shared" si="9"/>
        <v>2124282</v>
      </c>
      <c r="J34" s="52">
        <f t="shared" si="9"/>
        <v>4154823</v>
      </c>
      <c r="K34" s="52">
        <f t="shared" si="9"/>
        <v>1951232</v>
      </c>
      <c r="L34" s="52">
        <f t="shared" si="9"/>
        <v>2359227</v>
      </c>
      <c r="M34" s="52">
        <f t="shared" si="9"/>
        <v>1704568</v>
      </c>
      <c r="N34" s="52">
        <f t="shared" si="9"/>
        <v>12351588</v>
      </c>
      <c r="O34" s="52">
        <f t="shared" si="9"/>
        <v>2349370</v>
      </c>
      <c r="P34" s="52">
        <f t="shared" si="9"/>
        <v>1476842</v>
      </c>
      <c r="Q34" s="52">
        <f t="shared" si="9"/>
        <v>8080327</v>
      </c>
      <c r="R34" s="52">
        <f t="shared" si="9"/>
        <v>3306072</v>
      </c>
      <c r="S34" s="52">
        <f t="shared" si="9"/>
        <v>1344514</v>
      </c>
      <c r="T34" s="52">
        <f t="shared" si="9"/>
        <v>7256924</v>
      </c>
      <c r="U34" s="52">
        <f t="shared" si="9"/>
        <v>1435226</v>
      </c>
      <c r="V34" s="52">
        <f t="shared" si="9"/>
        <v>7428373</v>
      </c>
      <c r="W34" s="52">
        <f t="shared" si="9"/>
        <v>1096215</v>
      </c>
      <c r="X34" s="52">
        <f t="shared" si="9"/>
        <v>250970</v>
      </c>
      <c r="Y34" s="52">
        <f t="shared" si="9"/>
        <v>5612396</v>
      </c>
      <c r="Z34" s="52">
        <f t="shared" si="9"/>
        <v>31023079</v>
      </c>
      <c r="AA34" s="52">
        <f t="shared" si="9"/>
        <v>858413</v>
      </c>
      <c r="AB34" s="52">
        <f t="shared" si="9"/>
        <v>764284</v>
      </c>
      <c r="AC34" s="51"/>
      <c r="AD34" s="54">
        <f>SUM(AD27:AD32)</f>
        <v>109582219</v>
      </c>
      <c r="AH34" s="7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</row>
    <row r="35" spans="1:61" ht="15.75" customHeight="1">
      <c r="A35" s="7"/>
    </row>
    <row r="36" spans="1:61">
      <c r="A36" s="98" t="s">
        <v>103</v>
      </c>
    </row>
    <row r="37" spans="1:61" ht="15.75" customHeight="1">
      <c r="A37" s="99"/>
      <c r="B37" s="6" t="s">
        <v>53</v>
      </c>
      <c r="C37" s="6" t="s">
        <v>54</v>
      </c>
      <c r="D37" s="6" t="s">
        <v>55</v>
      </c>
      <c r="E37" s="6" t="s">
        <v>56</v>
      </c>
      <c r="F37" s="6" t="s">
        <v>57</v>
      </c>
      <c r="G37" s="6" t="s">
        <v>58</v>
      </c>
      <c r="H37" s="6" t="s">
        <v>59</v>
      </c>
      <c r="I37" s="6" t="s">
        <v>60</v>
      </c>
      <c r="J37" s="6" t="s">
        <v>61</v>
      </c>
      <c r="K37" s="6" t="s">
        <v>62</v>
      </c>
      <c r="L37" s="6" t="s">
        <v>63</v>
      </c>
      <c r="M37" s="6" t="s">
        <v>64</v>
      </c>
      <c r="N37" s="6" t="s">
        <v>65</v>
      </c>
      <c r="O37" s="6" t="s">
        <v>66</v>
      </c>
      <c r="P37" s="6" t="s">
        <v>67</v>
      </c>
      <c r="Q37" s="6" t="s">
        <v>68</v>
      </c>
      <c r="R37" s="6" t="s">
        <v>69</v>
      </c>
      <c r="S37" s="6" t="s">
        <v>70</v>
      </c>
      <c r="T37" s="6" t="s">
        <v>71</v>
      </c>
      <c r="U37" s="6" t="s">
        <v>72</v>
      </c>
      <c r="V37" s="6" t="s">
        <v>73</v>
      </c>
      <c r="W37" s="6" t="s">
        <v>74</v>
      </c>
      <c r="X37" s="6" t="s">
        <v>75</v>
      </c>
      <c r="Y37" s="6" t="s">
        <v>76</v>
      </c>
      <c r="Z37" s="6" t="s">
        <v>77</v>
      </c>
      <c r="AA37" s="6" t="s">
        <v>78</v>
      </c>
      <c r="AB37" s="6" t="s">
        <v>79</v>
      </c>
      <c r="AD37" s="6" t="s">
        <v>101</v>
      </c>
    </row>
    <row r="38" spans="1:61">
      <c r="A38" s="61" t="s">
        <v>104</v>
      </c>
      <c r="B38" s="20">
        <v>100133</v>
      </c>
      <c r="C38" s="20">
        <v>409586</v>
      </c>
      <c r="D38" s="20">
        <v>94969</v>
      </c>
      <c r="E38" s="20">
        <v>441864</v>
      </c>
      <c r="F38" s="20">
        <v>2064054</v>
      </c>
      <c r="G38" s="20">
        <v>1281152</v>
      </c>
      <c r="H38" s="20">
        <v>1377783</v>
      </c>
      <c r="I38" s="20">
        <v>1059133</v>
      </c>
      <c r="J38" s="20">
        <v>2050298</v>
      </c>
      <c r="K38" s="20">
        <v>508300</v>
      </c>
      <c r="L38" s="20">
        <v>853518</v>
      </c>
      <c r="M38" s="20">
        <v>815570</v>
      </c>
      <c r="N38" s="20">
        <v>6868415</v>
      </c>
      <c r="O38" s="20">
        <v>706640</v>
      </c>
      <c r="P38" s="20">
        <v>600945</v>
      </c>
      <c r="Q38" s="20">
        <v>4843275</v>
      </c>
      <c r="R38" s="20">
        <v>1444741</v>
      </c>
      <c r="S38" s="20">
        <v>411419</v>
      </c>
      <c r="T38" s="20">
        <v>4827124</v>
      </c>
      <c r="U38" s="20">
        <v>619734</v>
      </c>
      <c r="V38" s="20">
        <v>4638625</v>
      </c>
      <c r="W38" s="20">
        <v>326039</v>
      </c>
      <c r="X38" s="20">
        <v>88471</v>
      </c>
      <c r="Y38" s="20">
        <v>3255913</v>
      </c>
      <c r="Z38" s="20">
        <v>19450435</v>
      </c>
      <c r="AA38" s="20">
        <v>363323</v>
      </c>
      <c r="AB38" s="20">
        <v>251142</v>
      </c>
      <c r="AC38" s="18"/>
      <c r="AD38" s="52">
        <f t="shared" ref="AD38:AD47" si="10">SUM(B38:AB38)</f>
        <v>59752601</v>
      </c>
    </row>
    <row r="39" spans="1:61">
      <c r="A39" s="61" t="s">
        <v>105</v>
      </c>
      <c r="B39" s="20">
        <v>8080</v>
      </c>
      <c r="C39" s="20">
        <v>24608</v>
      </c>
      <c r="D39" s="20">
        <v>4590</v>
      </c>
      <c r="E39" s="20">
        <v>22013</v>
      </c>
      <c r="F39" s="20">
        <v>131736</v>
      </c>
      <c r="G39" s="20">
        <v>78702</v>
      </c>
      <c r="H39" s="20">
        <v>26353</v>
      </c>
      <c r="I39" s="20">
        <v>79908</v>
      </c>
      <c r="J39" s="20">
        <v>122767</v>
      </c>
      <c r="K39" s="20">
        <v>46424</v>
      </c>
      <c r="L39" s="20">
        <v>87510</v>
      </c>
      <c r="M39" s="20">
        <v>59701</v>
      </c>
      <c r="N39" s="20">
        <v>367528</v>
      </c>
      <c r="O39" s="20">
        <v>69609</v>
      </c>
      <c r="P39" s="20">
        <v>31128</v>
      </c>
      <c r="Q39" s="20">
        <v>293011</v>
      </c>
      <c r="R39" s="20">
        <v>96758</v>
      </c>
      <c r="S39" s="20">
        <v>33379</v>
      </c>
      <c r="T39" s="20">
        <v>148529</v>
      </c>
      <c r="U39" s="20">
        <v>39832</v>
      </c>
      <c r="V39" s="20">
        <v>248896</v>
      </c>
      <c r="W39" s="20">
        <v>32482</v>
      </c>
      <c r="X39" s="20">
        <v>5962</v>
      </c>
      <c r="Y39" s="20">
        <v>166873</v>
      </c>
      <c r="Z39" s="20">
        <v>709319</v>
      </c>
      <c r="AA39" s="20">
        <v>23003</v>
      </c>
      <c r="AB39" s="20">
        <v>24385</v>
      </c>
      <c r="AC39" s="18"/>
      <c r="AD39" s="52">
        <f t="shared" si="10"/>
        <v>2983086</v>
      </c>
    </row>
    <row r="40" spans="1:61">
      <c r="A40" s="61" t="s">
        <v>106</v>
      </c>
      <c r="B40" s="20">
        <v>1290</v>
      </c>
      <c r="C40" s="20">
        <v>3078</v>
      </c>
      <c r="D40" s="20">
        <v>528</v>
      </c>
      <c r="E40" s="20">
        <v>4470</v>
      </c>
      <c r="F40" s="20">
        <v>27408</v>
      </c>
      <c r="G40" s="20">
        <v>11127</v>
      </c>
      <c r="H40" s="20">
        <v>4150</v>
      </c>
      <c r="I40" s="20">
        <v>21566</v>
      </c>
      <c r="J40" s="20">
        <v>39055</v>
      </c>
      <c r="K40" s="20">
        <v>7203</v>
      </c>
      <c r="L40" s="20">
        <v>47039</v>
      </c>
      <c r="M40" s="20">
        <v>22805</v>
      </c>
      <c r="N40" s="20">
        <v>93620</v>
      </c>
      <c r="O40" s="20">
        <v>12675</v>
      </c>
      <c r="P40" s="20">
        <v>3449</v>
      </c>
      <c r="Q40" s="20">
        <v>108264</v>
      </c>
      <c r="R40" s="20">
        <v>14276</v>
      </c>
      <c r="S40" s="20">
        <v>3899</v>
      </c>
      <c r="T40" s="20">
        <v>20348</v>
      </c>
      <c r="U40" s="20">
        <v>4397</v>
      </c>
      <c r="V40" s="20">
        <v>72892</v>
      </c>
      <c r="W40" s="20">
        <v>8471</v>
      </c>
      <c r="X40" s="20">
        <v>1343</v>
      </c>
      <c r="Y40" s="20">
        <v>67412</v>
      </c>
      <c r="Z40" s="20">
        <v>207029</v>
      </c>
      <c r="AA40" s="20">
        <v>3074</v>
      </c>
      <c r="AB40" s="20">
        <v>8127</v>
      </c>
      <c r="AC40" s="18"/>
      <c r="AD40" s="52">
        <f t="shared" si="10"/>
        <v>818995</v>
      </c>
    </row>
    <row r="41" spans="1:61">
      <c r="A41" s="61" t="s">
        <v>107</v>
      </c>
      <c r="B41" s="20">
        <v>31304</v>
      </c>
      <c r="C41" s="20">
        <v>64676</v>
      </c>
      <c r="D41" s="20">
        <v>26013</v>
      </c>
      <c r="E41" s="20">
        <v>99607</v>
      </c>
      <c r="F41" s="20">
        <v>429511</v>
      </c>
      <c r="G41" s="20">
        <v>225571</v>
      </c>
      <c r="H41" s="20">
        <v>146949</v>
      </c>
      <c r="I41" s="20">
        <v>200758</v>
      </c>
      <c r="J41" s="20">
        <v>426152</v>
      </c>
      <c r="K41" s="20">
        <v>147714</v>
      </c>
      <c r="L41" s="20">
        <v>283021</v>
      </c>
      <c r="M41" s="20">
        <v>187270</v>
      </c>
      <c r="N41" s="20">
        <v>1155727</v>
      </c>
      <c r="O41" s="20">
        <v>192117</v>
      </c>
      <c r="P41" s="20">
        <v>97718</v>
      </c>
      <c r="Q41" s="20">
        <v>762933</v>
      </c>
      <c r="R41" s="20">
        <v>211063</v>
      </c>
      <c r="S41" s="20">
        <v>106616</v>
      </c>
      <c r="T41" s="20">
        <v>390033</v>
      </c>
      <c r="U41" s="20">
        <v>103025</v>
      </c>
      <c r="V41" s="20">
        <v>622199</v>
      </c>
      <c r="W41" s="20">
        <v>118013</v>
      </c>
      <c r="X41" s="20">
        <v>33772</v>
      </c>
      <c r="Y41" s="20">
        <v>472012</v>
      </c>
      <c r="Z41" s="20">
        <v>2206102</v>
      </c>
      <c r="AA41" s="20">
        <v>50716</v>
      </c>
      <c r="AB41" s="20">
        <v>81006</v>
      </c>
      <c r="AC41" s="18"/>
      <c r="AD41" s="52">
        <f t="shared" si="10"/>
        <v>8871598</v>
      </c>
    </row>
    <row r="42" spans="1:61">
      <c r="A42" s="61" t="s">
        <v>108</v>
      </c>
      <c r="B42" s="20">
        <v>4844</v>
      </c>
      <c r="C42" s="20">
        <v>26011</v>
      </c>
      <c r="D42" s="20">
        <v>5280</v>
      </c>
      <c r="E42" s="20">
        <v>28855</v>
      </c>
      <c r="F42" s="20">
        <v>138070</v>
      </c>
      <c r="G42" s="20">
        <v>69917</v>
      </c>
      <c r="H42" s="20">
        <v>98940</v>
      </c>
      <c r="I42" s="20">
        <v>69929</v>
      </c>
      <c r="J42" s="20">
        <v>119385</v>
      </c>
      <c r="K42" s="20">
        <v>28771</v>
      </c>
      <c r="L42" s="20">
        <v>58140</v>
      </c>
      <c r="M42" s="20">
        <v>47833</v>
      </c>
      <c r="N42" s="20">
        <v>408420</v>
      </c>
      <c r="O42" s="20">
        <v>48114</v>
      </c>
      <c r="P42" s="20">
        <v>32475</v>
      </c>
      <c r="Q42" s="20">
        <v>292545</v>
      </c>
      <c r="R42" s="20">
        <v>102242</v>
      </c>
      <c r="S42" s="20">
        <v>19975</v>
      </c>
      <c r="T42" s="20">
        <v>340425</v>
      </c>
      <c r="U42" s="20">
        <v>35939</v>
      </c>
      <c r="V42" s="20">
        <v>319680</v>
      </c>
      <c r="W42" s="20">
        <v>15805</v>
      </c>
      <c r="X42" s="20">
        <v>5850</v>
      </c>
      <c r="Y42" s="20">
        <v>243288</v>
      </c>
      <c r="Z42" s="20">
        <v>1396166</v>
      </c>
      <c r="AA42" s="20">
        <v>19571</v>
      </c>
      <c r="AB42" s="20">
        <v>14021</v>
      </c>
      <c r="AC42" s="18"/>
      <c r="AD42" s="52">
        <f t="shared" si="10"/>
        <v>3990491</v>
      </c>
    </row>
    <row r="43" spans="1:61">
      <c r="A43" s="61" t="s">
        <v>109</v>
      </c>
      <c r="B43" s="20">
        <v>439</v>
      </c>
      <c r="C43" s="20">
        <v>7429</v>
      </c>
      <c r="D43" s="20">
        <v>517</v>
      </c>
      <c r="E43" s="20">
        <v>3720</v>
      </c>
      <c r="F43" s="20">
        <v>32383</v>
      </c>
      <c r="G43" s="20">
        <v>13150</v>
      </c>
      <c r="H43" s="20">
        <v>6457</v>
      </c>
      <c r="I43" s="20">
        <v>9205</v>
      </c>
      <c r="J43" s="20">
        <v>11013</v>
      </c>
      <c r="K43" s="20">
        <v>5644</v>
      </c>
      <c r="L43" s="20">
        <v>4419</v>
      </c>
      <c r="M43" s="20">
        <v>4499</v>
      </c>
      <c r="N43" s="20">
        <v>50938</v>
      </c>
      <c r="O43" s="20">
        <v>7410</v>
      </c>
      <c r="P43" s="20">
        <v>5407</v>
      </c>
      <c r="Q43" s="20">
        <v>25245</v>
      </c>
      <c r="R43" s="20">
        <v>20516</v>
      </c>
      <c r="S43" s="20">
        <v>4714</v>
      </c>
      <c r="T43" s="20">
        <v>40695</v>
      </c>
      <c r="U43" s="20">
        <v>5694</v>
      </c>
      <c r="V43" s="20">
        <v>22526</v>
      </c>
      <c r="W43" s="20">
        <v>1482</v>
      </c>
      <c r="X43" s="20">
        <v>765</v>
      </c>
      <c r="Y43" s="20">
        <v>13813</v>
      </c>
      <c r="Z43" s="20">
        <v>126434</v>
      </c>
      <c r="AA43" s="20">
        <v>3596</v>
      </c>
      <c r="AB43" s="20">
        <v>1782</v>
      </c>
      <c r="AC43" s="18"/>
      <c r="AD43" s="52">
        <f t="shared" si="10"/>
        <v>429892</v>
      </c>
    </row>
    <row r="44" spans="1:61">
      <c r="A44" s="61" t="s">
        <v>110</v>
      </c>
      <c r="B44" s="20">
        <v>137544</v>
      </c>
      <c r="C44" s="20">
        <v>354846</v>
      </c>
      <c r="D44" s="20">
        <v>73376</v>
      </c>
      <c r="E44" s="20">
        <v>320896</v>
      </c>
      <c r="F44" s="20">
        <v>1481454</v>
      </c>
      <c r="G44" s="20">
        <v>1543044</v>
      </c>
      <c r="H44" s="20">
        <v>224893</v>
      </c>
      <c r="I44" s="20">
        <v>500353</v>
      </c>
      <c r="J44" s="20">
        <v>971097</v>
      </c>
      <c r="K44" s="20">
        <v>975859</v>
      </c>
      <c r="L44" s="20">
        <v>699581</v>
      </c>
      <c r="M44" s="20">
        <v>406358</v>
      </c>
      <c r="N44" s="20">
        <v>2810294</v>
      </c>
      <c r="O44" s="20">
        <v>1025594</v>
      </c>
      <c r="P44" s="20">
        <v>563617</v>
      </c>
      <c r="Q44" s="20">
        <v>1295606</v>
      </c>
      <c r="R44" s="20">
        <v>1181959</v>
      </c>
      <c r="S44" s="20">
        <v>622926</v>
      </c>
      <c r="T44" s="20">
        <v>1101458</v>
      </c>
      <c r="U44" s="20">
        <v>490856</v>
      </c>
      <c r="V44" s="20">
        <v>1164371</v>
      </c>
      <c r="W44" s="20">
        <v>436630</v>
      </c>
      <c r="X44" s="20">
        <v>87884</v>
      </c>
      <c r="Y44" s="20">
        <v>961030</v>
      </c>
      <c r="Z44" s="20">
        <v>5215412</v>
      </c>
      <c r="AA44" s="20">
        <v>293110</v>
      </c>
      <c r="AB44" s="20">
        <v>259840</v>
      </c>
      <c r="AC44" s="18"/>
      <c r="AD44" s="52">
        <f t="shared" si="10"/>
        <v>25199888</v>
      </c>
    </row>
    <row r="45" spans="1:61">
      <c r="A45" s="59" t="s">
        <v>111</v>
      </c>
      <c r="B45" s="20">
        <v>32362</v>
      </c>
      <c r="C45" s="20">
        <v>50436</v>
      </c>
      <c r="D45" s="20">
        <v>15159</v>
      </c>
      <c r="E45" s="20">
        <v>76021</v>
      </c>
      <c r="F45" s="20">
        <v>243889</v>
      </c>
      <c r="G45" s="20">
        <v>201676</v>
      </c>
      <c r="H45" s="20">
        <v>25229</v>
      </c>
      <c r="I45" s="20">
        <v>131667</v>
      </c>
      <c r="J45" s="20">
        <v>319466</v>
      </c>
      <c r="K45" s="20">
        <v>194270</v>
      </c>
      <c r="L45" s="20">
        <v>277477</v>
      </c>
      <c r="M45" s="20">
        <v>128132</v>
      </c>
      <c r="N45" s="20">
        <v>346726</v>
      </c>
      <c r="O45" s="20">
        <v>239526</v>
      </c>
      <c r="P45" s="20">
        <v>81286</v>
      </c>
      <c r="Q45" s="20">
        <v>342628</v>
      </c>
      <c r="R45" s="20">
        <v>137164</v>
      </c>
      <c r="S45" s="20">
        <v>113503</v>
      </c>
      <c r="T45" s="20">
        <v>212129</v>
      </c>
      <c r="U45" s="20">
        <v>73909</v>
      </c>
      <c r="V45" s="20">
        <v>211057</v>
      </c>
      <c r="W45" s="20">
        <v>140755</v>
      </c>
      <c r="X45" s="20">
        <v>22928</v>
      </c>
      <c r="Y45" s="20">
        <v>306049</v>
      </c>
      <c r="Z45" s="20">
        <v>1117367</v>
      </c>
      <c r="AA45" s="20">
        <v>56400</v>
      </c>
      <c r="AB45" s="20">
        <v>108872</v>
      </c>
      <c r="AC45" s="18"/>
      <c r="AD45" s="52">
        <f t="shared" si="10"/>
        <v>5206083</v>
      </c>
    </row>
    <row r="46" spans="1:61">
      <c r="A46" s="59" t="s">
        <v>112</v>
      </c>
      <c r="B46" s="20">
        <v>1412</v>
      </c>
      <c r="C46" s="20">
        <v>9523</v>
      </c>
      <c r="D46" s="20">
        <v>1506</v>
      </c>
      <c r="E46" s="20">
        <v>10414</v>
      </c>
      <c r="F46" s="20">
        <v>44467</v>
      </c>
      <c r="G46" s="20">
        <v>19211</v>
      </c>
      <c r="H46" s="20">
        <v>13301</v>
      </c>
      <c r="I46" s="20">
        <v>16272</v>
      </c>
      <c r="J46" s="20">
        <v>25234</v>
      </c>
      <c r="K46" s="20">
        <v>10751</v>
      </c>
      <c r="L46" s="20">
        <v>14227</v>
      </c>
      <c r="M46" s="20">
        <v>10700</v>
      </c>
      <c r="N46" s="20">
        <v>86454</v>
      </c>
      <c r="O46" s="20">
        <v>21337</v>
      </c>
      <c r="P46" s="20">
        <v>8342</v>
      </c>
      <c r="Q46" s="20">
        <v>48373</v>
      </c>
      <c r="R46" s="20">
        <v>21757</v>
      </c>
      <c r="S46" s="20">
        <v>8950</v>
      </c>
      <c r="T46" s="20">
        <v>42353</v>
      </c>
      <c r="U46" s="20">
        <v>7906</v>
      </c>
      <c r="V46" s="20">
        <v>42714</v>
      </c>
      <c r="W46" s="20">
        <v>6923</v>
      </c>
      <c r="X46" s="20">
        <v>1356</v>
      </c>
      <c r="Y46" s="20">
        <v>22441</v>
      </c>
      <c r="Z46" s="20">
        <v>169327</v>
      </c>
      <c r="AA46" s="20">
        <v>8105</v>
      </c>
      <c r="AB46" s="20">
        <v>6209</v>
      </c>
      <c r="AC46" s="18"/>
      <c r="AD46" s="52">
        <f t="shared" si="10"/>
        <v>679565</v>
      </c>
    </row>
    <row r="47" spans="1:61">
      <c r="A47" s="59" t="s">
        <v>113</v>
      </c>
      <c r="B47" s="20">
        <v>1713</v>
      </c>
      <c r="C47" s="20">
        <v>10066</v>
      </c>
      <c r="D47" s="20">
        <v>1368</v>
      </c>
      <c r="E47" s="20">
        <v>7038</v>
      </c>
      <c r="F47" s="20">
        <v>45861</v>
      </c>
      <c r="G47" s="20">
        <v>47818</v>
      </c>
      <c r="H47" s="20">
        <v>40580</v>
      </c>
      <c r="I47" s="20">
        <v>30104</v>
      </c>
      <c r="J47" s="20">
        <v>47016</v>
      </c>
      <c r="K47" s="20">
        <v>15372</v>
      </c>
      <c r="L47" s="20">
        <v>25789</v>
      </c>
      <c r="M47" s="20">
        <v>19993</v>
      </c>
      <c r="N47" s="20">
        <v>123187</v>
      </c>
      <c r="O47" s="20">
        <v>20692</v>
      </c>
      <c r="P47" s="20">
        <v>18564</v>
      </c>
      <c r="Q47" s="20">
        <v>96338</v>
      </c>
      <c r="R47" s="20">
        <v>32324</v>
      </c>
      <c r="S47" s="20">
        <v>11225</v>
      </c>
      <c r="T47" s="20">
        <v>91321</v>
      </c>
      <c r="U47" s="20">
        <v>25216</v>
      </c>
      <c r="V47" s="20">
        <v>96631</v>
      </c>
      <c r="W47" s="20">
        <v>6829</v>
      </c>
      <c r="X47" s="20">
        <v>1818</v>
      </c>
      <c r="Y47" s="20">
        <v>109033</v>
      </c>
      <c r="Z47" s="20">
        <v>426739</v>
      </c>
      <c r="AA47" s="20">
        <v>7725</v>
      </c>
      <c r="AB47" s="20">
        <v>6820</v>
      </c>
      <c r="AC47" s="18"/>
      <c r="AD47" s="52">
        <f t="shared" si="10"/>
        <v>1367180</v>
      </c>
    </row>
    <row r="48" spans="1:61">
      <c r="A48" s="60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8"/>
      <c r="AD48" s="56"/>
    </row>
    <row r="49" spans="1:62">
      <c r="A49" s="59" t="s">
        <v>80</v>
      </c>
      <c r="B49" s="52">
        <f t="shared" ref="B49:AB49" si="11">SUM(B38:B47)</f>
        <v>319121</v>
      </c>
      <c r="C49" s="52">
        <f t="shared" si="11"/>
        <v>960259</v>
      </c>
      <c r="D49" s="52">
        <f t="shared" si="11"/>
        <v>223306</v>
      </c>
      <c r="E49" s="52">
        <f t="shared" si="11"/>
        <v>1014898</v>
      </c>
      <c r="F49" s="52">
        <f t="shared" si="11"/>
        <v>4638833</v>
      </c>
      <c r="G49" s="52">
        <f t="shared" si="11"/>
        <v>3491368</v>
      </c>
      <c r="H49" s="52">
        <f t="shared" si="11"/>
        <v>1964635</v>
      </c>
      <c r="I49" s="52">
        <f t="shared" si="11"/>
        <v>2118895</v>
      </c>
      <c r="J49" s="52">
        <f t="shared" si="11"/>
        <v>4131483</v>
      </c>
      <c r="K49" s="52">
        <f t="shared" si="11"/>
        <v>1940308</v>
      </c>
      <c r="L49" s="52">
        <f t="shared" si="11"/>
        <v>2350721</v>
      </c>
      <c r="M49" s="52">
        <f t="shared" si="11"/>
        <v>1702861</v>
      </c>
      <c r="N49" s="52">
        <f t="shared" si="11"/>
        <v>12311309</v>
      </c>
      <c r="O49" s="52">
        <f t="shared" si="11"/>
        <v>2343714</v>
      </c>
      <c r="P49" s="52">
        <f t="shared" si="11"/>
        <v>1442931</v>
      </c>
      <c r="Q49" s="52">
        <f t="shared" si="11"/>
        <v>8108218</v>
      </c>
      <c r="R49" s="52">
        <f t="shared" si="11"/>
        <v>3262800</v>
      </c>
      <c r="S49" s="52">
        <f t="shared" si="11"/>
        <v>1336606</v>
      </c>
      <c r="T49" s="52">
        <f t="shared" si="11"/>
        <v>7214415</v>
      </c>
      <c r="U49" s="52">
        <f t="shared" si="11"/>
        <v>1406508</v>
      </c>
      <c r="V49" s="52">
        <f t="shared" si="11"/>
        <v>7439591</v>
      </c>
      <c r="W49" s="52">
        <f t="shared" si="11"/>
        <v>1093429</v>
      </c>
      <c r="X49" s="52">
        <f t="shared" si="11"/>
        <v>250149</v>
      </c>
      <c r="Y49" s="52">
        <f t="shared" si="11"/>
        <v>5617864</v>
      </c>
      <c r="Z49" s="52">
        <f t="shared" si="11"/>
        <v>31024330</v>
      </c>
      <c r="AA49" s="52">
        <f t="shared" si="11"/>
        <v>828623</v>
      </c>
      <c r="AB49" s="52">
        <f t="shared" si="11"/>
        <v>762204</v>
      </c>
      <c r="AC49" s="12"/>
      <c r="AD49" s="54">
        <f>SUM(AD38:AD47)</f>
        <v>109299379</v>
      </c>
    </row>
    <row r="51" spans="1:62">
      <c r="J51" t="s">
        <v>114</v>
      </c>
      <c r="L51" s="17">
        <f>ROUND(AD34/AD49,7)</f>
        <v>1.0025877999999999</v>
      </c>
    </row>
    <row r="54" spans="1:62" ht="15.75" customHeight="1">
      <c r="A54" s="96" t="s">
        <v>115</v>
      </c>
    </row>
    <row r="55" spans="1:62" s="5" customFormat="1">
      <c r="A55" s="97"/>
      <c r="B55" s="16" t="s">
        <v>53</v>
      </c>
      <c r="C55" s="16" t="s">
        <v>54</v>
      </c>
      <c r="D55" s="16" t="s">
        <v>55</v>
      </c>
      <c r="E55" s="16" t="s">
        <v>56</v>
      </c>
      <c r="F55" s="16" t="s">
        <v>57</v>
      </c>
      <c r="G55" s="16" t="s">
        <v>58</v>
      </c>
      <c r="H55" s="16" t="s">
        <v>59</v>
      </c>
      <c r="I55" s="16" t="s">
        <v>60</v>
      </c>
      <c r="J55" s="16" t="s">
        <v>61</v>
      </c>
      <c r="K55" s="16" t="s">
        <v>62</v>
      </c>
      <c r="L55" s="16" t="s">
        <v>63</v>
      </c>
      <c r="M55" s="16" t="s">
        <v>64</v>
      </c>
      <c r="N55" s="16" t="s">
        <v>65</v>
      </c>
      <c r="O55" s="16" t="s">
        <v>66</v>
      </c>
      <c r="P55" s="16" t="s">
        <v>67</v>
      </c>
      <c r="Q55" s="16" t="s">
        <v>68</v>
      </c>
      <c r="R55" s="16" t="s">
        <v>69</v>
      </c>
      <c r="S55" s="16" t="s">
        <v>70</v>
      </c>
      <c r="T55" s="16" t="s">
        <v>71</v>
      </c>
      <c r="U55" s="16" t="s">
        <v>72</v>
      </c>
      <c r="V55" s="16" t="s">
        <v>73</v>
      </c>
      <c r="W55" s="16" t="s">
        <v>74</v>
      </c>
      <c r="X55" s="16" t="s">
        <v>75</v>
      </c>
      <c r="Y55" s="16" t="s">
        <v>76</v>
      </c>
      <c r="Z55" s="16" t="s">
        <v>77</v>
      </c>
      <c r="AA55" s="16" t="s">
        <v>78</v>
      </c>
      <c r="AB55" s="16" t="s">
        <v>79</v>
      </c>
      <c r="AD55" s="6" t="s">
        <v>80</v>
      </c>
    </row>
    <row r="56" spans="1:62">
      <c r="A56" s="86" t="s">
        <v>104</v>
      </c>
      <c r="B56" s="50">
        <f t="shared" ref="B56:AB56" si="12">ROUND(B38*$L$51,0)</f>
        <v>100392</v>
      </c>
      <c r="C56" s="50">
        <f t="shared" si="12"/>
        <v>410646</v>
      </c>
      <c r="D56" s="50">
        <f t="shared" si="12"/>
        <v>95215</v>
      </c>
      <c r="E56" s="50">
        <f t="shared" si="12"/>
        <v>443007</v>
      </c>
      <c r="F56" s="50">
        <f t="shared" si="12"/>
        <v>2069395</v>
      </c>
      <c r="G56" s="50">
        <f t="shared" si="12"/>
        <v>1284467</v>
      </c>
      <c r="H56" s="50">
        <f t="shared" si="12"/>
        <v>1381348</v>
      </c>
      <c r="I56" s="50">
        <f t="shared" si="12"/>
        <v>1061874</v>
      </c>
      <c r="J56" s="50">
        <f t="shared" si="12"/>
        <v>2055604</v>
      </c>
      <c r="K56" s="50">
        <f t="shared" si="12"/>
        <v>509615</v>
      </c>
      <c r="L56" s="50">
        <f t="shared" si="12"/>
        <v>855727</v>
      </c>
      <c r="M56" s="50">
        <f t="shared" si="12"/>
        <v>817681</v>
      </c>
      <c r="N56" s="50">
        <f t="shared" si="12"/>
        <v>6886189</v>
      </c>
      <c r="O56" s="50">
        <f t="shared" si="12"/>
        <v>708469</v>
      </c>
      <c r="P56" s="50">
        <f t="shared" si="12"/>
        <v>602500</v>
      </c>
      <c r="Q56" s="50">
        <f t="shared" si="12"/>
        <v>4855808</v>
      </c>
      <c r="R56" s="50">
        <f t="shared" si="12"/>
        <v>1448480</v>
      </c>
      <c r="S56" s="50">
        <f t="shared" si="12"/>
        <v>412484</v>
      </c>
      <c r="T56" s="50">
        <f t="shared" si="12"/>
        <v>4839616</v>
      </c>
      <c r="U56" s="50">
        <f t="shared" si="12"/>
        <v>621338</v>
      </c>
      <c r="V56" s="50">
        <f t="shared" si="12"/>
        <v>4650629</v>
      </c>
      <c r="W56" s="50">
        <f t="shared" si="12"/>
        <v>326883</v>
      </c>
      <c r="X56" s="50">
        <f t="shared" si="12"/>
        <v>88700</v>
      </c>
      <c r="Y56" s="50">
        <f t="shared" si="12"/>
        <v>3264339</v>
      </c>
      <c r="Z56" s="50">
        <f t="shared" si="12"/>
        <v>19500769</v>
      </c>
      <c r="AA56" s="50">
        <f t="shared" si="12"/>
        <v>364263</v>
      </c>
      <c r="AB56" s="50">
        <f t="shared" si="12"/>
        <v>251792</v>
      </c>
      <c r="AC56" s="51"/>
      <c r="AD56" s="52">
        <f t="shared" ref="AD56:AD65" si="13">SUM(B56:AB56)</f>
        <v>59907230</v>
      </c>
      <c r="AH56" s="7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</row>
    <row r="57" spans="1:62" s="14" customFormat="1">
      <c r="A57" s="86" t="s">
        <v>105</v>
      </c>
      <c r="B57" s="50">
        <f t="shared" ref="B57:AB57" si="14">ROUND(B39*$L$51,0)</f>
        <v>8101</v>
      </c>
      <c r="C57" s="50">
        <f t="shared" si="14"/>
        <v>24672</v>
      </c>
      <c r="D57" s="50">
        <f t="shared" si="14"/>
        <v>4602</v>
      </c>
      <c r="E57" s="50">
        <f t="shared" si="14"/>
        <v>22070</v>
      </c>
      <c r="F57" s="50">
        <f t="shared" si="14"/>
        <v>132077</v>
      </c>
      <c r="G57" s="50">
        <f t="shared" si="14"/>
        <v>78906</v>
      </c>
      <c r="H57" s="50">
        <f t="shared" si="14"/>
        <v>26421</v>
      </c>
      <c r="I57" s="50">
        <f t="shared" si="14"/>
        <v>80115</v>
      </c>
      <c r="J57" s="50">
        <f t="shared" si="14"/>
        <v>123085</v>
      </c>
      <c r="K57" s="50">
        <f t="shared" si="14"/>
        <v>46544</v>
      </c>
      <c r="L57" s="50">
        <f t="shared" si="14"/>
        <v>87736</v>
      </c>
      <c r="M57" s="50">
        <f t="shared" si="14"/>
        <v>59855</v>
      </c>
      <c r="N57" s="50">
        <f t="shared" si="14"/>
        <v>368479</v>
      </c>
      <c r="O57" s="50">
        <f t="shared" si="14"/>
        <v>69789</v>
      </c>
      <c r="P57" s="50">
        <f t="shared" si="14"/>
        <v>31209</v>
      </c>
      <c r="Q57" s="50">
        <f t="shared" si="14"/>
        <v>293769</v>
      </c>
      <c r="R57" s="50">
        <f t="shared" si="14"/>
        <v>97008</v>
      </c>
      <c r="S57" s="50">
        <f t="shared" si="14"/>
        <v>33465</v>
      </c>
      <c r="T57" s="50">
        <f t="shared" si="14"/>
        <v>148913</v>
      </c>
      <c r="U57" s="50">
        <f t="shared" si="14"/>
        <v>39935</v>
      </c>
      <c r="V57" s="50">
        <f t="shared" si="14"/>
        <v>249540</v>
      </c>
      <c r="W57" s="50">
        <f t="shared" si="14"/>
        <v>32566</v>
      </c>
      <c r="X57" s="50">
        <f t="shared" si="14"/>
        <v>5977</v>
      </c>
      <c r="Y57" s="50">
        <f t="shared" si="14"/>
        <v>167305</v>
      </c>
      <c r="Z57" s="50">
        <f t="shared" si="14"/>
        <v>711155</v>
      </c>
      <c r="AA57" s="50">
        <f t="shared" si="14"/>
        <v>23063</v>
      </c>
      <c r="AB57" s="50">
        <f t="shared" si="14"/>
        <v>24448</v>
      </c>
      <c r="AC57" s="57"/>
      <c r="AD57" s="52">
        <f t="shared" si="13"/>
        <v>2990805</v>
      </c>
      <c r="AH57" s="15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</row>
    <row r="58" spans="1:62" s="14" customFormat="1">
      <c r="A58" s="86" t="s">
        <v>106</v>
      </c>
      <c r="B58" s="50">
        <f t="shared" ref="B58:AB58" si="15">ROUND(B40*$L$51,0)</f>
        <v>1293</v>
      </c>
      <c r="C58" s="50">
        <f t="shared" si="15"/>
        <v>3086</v>
      </c>
      <c r="D58" s="50">
        <f t="shared" si="15"/>
        <v>529</v>
      </c>
      <c r="E58" s="50">
        <f t="shared" si="15"/>
        <v>4482</v>
      </c>
      <c r="F58" s="50">
        <f t="shared" si="15"/>
        <v>27479</v>
      </c>
      <c r="G58" s="50">
        <f t="shared" si="15"/>
        <v>11156</v>
      </c>
      <c r="H58" s="50">
        <f t="shared" si="15"/>
        <v>4161</v>
      </c>
      <c r="I58" s="50">
        <f t="shared" si="15"/>
        <v>21622</v>
      </c>
      <c r="J58" s="50">
        <f t="shared" si="15"/>
        <v>39156</v>
      </c>
      <c r="K58" s="50">
        <f t="shared" si="15"/>
        <v>7222</v>
      </c>
      <c r="L58" s="50">
        <f t="shared" si="15"/>
        <v>47161</v>
      </c>
      <c r="M58" s="50">
        <f t="shared" si="15"/>
        <v>22864</v>
      </c>
      <c r="N58" s="50">
        <f t="shared" si="15"/>
        <v>93862</v>
      </c>
      <c r="O58" s="50">
        <f t="shared" si="15"/>
        <v>12708</v>
      </c>
      <c r="P58" s="50">
        <f t="shared" si="15"/>
        <v>3458</v>
      </c>
      <c r="Q58" s="50">
        <f t="shared" si="15"/>
        <v>108544</v>
      </c>
      <c r="R58" s="50">
        <f t="shared" si="15"/>
        <v>14313</v>
      </c>
      <c r="S58" s="50">
        <f t="shared" si="15"/>
        <v>3909</v>
      </c>
      <c r="T58" s="50">
        <f t="shared" si="15"/>
        <v>20401</v>
      </c>
      <c r="U58" s="50">
        <f t="shared" si="15"/>
        <v>4408</v>
      </c>
      <c r="V58" s="50">
        <f t="shared" si="15"/>
        <v>73081</v>
      </c>
      <c r="W58" s="50">
        <f t="shared" si="15"/>
        <v>8493</v>
      </c>
      <c r="X58" s="50">
        <f t="shared" si="15"/>
        <v>1346</v>
      </c>
      <c r="Y58" s="50">
        <f t="shared" si="15"/>
        <v>67586</v>
      </c>
      <c r="Z58" s="50">
        <f t="shared" si="15"/>
        <v>207565</v>
      </c>
      <c r="AA58" s="50">
        <f t="shared" si="15"/>
        <v>3082</v>
      </c>
      <c r="AB58" s="50">
        <f t="shared" si="15"/>
        <v>8148</v>
      </c>
      <c r="AC58" s="57"/>
      <c r="AD58" s="52">
        <f t="shared" si="13"/>
        <v>821115</v>
      </c>
      <c r="AH58" s="15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</row>
    <row r="59" spans="1:62">
      <c r="A59" s="86" t="s">
        <v>107</v>
      </c>
      <c r="B59" s="50">
        <f t="shared" ref="B59:AB59" si="16">ROUND(B41*$L$51,0)</f>
        <v>31385</v>
      </c>
      <c r="C59" s="50">
        <f t="shared" si="16"/>
        <v>64843</v>
      </c>
      <c r="D59" s="50">
        <f t="shared" si="16"/>
        <v>26080</v>
      </c>
      <c r="E59" s="50">
        <f t="shared" si="16"/>
        <v>99865</v>
      </c>
      <c r="F59" s="50">
        <f t="shared" si="16"/>
        <v>430622</v>
      </c>
      <c r="G59" s="50">
        <f t="shared" si="16"/>
        <v>226155</v>
      </c>
      <c r="H59" s="50">
        <f t="shared" si="16"/>
        <v>147329</v>
      </c>
      <c r="I59" s="50">
        <f t="shared" si="16"/>
        <v>201278</v>
      </c>
      <c r="J59" s="50">
        <f t="shared" si="16"/>
        <v>427255</v>
      </c>
      <c r="K59" s="50">
        <f t="shared" si="16"/>
        <v>148096</v>
      </c>
      <c r="L59" s="50">
        <f t="shared" si="16"/>
        <v>283753</v>
      </c>
      <c r="M59" s="50">
        <f t="shared" si="16"/>
        <v>187755</v>
      </c>
      <c r="N59" s="50">
        <f t="shared" si="16"/>
        <v>1158718</v>
      </c>
      <c r="O59" s="50">
        <f t="shared" si="16"/>
        <v>192614</v>
      </c>
      <c r="P59" s="50">
        <f t="shared" si="16"/>
        <v>97971</v>
      </c>
      <c r="Q59" s="50">
        <f t="shared" si="16"/>
        <v>764907</v>
      </c>
      <c r="R59" s="50">
        <f t="shared" si="16"/>
        <v>211609</v>
      </c>
      <c r="S59" s="50">
        <f t="shared" si="16"/>
        <v>106892</v>
      </c>
      <c r="T59" s="50">
        <f t="shared" si="16"/>
        <v>391042</v>
      </c>
      <c r="U59" s="50">
        <f t="shared" si="16"/>
        <v>103292</v>
      </c>
      <c r="V59" s="50">
        <f t="shared" si="16"/>
        <v>623809</v>
      </c>
      <c r="W59" s="50">
        <f t="shared" si="16"/>
        <v>118318</v>
      </c>
      <c r="X59" s="50">
        <f t="shared" si="16"/>
        <v>33859</v>
      </c>
      <c r="Y59" s="50">
        <f t="shared" si="16"/>
        <v>473233</v>
      </c>
      <c r="Z59" s="50">
        <f t="shared" si="16"/>
        <v>2211811</v>
      </c>
      <c r="AA59" s="50">
        <f t="shared" si="16"/>
        <v>50847</v>
      </c>
      <c r="AB59" s="50">
        <f t="shared" si="16"/>
        <v>81216</v>
      </c>
      <c r="AC59" s="51"/>
      <c r="AD59" s="52">
        <f t="shared" si="13"/>
        <v>8894554</v>
      </c>
      <c r="AH59" s="7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</row>
    <row r="60" spans="1:62">
      <c r="A60" s="86" t="s">
        <v>108</v>
      </c>
      <c r="B60" s="50">
        <f t="shared" ref="B60:AB60" si="17">ROUND(B42*$L$51,0)</f>
        <v>4857</v>
      </c>
      <c r="C60" s="50">
        <f t="shared" si="17"/>
        <v>26078</v>
      </c>
      <c r="D60" s="50">
        <f t="shared" si="17"/>
        <v>5294</v>
      </c>
      <c r="E60" s="50">
        <f t="shared" si="17"/>
        <v>28930</v>
      </c>
      <c r="F60" s="50">
        <f t="shared" si="17"/>
        <v>138427</v>
      </c>
      <c r="G60" s="50">
        <f t="shared" si="17"/>
        <v>70098</v>
      </c>
      <c r="H60" s="50">
        <f t="shared" si="17"/>
        <v>99196</v>
      </c>
      <c r="I60" s="50">
        <f t="shared" si="17"/>
        <v>70110</v>
      </c>
      <c r="J60" s="50">
        <f t="shared" si="17"/>
        <v>119694</v>
      </c>
      <c r="K60" s="50">
        <f t="shared" si="17"/>
        <v>28845</v>
      </c>
      <c r="L60" s="50">
        <f t="shared" si="17"/>
        <v>58290</v>
      </c>
      <c r="M60" s="50">
        <f t="shared" si="17"/>
        <v>47957</v>
      </c>
      <c r="N60" s="50">
        <f t="shared" si="17"/>
        <v>409477</v>
      </c>
      <c r="O60" s="50">
        <f t="shared" si="17"/>
        <v>48239</v>
      </c>
      <c r="P60" s="50">
        <f t="shared" si="17"/>
        <v>32559</v>
      </c>
      <c r="Q60" s="50">
        <f t="shared" si="17"/>
        <v>293302</v>
      </c>
      <c r="R60" s="50">
        <f t="shared" si="17"/>
        <v>102507</v>
      </c>
      <c r="S60" s="50">
        <f t="shared" si="17"/>
        <v>20027</v>
      </c>
      <c r="T60" s="50">
        <f t="shared" si="17"/>
        <v>341306</v>
      </c>
      <c r="U60" s="50">
        <f t="shared" si="17"/>
        <v>36032</v>
      </c>
      <c r="V60" s="50">
        <f t="shared" si="17"/>
        <v>320507</v>
      </c>
      <c r="W60" s="50">
        <f t="shared" si="17"/>
        <v>15846</v>
      </c>
      <c r="X60" s="50">
        <f t="shared" si="17"/>
        <v>5865</v>
      </c>
      <c r="Y60" s="50">
        <f t="shared" si="17"/>
        <v>243918</v>
      </c>
      <c r="Z60" s="50">
        <f t="shared" si="17"/>
        <v>1399779</v>
      </c>
      <c r="AA60" s="50">
        <f t="shared" si="17"/>
        <v>19622</v>
      </c>
      <c r="AB60" s="50">
        <f t="shared" si="17"/>
        <v>14057</v>
      </c>
      <c r="AC60" s="51"/>
      <c r="AD60" s="52">
        <f t="shared" si="13"/>
        <v>4000819</v>
      </c>
      <c r="AH60" s="7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</row>
    <row r="61" spans="1:62" s="14" customFormat="1">
      <c r="A61" s="86" t="s">
        <v>109</v>
      </c>
      <c r="B61" s="50">
        <f t="shared" ref="B61:AB61" si="18">ROUND(B43*$L$51,0)</f>
        <v>440</v>
      </c>
      <c r="C61" s="50">
        <f t="shared" si="18"/>
        <v>7448</v>
      </c>
      <c r="D61" s="50">
        <f t="shared" si="18"/>
        <v>518</v>
      </c>
      <c r="E61" s="50">
        <f t="shared" si="18"/>
        <v>3730</v>
      </c>
      <c r="F61" s="50">
        <f t="shared" si="18"/>
        <v>32467</v>
      </c>
      <c r="G61" s="50">
        <f t="shared" si="18"/>
        <v>13184</v>
      </c>
      <c r="H61" s="50">
        <f t="shared" si="18"/>
        <v>6474</v>
      </c>
      <c r="I61" s="50">
        <f t="shared" si="18"/>
        <v>9229</v>
      </c>
      <c r="J61" s="50">
        <f t="shared" si="18"/>
        <v>11041</v>
      </c>
      <c r="K61" s="50">
        <f t="shared" si="18"/>
        <v>5659</v>
      </c>
      <c r="L61" s="50">
        <f t="shared" si="18"/>
        <v>4430</v>
      </c>
      <c r="M61" s="50">
        <f t="shared" si="18"/>
        <v>4511</v>
      </c>
      <c r="N61" s="50">
        <f t="shared" si="18"/>
        <v>51070</v>
      </c>
      <c r="O61" s="50">
        <f t="shared" si="18"/>
        <v>7429</v>
      </c>
      <c r="P61" s="50">
        <f t="shared" si="18"/>
        <v>5421</v>
      </c>
      <c r="Q61" s="50">
        <f t="shared" si="18"/>
        <v>25310</v>
      </c>
      <c r="R61" s="50">
        <f t="shared" si="18"/>
        <v>20569</v>
      </c>
      <c r="S61" s="50">
        <f t="shared" si="18"/>
        <v>4726</v>
      </c>
      <c r="T61" s="50">
        <f t="shared" si="18"/>
        <v>40800</v>
      </c>
      <c r="U61" s="50">
        <f t="shared" si="18"/>
        <v>5709</v>
      </c>
      <c r="V61" s="50">
        <f t="shared" si="18"/>
        <v>22584</v>
      </c>
      <c r="W61" s="50">
        <f t="shared" si="18"/>
        <v>1486</v>
      </c>
      <c r="X61" s="50">
        <f t="shared" si="18"/>
        <v>767</v>
      </c>
      <c r="Y61" s="50">
        <f t="shared" si="18"/>
        <v>13849</v>
      </c>
      <c r="Z61" s="50">
        <f t="shared" si="18"/>
        <v>126761</v>
      </c>
      <c r="AA61" s="50">
        <f t="shared" si="18"/>
        <v>3605</v>
      </c>
      <c r="AB61" s="50">
        <f t="shared" si="18"/>
        <v>1787</v>
      </c>
      <c r="AC61" s="57"/>
      <c r="AD61" s="52">
        <f t="shared" si="13"/>
        <v>431004</v>
      </c>
      <c r="AH61" s="15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</row>
    <row r="62" spans="1:62" s="14" customFormat="1">
      <c r="A62" s="86" t="s">
        <v>110</v>
      </c>
      <c r="B62" s="50">
        <f t="shared" ref="B62:AB62" si="19">ROUND(B44*$L$51,0)</f>
        <v>137900</v>
      </c>
      <c r="C62" s="50">
        <f t="shared" si="19"/>
        <v>355764</v>
      </c>
      <c r="D62" s="50">
        <f t="shared" si="19"/>
        <v>73566</v>
      </c>
      <c r="E62" s="50">
        <f t="shared" si="19"/>
        <v>321726</v>
      </c>
      <c r="F62" s="50">
        <f t="shared" si="19"/>
        <v>1485288</v>
      </c>
      <c r="G62" s="50">
        <f t="shared" si="19"/>
        <v>1547037</v>
      </c>
      <c r="H62" s="50">
        <f t="shared" si="19"/>
        <v>225475</v>
      </c>
      <c r="I62" s="50">
        <f t="shared" si="19"/>
        <v>501648</v>
      </c>
      <c r="J62" s="50">
        <f t="shared" si="19"/>
        <v>973610</v>
      </c>
      <c r="K62" s="50">
        <f t="shared" si="19"/>
        <v>978384</v>
      </c>
      <c r="L62" s="50">
        <f t="shared" si="19"/>
        <v>701391</v>
      </c>
      <c r="M62" s="50">
        <f t="shared" si="19"/>
        <v>407410</v>
      </c>
      <c r="N62" s="50">
        <f t="shared" si="19"/>
        <v>2817566</v>
      </c>
      <c r="O62" s="50">
        <f t="shared" si="19"/>
        <v>1028248</v>
      </c>
      <c r="P62" s="50">
        <f t="shared" si="19"/>
        <v>565076</v>
      </c>
      <c r="Q62" s="50">
        <f t="shared" si="19"/>
        <v>1298959</v>
      </c>
      <c r="R62" s="50">
        <f t="shared" si="19"/>
        <v>1185018</v>
      </c>
      <c r="S62" s="50">
        <f t="shared" si="19"/>
        <v>624538</v>
      </c>
      <c r="T62" s="50">
        <f t="shared" si="19"/>
        <v>1104308</v>
      </c>
      <c r="U62" s="50">
        <f t="shared" si="19"/>
        <v>492126</v>
      </c>
      <c r="V62" s="50">
        <f t="shared" si="19"/>
        <v>1167384</v>
      </c>
      <c r="W62" s="50">
        <f t="shared" si="19"/>
        <v>437760</v>
      </c>
      <c r="X62" s="50">
        <f t="shared" si="19"/>
        <v>88111</v>
      </c>
      <c r="Y62" s="50">
        <f t="shared" si="19"/>
        <v>963517</v>
      </c>
      <c r="Z62" s="50">
        <f t="shared" si="19"/>
        <v>5228908</v>
      </c>
      <c r="AA62" s="50">
        <f t="shared" si="19"/>
        <v>293869</v>
      </c>
      <c r="AB62" s="50">
        <f t="shared" si="19"/>
        <v>260512</v>
      </c>
      <c r="AC62" s="57"/>
      <c r="AD62" s="52">
        <f t="shared" si="13"/>
        <v>25265099</v>
      </c>
      <c r="AH62" s="15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</row>
    <row r="63" spans="1:62" s="14" customFormat="1">
      <c r="A63" s="86" t="s">
        <v>111</v>
      </c>
      <c r="B63" s="50">
        <f t="shared" ref="B63:AB63" si="20">ROUND(B45*$L$51,0)</f>
        <v>32446</v>
      </c>
      <c r="C63" s="50">
        <f t="shared" si="20"/>
        <v>50567</v>
      </c>
      <c r="D63" s="50">
        <f t="shared" si="20"/>
        <v>15198</v>
      </c>
      <c r="E63" s="50">
        <f t="shared" si="20"/>
        <v>76218</v>
      </c>
      <c r="F63" s="50">
        <f t="shared" si="20"/>
        <v>244520</v>
      </c>
      <c r="G63" s="50">
        <f t="shared" si="20"/>
        <v>202198</v>
      </c>
      <c r="H63" s="50">
        <f t="shared" si="20"/>
        <v>25294</v>
      </c>
      <c r="I63" s="50">
        <f t="shared" si="20"/>
        <v>132008</v>
      </c>
      <c r="J63" s="50">
        <f t="shared" si="20"/>
        <v>320293</v>
      </c>
      <c r="K63" s="50">
        <f t="shared" si="20"/>
        <v>194773</v>
      </c>
      <c r="L63" s="50">
        <f t="shared" si="20"/>
        <v>278195</v>
      </c>
      <c r="M63" s="50">
        <f t="shared" si="20"/>
        <v>128464</v>
      </c>
      <c r="N63" s="50">
        <f t="shared" si="20"/>
        <v>347623</v>
      </c>
      <c r="O63" s="50">
        <f t="shared" si="20"/>
        <v>240146</v>
      </c>
      <c r="P63" s="50">
        <f t="shared" si="20"/>
        <v>81496</v>
      </c>
      <c r="Q63" s="50">
        <f t="shared" si="20"/>
        <v>343515</v>
      </c>
      <c r="R63" s="50">
        <f t="shared" si="20"/>
        <v>137519</v>
      </c>
      <c r="S63" s="50">
        <f t="shared" si="20"/>
        <v>113797</v>
      </c>
      <c r="T63" s="50">
        <f t="shared" si="20"/>
        <v>212678</v>
      </c>
      <c r="U63" s="50">
        <f t="shared" si="20"/>
        <v>74100</v>
      </c>
      <c r="V63" s="50">
        <f t="shared" si="20"/>
        <v>211603</v>
      </c>
      <c r="W63" s="50">
        <f t="shared" si="20"/>
        <v>141119</v>
      </c>
      <c r="X63" s="50">
        <f t="shared" si="20"/>
        <v>22987</v>
      </c>
      <c r="Y63" s="50">
        <f t="shared" si="20"/>
        <v>306841</v>
      </c>
      <c r="Z63" s="50">
        <f t="shared" si="20"/>
        <v>1120259</v>
      </c>
      <c r="AA63" s="50">
        <f t="shared" si="20"/>
        <v>56546</v>
      </c>
      <c r="AB63" s="50">
        <f t="shared" si="20"/>
        <v>109154</v>
      </c>
      <c r="AC63" s="57"/>
      <c r="AD63" s="52">
        <f t="shared" si="13"/>
        <v>5219557</v>
      </c>
      <c r="AH63" s="15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</row>
    <row r="64" spans="1:62" s="14" customFormat="1">
      <c r="A64" s="86" t="s">
        <v>112</v>
      </c>
      <c r="B64" s="50">
        <f t="shared" ref="B64:AB64" si="21">ROUND(B46*$L$51,0)</f>
        <v>1416</v>
      </c>
      <c r="C64" s="50">
        <f t="shared" si="21"/>
        <v>9548</v>
      </c>
      <c r="D64" s="50">
        <f t="shared" si="21"/>
        <v>1510</v>
      </c>
      <c r="E64" s="50">
        <f t="shared" si="21"/>
        <v>10441</v>
      </c>
      <c r="F64" s="50">
        <f t="shared" si="21"/>
        <v>44582</v>
      </c>
      <c r="G64" s="50">
        <f t="shared" si="21"/>
        <v>19261</v>
      </c>
      <c r="H64" s="50">
        <f t="shared" si="21"/>
        <v>13335</v>
      </c>
      <c r="I64" s="50">
        <f t="shared" si="21"/>
        <v>16314</v>
      </c>
      <c r="J64" s="50">
        <f t="shared" si="21"/>
        <v>25299</v>
      </c>
      <c r="K64" s="50">
        <f t="shared" si="21"/>
        <v>10779</v>
      </c>
      <c r="L64" s="50">
        <f t="shared" si="21"/>
        <v>14264</v>
      </c>
      <c r="M64" s="50">
        <f t="shared" si="21"/>
        <v>10728</v>
      </c>
      <c r="N64" s="50">
        <f t="shared" si="21"/>
        <v>86678</v>
      </c>
      <c r="O64" s="50">
        <f t="shared" si="21"/>
        <v>21392</v>
      </c>
      <c r="P64" s="50">
        <f t="shared" si="21"/>
        <v>8364</v>
      </c>
      <c r="Q64" s="50">
        <f t="shared" si="21"/>
        <v>48498</v>
      </c>
      <c r="R64" s="50">
        <f t="shared" si="21"/>
        <v>21813</v>
      </c>
      <c r="S64" s="50">
        <f t="shared" si="21"/>
        <v>8973</v>
      </c>
      <c r="T64" s="50">
        <f t="shared" si="21"/>
        <v>42463</v>
      </c>
      <c r="U64" s="50">
        <f t="shared" si="21"/>
        <v>7926</v>
      </c>
      <c r="V64" s="50">
        <f t="shared" si="21"/>
        <v>42825</v>
      </c>
      <c r="W64" s="50">
        <f t="shared" si="21"/>
        <v>6941</v>
      </c>
      <c r="X64" s="50">
        <f t="shared" si="21"/>
        <v>1360</v>
      </c>
      <c r="Y64" s="50">
        <f t="shared" si="21"/>
        <v>22499</v>
      </c>
      <c r="Z64" s="50">
        <f t="shared" si="21"/>
        <v>169765</v>
      </c>
      <c r="AA64" s="50">
        <f t="shared" si="21"/>
        <v>8126</v>
      </c>
      <c r="AB64" s="50">
        <f t="shared" si="21"/>
        <v>6225</v>
      </c>
      <c r="AC64" s="57"/>
      <c r="AD64" s="52">
        <f t="shared" si="13"/>
        <v>681325</v>
      </c>
      <c r="AH64" s="15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</row>
    <row r="65" spans="1:62">
      <c r="A65" s="86" t="s">
        <v>113</v>
      </c>
      <c r="B65" s="50">
        <f t="shared" ref="B65:AB65" si="22">ROUND(B47*$L$51,0)</f>
        <v>1717</v>
      </c>
      <c r="C65" s="50">
        <f t="shared" si="22"/>
        <v>10092</v>
      </c>
      <c r="D65" s="50">
        <f t="shared" si="22"/>
        <v>1372</v>
      </c>
      <c r="E65" s="50">
        <f t="shared" si="22"/>
        <v>7056</v>
      </c>
      <c r="F65" s="50">
        <f t="shared" si="22"/>
        <v>45980</v>
      </c>
      <c r="G65" s="50">
        <f t="shared" si="22"/>
        <v>47942</v>
      </c>
      <c r="H65" s="50">
        <f t="shared" si="22"/>
        <v>40685</v>
      </c>
      <c r="I65" s="50">
        <f t="shared" si="22"/>
        <v>30182</v>
      </c>
      <c r="J65" s="50">
        <f t="shared" si="22"/>
        <v>47138</v>
      </c>
      <c r="K65" s="50">
        <f t="shared" si="22"/>
        <v>15412</v>
      </c>
      <c r="L65" s="50">
        <f t="shared" si="22"/>
        <v>25856</v>
      </c>
      <c r="M65" s="50">
        <f t="shared" si="22"/>
        <v>20045</v>
      </c>
      <c r="N65" s="50">
        <f t="shared" si="22"/>
        <v>123506</v>
      </c>
      <c r="O65" s="50">
        <f t="shared" si="22"/>
        <v>20746</v>
      </c>
      <c r="P65" s="50">
        <f t="shared" si="22"/>
        <v>18612</v>
      </c>
      <c r="Q65" s="50">
        <f t="shared" si="22"/>
        <v>96587</v>
      </c>
      <c r="R65" s="50">
        <f t="shared" si="22"/>
        <v>32408</v>
      </c>
      <c r="S65" s="50">
        <f t="shared" si="22"/>
        <v>11254</v>
      </c>
      <c r="T65" s="50">
        <f t="shared" si="22"/>
        <v>91557</v>
      </c>
      <c r="U65" s="50">
        <f t="shared" si="22"/>
        <v>25281</v>
      </c>
      <c r="V65" s="50">
        <f t="shared" si="22"/>
        <v>96881</v>
      </c>
      <c r="W65" s="50">
        <f t="shared" si="22"/>
        <v>6847</v>
      </c>
      <c r="X65" s="50">
        <f t="shared" si="22"/>
        <v>1823</v>
      </c>
      <c r="Y65" s="50">
        <f t="shared" si="22"/>
        <v>109315</v>
      </c>
      <c r="Z65" s="50">
        <f t="shared" si="22"/>
        <v>427843</v>
      </c>
      <c r="AA65" s="50">
        <f t="shared" si="22"/>
        <v>7745</v>
      </c>
      <c r="AB65" s="50">
        <f t="shared" si="22"/>
        <v>6838</v>
      </c>
      <c r="AC65" s="51"/>
      <c r="AD65" s="52">
        <f t="shared" si="13"/>
        <v>1370720</v>
      </c>
      <c r="AH65" s="7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</row>
    <row r="66" spans="1:62">
      <c r="A66" s="60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3"/>
      <c r="AH66" s="7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</row>
    <row r="67" spans="1:62" s="5" customFormat="1">
      <c r="A67" s="59" t="s">
        <v>80</v>
      </c>
      <c r="B67" s="52">
        <f t="shared" ref="B67:AB67" si="23">SUM(B56:B65)</f>
        <v>319947</v>
      </c>
      <c r="C67" s="52">
        <f t="shared" si="23"/>
        <v>962744</v>
      </c>
      <c r="D67" s="52">
        <f t="shared" si="23"/>
        <v>223884</v>
      </c>
      <c r="E67" s="52">
        <f t="shared" si="23"/>
        <v>1017525</v>
      </c>
      <c r="F67" s="52">
        <f t="shared" si="23"/>
        <v>4650837</v>
      </c>
      <c r="G67" s="52">
        <f t="shared" si="23"/>
        <v>3500404</v>
      </c>
      <c r="H67" s="52">
        <f t="shared" si="23"/>
        <v>1969718</v>
      </c>
      <c r="I67" s="52">
        <f t="shared" si="23"/>
        <v>2124380</v>
      </c>
      <c r="J67" s="52">
        <f t="shared" si="23"/>
        <v>4142175</v>
      </c>
      <c r="K67" s="52">
        <f t="shared" si="23"/>
        <v>1945329</v>
      </c>
      <c r="L67" s="52">
        <f t="shared" si="23"/>
        <v>2356803</v>
      </c>
      <c r="M67" s="52">
        <f t="shared" si="23"/>
        <v>1707270</v>
      </c>
      <c r="N67" s="52">
        <f t="shared" si="23"/>
        <v>12343168</v>
      </c>
      <c r="O67" s="52">
        <f t="shared" si="23"/>
        <v>2349780</v>
      </c>
      <c r="P67" s="52">
        <f t="shared" si="23"/>
        <v>1446666</v>
      </c>
      <c r="Q67" s="52">
        <f t="shared" si="23"/>
        <v>8129199</v>
      </c>
      <c r="R67" s="52">
        <f t="shared" si="23"/>
        <v>3271244</v>
      </c>
      <c r="S67" s="52">
        <f t="shared" si="23"/>
        <v>1340065</v>
      </c>
      <c r="T67" s="52">
        <f t="shared" si="23"/>
        <v>7233084</v>
      </c>
      <c r="U67" s="52">
        <f t="shared" si="23"/>
        <v>1410147</v>
      </c>
      <c r="V67" s="52">
        <f t="shared" si="23"/>
        <v>7458843</v>
      </c>
      <c r="W67" s="52">
        <f t="shared" si="23"/>
        <v>1096259</v>
      </c>
      <c r="X67" s="52">
        <f t="shared" si="23"/>
        <v>250795</v>
      </c>
      <c r="Y67" s="52">
        <f t="shared" si="23"/>
        <v>5632402</v>
      </c>
      <c r="Z67" s="52">
        <f t="shared" si="23"/>
        <v>31104615</v>
      </c>
      <c r="AA67" s="52">
        <f t="shared" si="23"/>
        <v>830768</v>
      </c>
      <c r="AB67" s="52">
        <f t="shared" si="23"/>
        <v>764177</v>
      </c>
      <c r="AC67" s="53"/>
      <c r="AD67" s="52">
        <f>SUM(AD56:AD65)</f>
        <v>109582228</v>
      </c>
      <c r="AH67" s="7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</row>
    <row r="72" spans="1:62" s="5" customFormat="1"/>
    <row r="73" spans="1:62" s="5" customFormat="1"/>
    <row r="74" spans="1:62" s="5" customFormat="1"/>
    <row r="75" spans="1:62" s="5" customFormat="1"/>
    <row r="76" spans="1:62" s="5" customFormat="1"/>
    <row r="77" spans="1:62" s="5" customFormat="1"/>
    <row r="78" spans="1:62" s="5" customFormat="1"/>
    <row r="79" spans="1:62" s="5" customFormat="1"/>
    <row r="80" spans="1:62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 ht="15" customHeigh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</sheetData>
  <mergeCells count="4">
    <mergeCell ref="A2:A3"/>
    <mergeCell ref="A54:A55"/>
    <mergeCell ref="A25:A26"/>
    <mergeCell ref="A36:A37"/>
  </mergeCells>
  <pageMargins left="0.75" right="0.75" top="1" bottom="1" header="0.5" footer="0.5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8CBAD"/>
  </sheetPr>
  <dimension ref="A1:BJ166"/>
  <sheetViews>
    <sheetView showGridLines="0" topLeftCell="A22" zoomScale="90" zoomScaleNormal="90" workbookViewId="0">
      <pane xSplit="1" topLeftCell="L1" activePane="topRight" state="frozen"/>
      <selection pane="topRight" activeCell="A25" sqref="A25:A26"/>
    </sheetView>
  </sheetViews>
  <sheetFormatPr defaultColWidth="10.85546875" defaultRowHeight="15.75"/>
  <cols>
    <col min="1" max="1" width="35.42578125" style="5" customWidth="1"/>
    <col min="2" max="2" width="11.42578125" bestFit="1" customWidth="1"/>
    <col min="11" max="11" width="13.5703125" customWidth="1"/>
    <col min="12" max="12" width="15.7109375" customWidth="1"/>
    <col min="13" max="13" width="19.42578125" customWidth="1"/>
    <col min="14" max="14" width="13.7109375" customWidth="1"/>
    <col min="26" max="26" width="12.42578125" bestFit="1" customWidth="1"/>
    <col min="28" max="28" width="12.140625" customWidth="1"/>
    <col min="30" max="30" width="13.28515625" style="5" bestFit="1" customWidth="1"/>
  </cols>
  <sheetData>
    <row r="1" spans="1:30">
      <c r="A1" s="84">
        <v>2021</v>
      </c>
    </row>
    <row r="2" spans="1:30" ht="15.75" customHeight="1">
      <c r="A2" s="96" t="s">
        <v>52</v>
      </c>
    </row>
    <row r="3" spans="1:30">
      <c r="A3" s="97"/>
      <c r="B3" s="6" t="s">
        <v>53</v>
      </c>
      <c r="C3" s="6" t="s">
        <v>54</v>
      </c>
      <c r="D3" s="6" t="s">
        <v>55</v>
      </c>
      <c r="E3" s="6" t="s">
        <v>56</v>
      </c>
      <c r="F3" s="6" t="s">
        <v>57</v>
      </c>
      <c r="G3" s="6" t="s">
        <v>58</v>
      </c>
      <c r="H3" s="6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  <c r="T3" s="6" t="s">
        <v>71</v>
      </c>
      <c r="U3" s="6" t="s">
        <v>72</v>
      </c>
      <c r="V3" s="6" t="s">
        <v>73</v>
      </c>
      <c r="W3" s="6" t="s">
        <v>74</v>
      </c>
      <c r="X3" s="6" t="s">
        <v>75</v>
      </c>
      <c r="Y3" s="6" t="s">
        <v>76</v>
      </c>
      <c r="Z3" s="6" t="s">
        <v>77</v>
      </c>
      <c r="AA3" s="6" t="s">
        <v>78</v>
      </c>
      <c r="AB3" s="6" t="s">
        <v>79</v>
      </c>
      <c r="AD3" s="32" t="s">
        <v>80</v>
      </c>
    </row>
    <row r="4" spans="1:30" ht="15">
      <c r="A4" s="58" t="s">
        <v>81</v>
      </c>
      <c r="B4" s="31">
        <v>3634</v>
      </c>
      <c r="C4" s="31">
        <v>24261</v>
      </c>
      <c r="D4" s="31">
        <v>1452</v>
      </c>
      <c r="E4" s="31">
        <v>16212</v>
      </c>
      <c r="F4" s="31">
        <v>100571</v>
      </c>
      <c r="G4" s="31">
        <v>60960</v>
      </c>
      <c r="H4" s="31">
        <v>58036</v>
      </c>
      <c r="I4" s="31">
        <v>53016</v>
      </c>
      <c r="J4" s="31">
        <v>159732</v>
      </c>
      <c r="K4" s="31">
        <v>13911</v>
      </c>
      <c r="L4" s="31">
        <v>48645</v>
      </c>
      <c r="M4" s="31">
        <v>54423</v>
      </c>
      <c r="N4" s="31">
        <v>435900</v>
      </c>
      <c r="O4" s="31">
        <v>23921</v>
      </c>
      <c r="P4" s="31">
        <v>29348</v>
      </c>
      <c r="Q4" s="31">
        <v>418302</v>
      </c>
      <c r="R4" s="31">
        <v>94008</v>
      </c>
      <c r="S4" s="31">
        <v>18645</v>
      </c>
      <c r="T4" s="31">
        <v>308120</v>
      </c>
      <c r="U4" s="31">
        <v>30183</v>
      </c>
      <c r="V4" s="31">
        <v>196191</v>
      </c>
      <c r="W4" s="31">
        <v>10466</v>
      </c>
      <c r="X4" s="31">
        <v>1455</v>
      </c>
      <c r="Y4" s="31">
        <v>132953</v>
      </c>
      <c r="Z4" s="31">
        <v>1830930</v>
      </c>
      <c r="AA4" s="31">
        <v>18536</v>
      </c>
      <c r="AB4" s="31">
        <v>11017</v>
      </c>
      <c r="AD4" s="52">
        <f t="shared" ref="AD4:AD21" si="0">SUM(B4:AB4)</f>
        <v>4154828</v>
      </c>
    </row>
    <row r="5" spans="1:30" ht="15">
      <c r="A5" s="58" t="s">
        <v>82</v>
      </c>
      <c r="B5" s="31">
        <v>1</v>
      </c>
      <c r="C5" s="31">
        <v>1</v>
      </c>
      <c r="D5" s="31"/>
      <c r="E5" s="31"/>
      <c r="F5" s="31">
        <v>19</v>
      </c>
      <c r="G5" s="31">
        <v>57</v>
      </c>
      <c r="H5" s="31"/>
      <c r="I5" s="31">
        <v>321</v>
      </c>
      <c r="J5" s="31">
        <v>29</v>
      </c>
      <c r="K5" s="31">
        <v>6</v>
      </c>
      <c r="L5" s="31">
        <v>273</v>
      </c>
      <c r="M5" s="31">
        <v>15</v>
      </c>
      <c r="N5" s="31">
        <v>447</v>
      </c>
      <c r="O5" s="31">
        <v>11</v>
      </c>
      <c r="P5" s="31">
        <v>15</v>
      </c>
      <c r="Q5" s="31"/>
      <c r="R5" s="31"/>
      <c r="S5" s="31">
        <v>5</v>
      </c>
      <c r="T5" s="31"/>
      <c r="U5" s="31">
        <v>8</v>
      </c>
      <c r="V5" s="31"/>
      <c r="W5" s="31">
        <v>1</v>
      </c>
      <c r="X5" s="31"/>
      <c r="Y5" s="31">
        <v>2</v>
      </c>
      <c r="Z5" s="31">
        <v>936</v>
      </c>
      <c r="AA5" s="31">
        <v>1</v>
      </c>
      <c r="AB5" s="31">
        <v>2</v>
      </c>
      <c r="AC5" s="18"/>
      <c r="AD5" s="52">
        <f t="shared" si="0"/>
        <v>2150</v>
      </c>
    </row>
    <row r="6" spans="1:30" ht="15">
      <c r="A6" s="58" t="s">
        <v>83</v>
      </c>
      <c r="B6" s="31"/>
      <c r="C6" s="31">
        <v>938</v>
      </c>
      <c r="D6" s="31">
        <v>1</v>
      </c>
      <c r="E6" s="31">
        <v>44</v>
      </c>
      <c r="F6" s="31">
        <v>1555</v>
      </c>
      <c r="G6" s="31">
        <v>3019</v>
      </c>
      <c r="H6" s="31">
        <v>21</v>
      </c>
      <c r="I6" s="31">
        <v>1874</v>
      </c>
      <c r="J6" s="31">
        <v>206</v>
      </c>
      <c r="K6" s="31">
        <v>7</v>
      </c>
      <c r="L6" s="31">
        <v>72</v>
      </c>
      <c r="M6" s="31">
        <v>208</v>
      </c>
      <c r="N6" s="31">
        <v>2339</v>
      </c>
      <c r="O6" s="31">
        <v>13</v>
      </c>
      <c r="P6" s="31">
        <v>1865</v>
      </c>
      <c r="Q6" s="31">
        <v>1515</v>
      </c>
      <c r="R6" s="31">
        <v>2049</v>
      </c>
      <c r="S6" s="31">
        <v>32</v>
      </c>
      <c r="T6" s="31">
        <v>53205</v>
      </c>
      <c r="U6" s="31">
        <v>4791</v>
      </c>
      <c r="V6" s="31">
        <v>2049</v>
      </c>
      <c r="W6" s="31">
        <v>1</v>
      </c>
      <c r="X6" s="31">
        <v>1</v>
      </c>
      <c r="Y6" s="31">
        <v>3680</v>
      </c>
      <c r="Z6" s="31">
        <v>12269</v>
      </c>
      <c r="AA6" s="31">
        <v>1464</v>
      </c>
      <c r="AB6" s="31">
        <v>8</v>
      </c>
      <c r="AC6" s="18"/>
      <c r="AD6" s="52">
        <f t="shared" si="0"/>
        <v>93226</v>
      </c>
    </row>
    <row r="7" spans="1:30" ht="15">
      <c r="A7" s="58" t="s">
        <v>84</v>
      </c>
      <c r="B7" s="31">
        <v>129102</v>
      </c>
      <c r="C7" s="31">
        <v>427065</v>
      </c>
      <c r="D7" s="31">
        <v>110693</v>
      </c>
      <c r="E7" s="31">
        <v>472308</v>
      </c>
      <c r="F7" s="31">
        <v>1974420</v>
      </c>
      <c r="G7" s="31">
        <v>1445911</v>
      </c>
      <c r="H7" s="31">
        <v>1065789</v>
      </c>
      <c r="I7" s="31">
        <v>881441</v>
      </c>
      <c r="J7" s="31">
        <v>1677848</v>
      </c>
      <c r="K7" s="31">
        <v>827261</v>
      </c>
      <c r="L7" s="31">
        <v>972679</v>
      </c>
      <c r="M7" s="31">
        <v>674854</v>
      </c>
      <c r="N7" s="31">
        <v>5218514</v>
      </c>
      <c r="O7" s="31">
        <v>990958</v>
      </c>
      <c r="P7" s="31">
        <v>623703</v>
      </c>
      <c r="Q7" s="31">
        <v>3063829</v>
      </c>
      <c r="R7" s="31">
        <v>1417097</v>
      </c>
      <c r="S7" s="31">
        <v>509807</v>
      </c>
      <c r="T7" s="31">
        <v>2241331</v>
      </c>
      <c r="U7" s="31">
        <v>555405</v>
      </c>
      <c r="V7" s="31">
        <v>2617691</v>
      </c>
      <c r="W7" s="31">
        <v>438096</v>
      </c>
      <c r="X7" s="31">
        <v>101821</v>
      </c>
      <c r="Y7" s="31">
        <v>2339636</v>
      </c>
      <c r="Z7" s="31">
        <v>12304447</v>
      </c>
      <c r="AA7" s="31">
        <v>357377</v>
      </c>
      <c r="AB7" s="31">
        <v>307822</v>
      </c>
      <c r="AC7" s="18"/>
      <c r="AD7" s="52">
        <f t="shared" si="0"/>
        <v>43746905</v>
      </c>
    </row>
    <row r="8" spans="1:30" ht="15">
      <c r="A8" s="58" t="s">
        <v>85</v>
      </c>
      <c r="B8" s="31">
        <v>28973</v>
      </c>
      <c r="C8" s="31">
        <v>73571</v>
      </c>
      <c r="D8" s="31">
        <v>15118</v>
      </c>
      <c r="E8" s="31">
        <v>73710</v>
      </c>
      <c r="F8" s="31">
        <v>397085</v>
      </c>
      <c r="G8" s="31">
        <v>259921</v>
      </c>
      <c r="H8" s="31">
        <v>123768</v>
      </c>
      <c r="I8" s="31">
        <v>214284</v>
      </c>
      <c r="J8" s="31">
        <v>372761</v>
      </c>
      <c r="K8" s="31">
        <v>144306</v>
      </c>
      <c r="L8" s="31">
        <v>275215</v>
      </c>
      <c r="M8" s="31">
        <v>185956</v>
      </c>
      <c r="N8" s="31">
        <v>954179</v>
      </c>
      <c r="O8" s="31">
        <v>213254</v>
      </c>
      <c r="P8" s="31">
        <v>98865</v>
      </c>
      <c r="Q8" s="31">
        <v>782717</v>
      </c>
      <c r="R8" s="31">
        <v>248890</v>
      </c>
      <c r="S8" s="31">
        <v>110665</v>
      </c>
      <c r="T8" s="31">
        <v>376537</v>
      </c>
      <c r="U8" s="31">
        <v>111081</v>
      </c>
      <c r="V8" s="31">
        <v>673839</v>
      </c>
      <c r="W8" s="31">
        <v>106898</v>
      </c>
      <c r="X8" s="31">
        <v>23008</v>
      </c>
      <c r="Y8" s="31">
        <v>475974</v>
      </c>
      <c r="Z8" s="31">
        <v>1955561</v>
      </c>
      <c r="AA8" s="31">
        <v>61131</v>
      </c>
      <c r="AB8" s="31">
        <v>82853</v>
      </c>
      <c r="AC8" s="18"/>
      <c r="AD8" s="52">
        <f t="shared" si="0"/>
        <v>8440120</v>
      </c>
    </row>
    <row r="9" spans="1:30" ht="15">
      <c r="A9" s="58" t="s">
        <v>86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1</v>
      </c>
      <c r="Z9" s="31">
        <v>1</v>
      </c>
      <c r="AA9" s="31"/>
      <c r="AB9" s="31"/>
      <c r="AC9" s="18"/>
      <c r="AD9" s="52">
        <f t="shared" si="0"/>
        <v>2</v>
      </c>
    </row>
    <row r="10" spans="1:30" ht="15">
      <c r="A10" s="58" t="s">
        <v>87</v>
      </c>
      <c r="B10" s="31"/>
      <c r="C10" s="31"/>
      <c r="D10" s="31"/>
      <c r="E10" s="31"/>
      <c r="F10" s="31">
        <v>3</v>
      </c>
      <c r="G10" s="31"/>
      <c r="H10" s="31">
        <v>2</v>
      </c>
      <c r="I10" s="31">
        <v>1</v>
      </c>
      <c r="J10" s="31">
        <v>2</v>
      </c>
      <c r="K10" s="31">
        <v>1</v>
      </c>
      <c r="L10" s="31"/>
      <c r="M10" s="31">
        <v>1</v>
      </c>
      <c r="N10" s="31">
        <v>1</v>
      </c>
      <c r="O10" s="31"/>
      <c r="P10" s="31"/>
      <c r="Q10" s="31"/>
      <c r="R10" s="31"/>
      <c r="S10" s="31"/>
      <c r="T10" s="31"/>
      <c r="U10" s="31"/>
      <c r="V10" s="31">
        <v>5</v>
      </c>
      <c r="W10" s="31">
        <v>1</v>
      </c>
      <c r="X10" s="31">
        <v>1</v>
      </c>
      <c r="Y10" s="31">
        <v>1</v>
      </c>
      <c r="Z10" s="31">
        <v>16</v>
      </c>
      <c r="AA10" s="31"/>
      <c r="AB10" s="31"/>
      <c r="AC10" s="18"/>
      <c r="AD10" s="52">
        <f t="shared" si="0"/>
        <v>35</v>
      </c>
    </row>
    <row r="11" spans="1:30" ht="15">
      <c r="A11" s="58" t="s">
        <v>88</v>
      </c>
      <c r="B11" s="31"/>
      <c r="C11" s="31"/>
      <c r="D11" s="31"/>
      <c r="E11" s="31">
        <v>1</v>
      </c>
      <c r="F11" s="31">
        <v>2</v>
      </c>
      <c r="G11" s="31">
        <v>1</v>
      </c>
      <c r="H11" s="31">
        <v>4</v>
      </c>
      <c r="I11" s="31">
        <v>4</v>
      </c>
      <c r="J11" s="31"/>
      <c r="K11" s="31"/>
      <c r="L11" s="31"/>
      <c r="M11" s="31">
        <v>2</v>
      </c>
      <c r="N11" s="31">
        <v>2</v>
      </c>
      <c r="O11" s="31">
        <v>1</v>
      </c>
      <c r="P11" s="31"/>
      <c r="Q11" s="31">
        <v>12</v>
      </c>
      <c r="R11" s="31"/>
      <c r="S11" s="31"/>
      <c r="T11" s="31">
        <v>10</v>
      </c>
      <c r="U11" s="31">
        <v>2</v>
      </c>
      <c r="V11" s="31">
        <v>2</v>
      </c>
      <c r="W11" s="31"/>
      <c r="X11" s="31"/>
      <c r="Y11" s="31">
        <v>39</v>
      </c>
      <c r="Z11" s="31">
        <v>22</v>
      </c>
      <c r="AA11" s="31">
        <v>1</v>
      </c>
      <c r="AB11" s="31"/>
      <c r="AC11" s="18"/>
      <c r="AD11" s="52">
        <f t="shared" si="0"/>
        <v>105</v>
      </c>
    </row>
    <row r="12" spans="1:30" ht="15">
      <c r="A12" s="58" t="s">
        <v>89</v>
      </c>
      <c r="B12" s="31">
        <v>1</v>
      </c>
      <c r="C12" s="31">
        <v>40</v>
      </c>
      <c r="D12" s="31">
        <v>2</v>
      </c>
      <c r="E12" s="31">
        <v>17</v>
      </c>
      <c r="F12" s="31">
        <v>77</v>
      </c>
      <c r="G12" s="31">
        <v>78</v>
      </c>
      <c r="H12" s="31">
        <v>107</v>
      </c>
      <c r="I12" s="31">
        <v>75</v>
      </c>
      <c r="J12" s="31">
        <v>59</v>
      </c>
      <c r="K12" s="31">
        <v>10</v>
      </c>
      <c r="L12" s="31">
        <v>7</v>
      </c>
      <c r="M12" s="31">
        <v>15</v>
      </c>
      <c r="N12" s="31">
        <v>394</v>
      </c>
      <c r="O12" s="31">
        <v>18</v>
      </c>
      <c r="P12" s="31">
        <v>27</v>
      </c>
      <c r="Q12" s="31">
        <v>380</v>
      </c>
      <c r="R12" s="31">
        <v>505</v>
      </c>
      <c r="S12" s="31">
        <v>3</v>
      </c>
      <c r="T12" s="31">
        <v>174</v>
      </c>
      <c r="U12" s="31">
        <v>85</v>
      </c>
      <c r="V12" s="31">
        <v>132</v>
      </c>
      <c r="W12" s="31">
        <v>7</v>
      </c>
      <c r="X12" s="31"/>
      <c r="Y12" s="31">
        <v>186</v>
      </c>
      <c r="Z12" s="31">
        <v>2185</v>
      </c>
      <c r="AA12" s="31">
        <v>29</v>
      </c>
      <c r="AB12" s="31">
        <v>7</v>
      </c>
      <c r="AC12" s="18"/>
      <c r="AD12" s="52">
        <f t="shared" si="0"/>
        <v>4620</v>
      </c>
    </row>
    <row r="13" spans="1:30" ht="15">
      <c r="A13" s="58" t="s">
        <v>90</v>
      </c>
      <c r="B13" s="31">
        <v>13</v>
      </c>
      <c r="C13" s="31"/>
      <c r="D13" s="31">
        <v>9</v>
      </c>
      <c r="E13" s="31">
        <v>41</v>
      </c>
      <c r="F13" s="31">
        <v>36</v>
      </c>
      <c r="G13" s="31">
        <v>17</v>
      </c>
      <c r="H13" s="31">
        <v>98</v>
      </c>
      <c r="I13" s="31">
        <v>20</v>
      </c>
      <c r="J13" s="31">
        <v>57</v>
      </c>
      <c r="K13" s="31">
        <v>91</v>
      </c>
      <c r="L13" s="31">
        <v>218</v>
      </c>
      <c r="M13" s="31">
        <v>38</v>
      </c>
      <c r="N13" s="31">
        <v>187</v>
      </c>
      <c r="O13" s="31">
        <v>48</v>
      </c>
      <c r="P13" s="31">
        <v>2</v>
      </c>
      <c r="Q13" s="31">
        <v>367</v>
      </c>
      <c r="R13" s="31">
        <v>76</v>
      </c>
      <c r="S13" s="31">
        <v>30</v>
      </c>
      <c r="T13" s="31">
        <v>100</v>
      </c>
      <c r="U13" s="31">
        <v>10</v>
      </c>
      <c r="V13" s="31">
        <v>122</v>
      </c>
      <c r="W13" s="31">
        <v>31</v>
      </c>
      <c r="X13" s="31">
        <v>21</v>
      </c>
      <c r="Y13" s="31">
        <v>95</v>
      </c>
      <c r="Z13" s="31">
        <v>1068</v>
      </c>
      <c r="AA13" s="31">
        <v>1</v>
      </c>
      <c r="AB13" s="31">
        <v>20</v>
      </c>
      <c r="AC13" s="18"/>
      <c r="AD13" s="52">
        <f t="shared" si="0"/>
        <v>2816</v>
      </c>
    </row>
    <row r="14" spans="1:30" ht="15">
      <c r="A14" s="58" t="s">
        <v>91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18"/>
      <c r="AD14" s="52">
        <f t="shared" si="0"/>
        <v>0</v>
      </c>
    </row>
    <row r="15" spans="1:30" ht="15">
      <c r="A15" s="58" t="s">
        <v>92</v>
      </c>
      <c r="B15" s="31"/>
      <c r="C15" s="31">
        <v>1</v>
      </c>
      <c r="D15" s="31"/>
      <c r="E15" s="31">
        <v>7</v>
      </c>
      <c r="F15" s="31">
        <v>19</v>
      </c>
      <c r="G15" s="31"/>
      <c r="H15" s="31">
        <v>2</v>
      </c>
      <c r="I15" s="31">
        <v>9</v>
      </c>
      <c r="J15" s="31">
        <v>23</v>
      </c>
      <c r="K15" s="31">
        <v>2</v>
      </c>
      <c r="L15" s="31">
        <v>2</v>
      </c>
      <c r="M15" s="31">
        <v>2</v>
      </c>
      <c r="N15" s="31">
        <v>15</v>
      </c>
      <c r="O15" s="31"/>
      <c r="P15" s="31">
        <v>1</v>
      </c>
      <c r="Q15" s="31">
        <v>21</v>
      </c>
      <c r="R15" s="31"/>
      <c r="S15" s="31">
        <v>2</v>
      </c>
      <c r="T15" s="31">
        <v>9</v>
      </c>
      <c r="U15" s="31"/>
      <c r="V15" s="31">
        <v>13</v>
      </c>
      <c r="W15" s="31"/>
      <c r="X15" s="31"/>
      <c r="Y15" s="31">
        <v>9</v>
      </c>
      <c r="Z15" s="31">
        <v>136</v>
      </c>
      <c r="AA15" s="31">
        <v>4</v>
      </c>
      <c r="AB15" s="31"/>
      <c r="AC15" s="18"/>
      <c r="AD15" s="52">
        <f t="shared" si="0"/>
        <v>277</v>
      </c>
    </row>
    <row r="16" spans="1:30" ht="15">
      <c r="A16" s="58" t="s">
        <v>93</v>
      </c>
      <c r="B16" s="31">
        <v>6</v>
      </c>
      <c r="C16" s="31">
        <v>6</v>
      </c>
      <c r="D16" s="31">
        <v>2</v>
      </c>
      <c r="E16" s="31"/>
      <c r="F16" s="31">
        <v>68</v>
      </c>
      <c r="G16" s="31">
        <v>178</v>
      </c>
      <c r="H16" s="31">
        <v>3</v>
      </c>
      <c r="I16" s="31">
        <v>1833</v>
      </c>
      <c r="J16" s="31">
        <v>81</v>
      </c>
      <c r="K16" s="31">
        <v>7</v>
      </c>
      <c r="L16" s="31">
        <v>11</v>
      </c>
      <c r="M16" s="31">
        <v>33</v>
      </c>
      <c r="N16" s="31">
        <v>70</v>
      </c>
      <c r="O16" s="31"/>
      <c r="P16" s="31">
        <v>29</v>
      </c>
      <c r="Q16" s="31"/>
      <c r="R16" s="31">
        <v>17</v>
      </c>
      <c r="S16" s="31">
        <v>17</v>
      </c>
      <c r="T16" s="31">
        <v>17</v>
      </c>
      <c r="U16" s="31">
        <v>44</v>
      </c>
      <c r="V16" s="31"/>
      <c r="W16" s="31">
        <v>2</v>
      </c>
      <c r="X16" s="31">
        <v>1</v>
      </c>
      <c r="Y16" s="31">
        <v>23</v>
      </c>
      <c r="Z16" s="31">
        <v>7103</v>
      </c>
      <c r="AA16" s="31">
        <v>2</v>
      </c>
      <c r="AB16" s="31">
        <v>176</v>
      </c>
      <c r="AC16" s="18"/>
      <c r="AD16" s="52">
        <f t="shared" si="0"/>
        <v>9729</v>
      </c>
    </row>
    <row r="17" spans="1:61" ht="15">
      <c r="A17" s="58" t="s">
        <v>94</v>
      </c>
      <c r="B17" s="31">
        <v>144493</v>
      </c>
      <c r="C17" s="31">
        <v>377306</v>
      </c>
      <c r="D17" s="31">
        <v>89108</v>
      </c>
      <c r="E17" s="31">
        <v>405823</v>
      </c>
      <c r="F17" s="31">
        <v>1946192</v>
      </c>
      <c r="G17" s="31">
        <v>1564972</v>
      </c>
      <c r="H17" s="31">
        <v>664891</v>
      </c>
      <c r="I17" s="31">
        <v>852818</v>
      </c>
      <c r="J17" s="31">
        <v>1790715</v>
      </c>
      <c r="K17" s="31">
        <v>880824</v>
      </c>
      <c r="L17" s="31">
        <v>951184</v>
      </c>
      <c r="M17" s="31">
        <v>732835</v>
      </c>
      <c r="N17" s="31">
        <v>5246316</v>
      </c>
      <c r="O17" s="31">
        <v>1004646</v>
      </c>
      <c r="P17" s="31">
        <v>650572</v>
      </c>
      <c r="Q17" s="31">
        <v>3544994</v>
      </c>
      <c r="R17" s="31">
        <v>1366959</v>
      </c>
      <c r="S17" s="31">
        <v>663669</v>
      </c>
      <c r="T17" s="31">
        <v>2609486</v>
      </c>
      <c r="U17" s="31">
        <v>637857</v>
      </c>
      <c r="V17" s="31">
        <v>3682424</v>
      </c>
      <c r="W17" s="31">
        <v>500637</v>
      </c>
      <c r="X17" s="31">
        <v>113550</v>
      </c>
      <c r="Y17" s="31">
        <v>2373965</v>
      </c>
      <c r="Z17" s="31">
        <v>13940367</v>
      </c>
      <c r="AA17" s="31">
        <v>366858</v>
      </c>
      <c r="AB17" s="31">
        <v>328338</v>
      </c>
      <c r="AC17" s="18"/>
      <c r="AD17" s="52">
        <f t="shared" si="0"/>
        <v>47431799</v>
      </c>
    </row>
    <row r="18" spans="1:61" ht="15">
      <c r="A18" s="58" t="s">
        <v>95</v>
      </c>
      <c r="B18" s="31">
        <v>68</v>
      </c>
      <c r="C18" s="31">
        <v>196</v>
      </c>
      <c r="D18" s="31">
        <v>63</v>
      </c>
      <c r="E18" s="31">
        <v>214</v>
      </c>
      <c r="F18" s="31">
        <v>994</v>
      </c>
      <c r="G18" s="31">
        <v>560</v>
      </c>
      <c r="H18" s="31">
        <v>1001</v>
      </c>
      <c r="I18" s="31">
        <v>578</v>
      </c>
      <c r="J18" s="31">
        <v>771</v>
      </c>
      <c r="K18" s="31">
        <v>425</v>
      </c>
      <c r="L18" s="31">
        <v>581</v>
      </c>
      <c r="M18" s="31">
        <v>363</v>
      </c>
      <c r="N18" s="31">
        <v>1659</v>
      </c>
      <c r="O18" s="31">
        <v>458</v>
      </c>
      <c r="P18" s="31">
        <v>308</v>
      </c>
      <c r="Q18" s="31">
        <v>1161</v>
      </c>
      <c r="R18" s="31">
        <v>576</v>
      </c>
      <c r="S18" s="31">
        <v>259</v>
      </c>
      <c r="T18" s="31">
        <v>1547</v>
      </c>
      <c r="U18" s="31">
        <v>209</v>
      </c>
      <c r="V18" s="31">
        <v>1006</v>
      </c>
      <c r="W18" s="31">
        <v>160</v>
      </c>
      <c r="X18" s="31">
        <v>38</v>
      </c>
      <c r="Y18" s="31">
        <v>1086</v>
      </c>
      <c r="Z18" s="31">
        <v>5926</v>
      </c>
      <c r="AA18" s="31">
        <v>161</v>
      </c>
      <c r="AB18" s="31">
        <v>137</v>
      </c>
      <c r="AC18" s="18"/>
      <c r="AD18" s="52">
        <f t="shared" si="0"/>
        <v>20505</v>
      </c>
    </row>
    <row r="19" spans="1:61" ht="15">
      <c r="A19" s="58" t="s">
        <v>96</v>
      </c>
      <c r="B19" s="31">
        <v>12</v>
      </c>
      <c r="C19" s="31">
        <v>13033</v>
      </c>
      <c r="D19" s="31">
        <v>8</v>
      </c>
      <c r="E19" s="31">
        <v>1802</v>
      </c>
      <c r="F19" s="31">
        <v>39077</v>
      </c>
      <c r="G19" s="31">
        <v>26634</v>
      </c>
      <c r="H19" s="31">
        <v>813</v>
      </c>
      <c r="I19" s="31">
        <v>16683</v>
      </c>
      <c r="J19" s="31">
        <v>1671</v>
      </c>
      <c r="K19" s="31">
        <v>133</v>
      </c>
      <c r="L19" s="31">
        <v>492</v>
      </c>
      <c r="M19" s="31">
        <v>919</v>
      </c>
      <c r="N19" s="31">
        <v>15377</v>
      </c>
      <c r="O19" s="31">
        <v>160</v>
      </c>
      <c r="P19" s="31">
        <v>7288</v>
      </c>
      <c r="Q19" s="31">
        <v>16556</v>
      </c>
      <c r="R19" s="31">
        <v>46531</v>
      </c>
      <c r="S19" s="31">
        <v>359</v>
      </c>
      <c r="T19" s="31">
        <v>802050</v>
      </c>
      <c r="U19" s="31">
        <v>15942</v>
      </c>
      <c r="V19" s="31">
        <v>43000</v>
      </c>
      <c r="W19" s="31">
        <v>35</v>
      </c>
      <c r="X19" s="31">
        <v>38</v>
      </c>
      <c r="Y19" s="31">
        <v>48235</v>
      </c>
      <c r="Z19" s="31">
        <v>67932</v>
      </c>
      <c r="AA19" s="31">
        <v>8919</v>
      </c>
      <c r="AB19" s="31">
        <v>156</v>
      </c>
      <c r="AC19" s="18"/>
      <c r="AD19" s="52">
        <f t="shared" si="0"/>
        <v>1173855</v>
      </c>
    </row>
    <row r="20" spans="1:61" ht="15">
      <c r="A20" s="58" t="s">
        <v>97</v>
      </c>
      <c r="B20" s="31">
        <v>49</v>
      </c>
      <c r="C20" s="31">
        <v>175</v>
      </c>
      <c r="D20" s="31">
        <v>31</v>
      </c>
      <c r="E20" s="31">
        <v>260</v>
      </c>
      <c r="F20" s="31">
        <v>1192</v>
      </c>
      <c r="G20" s="31">
        <v>521</v>
      </c>
      <c r="H20" s="31">
        <v>1487</v>
      </c>
      <c r="I20" s="31">
        <v>938</v>
      </c>
      <c r="J20" s="31">
        <v>833</v>
      </c>
      <c r="K20" s="31">
        <v>214</v>
      </c>
      <c r="L20" s="31">
        <v>569</v>
      </c>
      <c r="M20" s="31">
        <v>502</v>
      </c>
      <c r="N20" s="31">
        <v>2367</v>
      </c>
      <c r="O20" s="31">
        <v>273</v>
      </c>
      <c r="P20" s="31">
        <v>248</v>
      </c>
      <c r="Q20" s="31">
        <v>2323</v>
      </c>
      <c r="R20" s="31">
        <v>733</v>
      </c>
      <c r="S20" s="31">
        <v>221</v>
      </c>
      <c r="T20" s="31">
        <v>2155</v>
      </c>
      <c r="U20" s="31">
        <v>217</v>
      </c>
      <c r="V20" s="31">
        <v>2236</v>
      </c>
      <c r="W20" s="31">
        <v>95</v>
      </c>
      <c r="X20" s="31">
        <v>20</v>
      </c>
      <c r="Y20" s="31">
        <v>2669</v>
      </c>
      <c r="Z20" s="31">
        <v>12679</v>
      </c>
      <c r="AA20" s="31">
        <v>190</v>
      </c>
      <c r="AB20" s="31">
        <v>62</v>
      </c>
      <c r="AC20" s="18"/>
      <c r="AD20" s="52">
        <f t="shared" si="0"/>
        <v>33259</v>
      </c>
    </row>
    <row r="21" spans="1:61" ht="15">
      <c r="A21" s="58" t="s">
        <v>98</v>
      </c>
      <c r="B21" s="31">
        <v>10</v>
      </c>
      <c r="C21" s="31">
        <v>9721</v>
      </c>
      <c r="D21" s="31">
        <v>9</v>
      </c>
      <c r="E21" s="31">
        <v>466</v>
      </c>
      <c r="F21" s="31">
        <v>24625</v>
      </c>
      <c r="G21" s="31">
        <v>24761</v>
      </c>
      <c r="H21" s="31">
        <v>743</v>
      </c>
      <c r="I21" s="31">
        <v>21862</v>
      </c>
      <c r="J21" s="31">
        <v>3125</v>
      </c>
      <c r="K21" s="31">
        <v>183</v>
      </c>
      <c r="L21" s="31">
        <v>795</v>
      </c>
      <c r="M21" s="31">
        <v>3972</v>
      </c>
      <c r="N21" s="31">
        <v>22084</v>
      </c>
      <c r="O21" s="31">
        <v>278</v>
      </c>
      <c r="P21" s="31">
        <v>13729</v>
      </c>
      <c r="Q21" s="31">
        <v>23356</v>
      </c>
      <c r="R21" s="31">
        <v>29375</v>
      </c>
      <c r="S21" s="31">
        <v>442</v>
      </c>
      <c r="T21" s="31">
        <v>695395</v>
      </c>
      <c r="U21" s="31">
        <v>31107</v>
      </c>
      <c r="V21" s="31">
        <v>42711</v>
      </c>
      <c r="W21" s="31">
        <v>60</v>
      </c>
      <c r="X21" s="31">
        <v>22</v>
      </c>
      <c r="Y21" s="31">
        <v>59943</v>
      </c>
      <c r="Z21" s="31">
        <v>205276</v>
      </c>
      <c r="AA21" s="31">
        <v>11253</v>
      </c>
      <c r="AB21" s="31">
        <v>160</v>
      </c>
      <c r="AC21" s="18"/>
      <c r="AD21" s="52">
        <f t="shared" si="0"/>
        <v>1225463</v>
      </c>
    </row>
    <row r="22" spans="1:61">
      <c r="A22" s="7"/>
      <c r="B22" s="18"/>
      <c r="C22" s="18"/>
      <c r="AC22" s="18"/>
      <c r="AD22" s="51"/>
    </row>
    <row r="23" spans="1:61">
      <c r="A23" s="1" t="s">
        <v>99</v>
      </c>
      <c r="B23" s="55">
        <f>SUM(B4:B21)</f>
        <v>306362</v>
      </c>
      <c r="C23" s="55">
        <f t="shared" ref="C23:AB23" si="1">SUM(C4:C21)</f>
        <v>926314</v>
      </c>
      <c r="D23" s="55">
        <f t="shared" si="1"/>
        <v>216496</v>
      </c>
      <c r="E23" s="55">
        <f t="shared" si="1"/>
        <v>970905</v>
      </c>
      <c r="F23" s="55">
        <f t="shared" si="1"/>
        <v>4485935</v>
      </c>
      <c r="G23" s="55">
        <f t="shared" si="1"/>
        <v>3387590</v>
      </c>
      <c r="H23" s="55">
        <f t="shared" si="1"/>
        <v>1916765</v>
      </c>
      <c r="I23" s="55">
        <f t="shared" si="1"/>
        <v>2045757</v>
      </c>
      <c r="J23" s="55">
        <f t="shared" si="1"/>
        <v>4007913</v>
      </c>
      <c r="K23" s="55">
        <f t="shared" si="1"/>
        <v>1867381</v>
      </c>
      <c r="L23" s="55">
        <f t="shared" si="1"/>
        <v>2250743</v>
      </c>
      <c r="M23" s="55">
        <f t="shared" si="1"/>
        <v>1654138</v>
      </c>
      <c r="N23" s="55">
        <f t="shared" si="1"/>
        <v>11899851</v>
      </c>
      <c r="O23" s="55">
        <f t="shared" si="1"/>
        <v>2234039</v>
      </c>
      <c r="P23" s="55">
        <f t="shared" si="1"/>
        <v>1426000</v>
      </c>
      <c r="Q23" s="55">
        <f t="shared" si="1"/>
        <v>7855533</v>
      </c>
      <c r="R23" s="55">
        <f t="shared" si="1"/>
        <v>3206816</v>
      </c>
      <c r="S23" s="55">
        <f t="shared" si="1"/>
        <v>1304156</v>
      </c>
      <c r="T23" s="55">
        <f t="shared" si="1"/>
        <v>7090136</v>
      </c>
      <c r="U23" s="55">
        <f t="shared" si="1"/>
        <v>1386941</v>
      </c>
      <c r="V23" s="55">
        <f t="shared" si="1"/>
        <v>7261421</v>
      </c>
      <c r="W23" s="55">
        <f t="shared" si="1"/>
        <v>1056490</v>
      </c>
      <c r="X23" s="55">
        <f t="shared" si="1"/>
        <v>239976</v>
      </c>
      <c r="Y23" s="55">
        <f t="shared" si="1"/>
        <v>5438497</v>
      </c>
      <c r="Z23" s="55">
        <f t="shared" si="1"/>
        <v>30346854</v>
      </c>
      <c r="AA23" s="55">
        <f t="shared" si="1"/>
        <v>825927</v>
      </c>
      <c r="AB23" s="55">
        <f t="shared" si="1"/>
        <v>730758</v>
      </c>
      <c r="AC23" s="8"/>
      <c r="AD23" s="52">
        <f>SUM(AD4:AD21)</f>
        <v>106339694</v>
      </c>
    </row>
    <row r="24" spans="1:6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61">
      <c r="A25" s="98" t="s">
        <v>100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61" s="5" customFormat="1">
      <c r="A26" s="99"/>
      <c r="B26" s="6" t="s">
        <v>53</v>
      </c>
      <c r="C26" s="6" t="s">
        <v>54</v>
      </c>
      <c r="D26" s="6" t="s">
        <v>55</v>
      </c>
      <c r="E26" s="6" t="s">
        <v>56</v>
      </c>
      <c r="F26" s="6" t="s">
        <v>57</v>
      </c>
      <c r="G26" s="6" t="s">
        <v>58</v>
      </c>
      <c r="H26" s="6" t="s">
        <v>59</v>
      </c>
      <c r="I26" s="6" t="s">
        <v>60</v>
      </c>
      <c r="J26" s="6" t="s">
        <v>61</v>
      </c>
      <c r="K26" s="6" t="s">
        <v>62</v>
      </c>
      <c r="L26" s="6" t="s">
        <v>63</v>
      </c>
      <c r="M26" s="6" t="s">
        <v>64</v>
      </c>
      <c r="N26" s="6" t="s">
        <v>65</v>
      </c>
      <c r="O26" s="6" t="s">
        <v>66</v>
      </c>
      <c r="P26" s="6" t="s">
        <v>67</v>
      </c>
      <c r="Q26" s="6" t="s">
        <v>68</v>
      </c>
      <c r="R26" s="6" t="s">
        <v>69</v>
      </c>
      <c r="S26" s="6" t="s">
        <v>70</v>
      </c>
      <c r="T26" s="6" t="s">
        <v>71</v>
      </c>
      <c r="U26" s="6" t="s">
        <v>72</v>
      </c>
      <c r="V26" s="6" t="s">
        <v>73</v>
      </c>
      <c r="W26" s="6" t="s">
        <v>74</v>
      </c>
      <c r="X26" s="6" t="s">
        <v>75</v>
      </c>
      <c r="Y26" s="6" t="s">
        <v>76</v>
      </c>
      <c r="Z26" s="6" t="s">
        <v>77</v>
      </c>
      <c r="AA26" s="6" t="s">
        <v>78</v>
      </c>
      <c r="AB26" s="6" t="s">
        <v>79</v>
      </c>
      <c r="AD26" s="6" t="s">
        <v>80</v>
      </c>
    </row>
    <row r="27" spans="1:61">
      <c r="A27" s="59" t="s">
        <v>81</v>
      </c>
      <c r="B27" s="50">
        <f>B4+B5</f>
        <v>3635</v>
      </c>
      <c r="C27" s="50">
        <f t="shared" ref="C27:AB27" si="2">C4+C5</f>
        <v>24262</v>
      </c>
      <c r="D27" s="50">
        <f t="shared" si="2"/>
        <v>1452</v>
      </c>
      <c r="E27" s="50">
        <f t="shared" si="2"/>
        <v>16212</v>
      </c>
      <c r="F27" s="50">
        <f t="shared" si="2"/>
        <v>100590</v>
      </c>
      <c r="G27" s="50">
        <f t="shared" si="2"/>
        <v>61017</v>
      </c>
      <c r="H27" s="50">
        <f t="shared" si="2"/>
        <v>58036</v>
      </c>
      <c r="I27" s="50">
        <f t="shared" si="2"/>
        <v>53337</v>
      </c>
      <c r="J27" s="50">
        <f t="shared" si="2"/>
        <v>159761</v>
      </c>
      <c r="K27" s="50">
        <f t="shared" si="2"/>
        <v>13917</v>
      </c>
      <c r="L27" s="50">
        <f t="shared" si="2"/>
        <v>48918</v>
      </c>
      <c r="M27" s="50">
        <f t="shared" si="2"/>
        <v>54438</v>
      </c>
      <c r="N27" s="50">
        <f t="shared" si="2"/>
        <v>436347</v>
      </c>
      <c r="O27" s="50">
        <f t="shared" si="2"/>
        <v>23932</v>
      </c>
      <c r="P27" s="50">
        <f t="shared" si="2"/>
        <v>29363</v>
      </c>
      <c r="Q27" s="50">
        <f t="shared" si="2"/>
        <v>418302</v>
      </c>
      <c r="R27" s="50">
        <f t="shared" si="2"/>
        <v>94008</v>
      </c>
      <c r="S27" s="50">
        <f t="shared" si="2"/>
        <v>18650</v>
      </c>
      <c r="T27" s="50">
        <f t="shared" si="2"/>
        <v>308120</v>
      </c>
      <c r="U27" s="50">
        <f t="shared" si="2"/>
        <v>30191</v>
      </c>
      <c r="V27" s="50">
        <f t="shared" si="2"/>
        <v>196191</v>
      </c>
      <c r="W27" s="50">
        <f t="shared" si="2"/>
        <v>10467</v>
      </c>
      <c r="X27" s="50">
        <f t="shared" si="2"/>
        <v>1455</v>
      </c>
      <c r="Y27" s="50">
        <f t="shared" si="2"/>
        <v>132955</v>
      </c>
      <c r="Z27" s="50">
        <f t="shared" si="2"/>
        <v>1831866</v>
      </c>
      <c r="AA27" s="50">
        <f t="shared" si="2"/>
        <v>18537</v>
      </c>
      <c r="AB27" s="50">
        <f t="shared" si="2"/>
        <v>11019</v>
      </c>
      <c r="AC27" s="51"/>
      <c r="AD27" s="52">
        <f t="shared" ref="AD27:AD32" si="3">SUM(B27:AB27)</f>
        <v>4156978</v>
      </c>
      <c r="AH27" s="7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</row>
    <row r="28" spans="1:61">
      <c r="A28" s="59" t="s">
        <v>84</v>
      </c>
      <c r="B28" s="50">
        <f t="shared" ref="B28:AB28" si="4">B7</f>
        <v>129102</v>
      </c>
      <c r="C28" s="50">
        <f t="shared" si="4"/>
        <v>427065</v>
      </c>
      <c r="D28" s="50">
        <f t="shared" si="4"/>
        <v>110693</v>
      </c>
      <c r="E28" s="50">
        <f t="shared" si="4"/>
        <v>472308</v>
      </c>
      <c r="F28" s="50">
        <f t="shared" si="4"/>
        <v>1974420</v>
      </c>
      <c r="G28" s="50">
        <f t="shared" si="4"/>
        <v>1445911</v>
      </c>
      <c r="H28" s="50">
        <f t="shared" si="4"/>
        <v>1065789</v>
      </c>
      <c r="I28" s="50">
        <f t="shared" si="4"/>
        <v>881441</v>
      </c>
      <c r="J28" s="50">
        <f t="shared" si="4"/>
        <v>1677848</v>
      </c>
      <c r="K28" s="50">
        <f t="shared" si="4"/>
        <v>827261</v>
      </c>
      <c r="L28" s="50">
        <f t="shared" si="4"/>
        <v>972679</v>
      </c>
      <c r="M28" s="50">
        <f t="shared" si="4"/>
        <v>674854</v>
      </c>
      <c r="N28" s="50">
        <f t="shared" si="4"/>
        <v>5218514</v>
      </c>
      <c r="O28" s="50">
        <f t="shared" si="4"/>
        <v>990958</v>
      </c>
      <c r="P28" s="50">
        <f t="shared" si="4"/>
        <v>623703</v>
      </c>
      <c r="Q28" s="50">
        <f t="shared" si="4"/>
        <v>3063829</v>
      </c>
      <c r="R28" s="50">
        <f t="shared" si="4"/>
        <v>1417097</v>
      </c>
      <c r="S28" s="50">
        <f t="shared" si="4"/>
        <v>509807</v>
      </c>
      <c r="T28" s="50">
        <f t="shared" si="4"/>
        <v>2241331</v>
      </c>
      <c r="U28" s="50">
        <f t="shared" si="4"/>
        <v>555405</v>
      </c>
      <c r="V28" s="50">
        <f t="shared" si="4"/>
        <v>2617691</v>
      </c>
      <c r="W28" s="50">
        <f t="shared" si="4"/>
        <v>438096</v>
      </c>
      <c r="X28" s="50">
        <f t="shared" si="4"/>
        <v>101821</v>
      </c>
      <c r="Y28" s="50">
        <f t="shared" si="4"/>
        <v>2339636</v>
      </c>
      <c r="Z28" s="50">
        <f t="shared" si="4"/>
        <v>12304447</v>
      </c>
      <c r="AA28" s="50">
        <f t="shared" si="4"/>
        <v>357377</v>
      </c>
      <c r="AB28" s="50">
        <f t="shared" si="4"/>
        <v>307822</v>
      </c>
      <c r="AC28" s="51"/>
      <c r="AD28" s="52">
        <f t="shared" si="3"/>
        <v>43746905</v>
      </c>
      <c r="AH28" s="7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</row>
    <row r="29" spans="1:61">
      <c r="A29" s="59" t="s">
        <v>85</v>
      </c>
      <c r="B29" s="50">
        <f>B8+B10</f>
        <v>28973</v>
      </c>
      <c r="C29" s="50">
        <f t="shared" ref="C29:AB29" si="5">C8+C10</f>
        <v>73571</v>
      </c>
      <c r="D29" s="50">
        <f t="shared" si="5"/>
        <v>15118</v>
      </c>
      <c r="E29" s="50">
        <f t="shared" si="5"/>
        <v>73710</v>
      </c>
      <c r="F29" s="50">
        <f t="shared" si="5"/>
        <v>397088</v>
      </c>
      <c r="G29" s="50">
        <f t="shared" si="5"/>
        <v>259921</v>
      </c>
      <c r="H29" s="50">
        <f t="shared" si="5"/>
        <v>123770</v>
      </c>
      <c r="I29" s="50">
        <f t="shared" si="5"/>
        <v>214285</v>
      </c>
      <c r="J29" s="50">
        <f t="shared" si="5"/>
        <v>372763</v>
      </c>
      <c r="K29" s="50">
        <f t="shared" si="5"/>
        <v>144307</v>
      </c>
      <c r="L29" s="50">
        <f t="shared" si="5"/>
        <v>275215</v>
      </c>
      <c r="M29" s="50">
        <f t="shared" si="5"/>
        <v>185957</v>
      </c>
      <c r="N29" s="50">
        <f t="shared" si="5"/>
        <v>954180</v>
      </c>
      <c r="O29" s="50">
        <f t="shared" si="5"/>
        <v>213254</v>
      </c>
      <c r="P29" s="50">
        <f t="shared" si="5"/>
        <v>98865</v>
      </c>
      <c r="Q29" s="50">
        <f t="shared" si="5"/>
        <v>782717</v>
      </c>
      <c r="R29" s="50">
        <f t="shared" si="5"/>
        <v>248890</v>
      </c>
      <c r="S29" s="50">
        <f t="shared" si="5"/>
        <v>110665</v>
      </c>
      <c r="T29" s="50">
        <f t="shared" si="5"/>
        <v>376537</v>
      </c>
      <c r="U29" s="50">
        <f t="shared" si="5"/>
        <v>111081</v>
      </c>
      <c r="V29" s="50">
        <f t="shared" si="5"/>
        <v>673844</v>
      </c>
      <c r="W29" s="50">
        <f t="shared" si="5"/>
        <v>106899</v>
      </c>
      <c r="X29" s="50">
        <f t="shared" si="5"/>
        <v>23009</v>
      </c>
      <c r="Y29" s="50">
        <f t="shared" si="5"/>
        <v>475975</v>
      </c>
      <c r="Z29" s="50">
        <f t="shared" si="5"/>
        <v>1955577</v>
      </c>
      <c r="AA29" s="50">
        <f t="shared" si="5"/>
        <v>61131</v>
      </c>
      <c r="AB29" s="50">
        <f t="shared" si="5"/>
        <v>82853</v>
      </c>
      <c r="AC29" s="51"/>
      <c r="AD29" s="52">
        <f t="shared" si="3"/>
        <v>8440155</v>
      </c>
      <c r="AH29" s="7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1">
      <c r="A30" s="59" t="s">
        <v>102</v>
      </c>
      <c r="B30" s="50">
        <f t="shared" ref="B30:AB30" si="6">B9+B12+B13+B14+B18+B20</f>
        <v>131</v>
      </c>
      <c r="C30" s="50">
        <f t="shared" si="6"/>
        <v>411</v>
      </c>
      <c r="D30" s="50">
        <f t="shared" si="6"/>
        <v>105</v>
      </c>
      <c r="E30" s="50">
        <f t="shared" si="6"/>
        <v>532</v>
      </c>
      <c r="F30" s="50">
        <f t="shared" si="6"/>
        <v>2299</v>
      </c>
      <c r="G30" s="50">
        <f t="shared" si="6"/>
        <v>1176</v>
      </c>
      <c r="H30" s="50">
        <f t="shared" si="6"/>
        <v>2693</v>
      </c>
      <c r="I30" s="50">
        <f t="shared" si="6"/>
        <v>1611</v>
      </c>
      <c r="J30" s="50">
        <f t="shared" si="6"/>
        <v>1720</v>
      </c>
      <c r="K30" s="50">
        <f t="shared" si="6"/>
        <v>740</v>
      </c>
      <c r="L30" s="50">
        <f t="shared" si="6"/>
        <v>1375</v>
      </c>
      <c r="M30" s="50">
        <f t="shared" si="6"/>
        <v>918</v>
      </c>
      <c r="N30" s="50">
        <f t="shared" si="6"/>
        <v>4607</v>
      </c>
      <c r="O30" s="50">
        <f t="shared" si="6"/>
        <v>797</v>
      </c>
      <c r="P30" s="50">
        <f t="shared" si="6"/>
        <v>585</v>
      </c>
      <c r="Q30" s="50">
        <f t="shared" si="6"/>
        <v>4231</v>
      </c>
      <c r="R30" s="50">
        <f t="shared" si="6"/>
        <v>1890</v>
      </c>
      <c r="S30" s="50">
        <f t="shared" si="6"/>
        <v>513</v>
      </c>
      <c r="T30" s="50">
        <f t="shared" si="6"/>
        <v>3976</v>
      </c>
      <c r="U30" s="50">
        <f t="shared" si="6"/>
        <v>521</v>
      </c>
      <c r="V30" s="50">
        <f t="shared" si="6"/>
        <v>3496</v>
      </c>
      <c r="W30" s="50">
        <f t="shared" si="6"/>
        <v>293</v>
      </c>
      <c r="X30" s="50">
        <f t="shared" si="6"/>
        <v>79</v>
      </c>
      <c r="Y30" s="50">
        <f t="shared" si="6"/>
        <v>4037</v>
      </c>
      <c r="Z30" s="50">
        <f t="shared" si="6"/>
        <v>21859</v>
      </c>
      <c r="AA30" s="50">
        <f t="shared" si="6"/>
        <v>381</v>
      </c>
      <c r="AB30" s="50">
        <f t="shared" si="6"/>
        <v>226</v>
      </c>
      <c r="AC30" s="51"/>
      <c r="AD30" s="52">
        <f t="shared" si="3"/>
        <v>61202</v>
      </c>
      <c r="AH30" s="7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</row>
    <row r="31" spans="1:61">
      <c r="A31" s="59" t="s">
        <v>16</v>
      </c>
      <c r="B31" s="50">
        <f>B6+B11+B15+B19+B21</f>
        <v>22</v>
      </c>
      <c r="C31" s="50">
        <f t="shared" ref="C31:AB31" si="7">C6+C11+C15+C19+C21</f>
        <v>23693</v>
      </c>
      <c r="D31" s="50">
        <f t="shared" si="7"/>
        <v>18</v>
      </c>
      <c r="E31" s="50">
        <f t="shared" si="7"/>
        <v>2320</v>
      </c>
      <c r="F31" s="50">
        <f t="shared" si="7"/>
        <v>65278</v>
      </c>
      <c r="G31" s="50">
        <f t="shared" si="7"/>
        <v>54415</v>
      </c>
      <c r="H31" s="50">
        <f t="shared" si="7"/>
        <v>1583</v>
      </c>
      <c r="I31" s="50">
        <f t="shared" si="7"/>
        <v>40432</v>
      </c>
      <c r="J31" s="50">
        <f t="shared" si="7"/>
        <v>5025</v>
      </c>
      <c r="K31" s="50">
        <f t="shared" si="7"/>
        <v>325</v>
      </c>
      <c r="L31" s="50">
        <f t="shared" si="7"/>
        <v>1361</v>
      </c>
      <c r="M31" s="50">
        <f t="shared" si="7"/>
        <v>5103</v>
      </c>
      <c r="N31" s="50">
        <f t="shared" si="7"/>
        <v>39817</v>
      </c>
      <c r="O31" s="50">
        <f t="shared" si="7"/>
        <v>452</v>
      </c>
      <c r="P31" s="50">
        <f t="shared" si="7"/>
        <v>22883</v>
      </c>
      <c r="Q31" s="50">
        <f t="shared" si="7"/>
        <v>41460</v>
      </c>
      <c r="R31" s="50">
        <f t="shared" si="7"/>
        <v>77955</v>
      </c>
      <c r="S31" s="50">
        <f t="shared" si="7"/>
        <v>835</v>
      </c>
      <c r="T31" s="50">
        <f t="shared" si="7"/>
        <v>1550669</v>
      </c>
      <c r="U31" s="50">
        <f t="shared" si="7"/>
        <v>51842</v>
      </c>
      <c r="V31" s="50">
        <f t="shared" si="7"/>
        <v>87775</v>
      </c>
      <c r="W31" s="50">
        <f t="shared" si="7"/>
        <v>96</v>
      </c>
      <c r="X31" s="50">
        <f t="shared" si="7"/>
        <v>61</v>
      </c>
      <c r="Y31" s="50">
        <f t="shared" si="7"/>
        <v>111906</v>
      </c>
      <c r="Z31" s="50">
        <f t="shared" si="7"/>
        <v>285635</v>
      </c>
      <c r="AA31" s="50">
        <f t="shared" si="7"/>
        <v>21641</v>
      </c>
      <c r="AB31" s="50">
        <f t="shared" si="7"/>
        <v>324</v>
      </c>
      <c r="AC31" s="51"/>
      <c r="AD31" s="52">
        <f t="shared" si="3"/>
        <v>2492926</v>
      </c>
      <c r="AH31" s="7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</row>
    <row r="32" spans="1:61">
      <c r="A32" s="59" t="s">
        <v>94</v>
      </c>
      <c r="B32" s="50">
        <f t="shared" ref="B32:AB32" si="8">B16+B17</f>
        <v>144499</v>
      </c>
      <c r="C32" s="50">
        <f t="shared" si="8"/>
        <v>377312</v>
      </c>
      <c r="D32" s="50">
        <f t="shared" si="8"/>
        <v>89110</v>
      </c>
      <c r="E32" s="50">
        <f t="shared" si="8"/>
        <v>405823</v>
      </c>
      <c r="F32" s="50">
        <f t="shared" si="8"/>
        <v>1946260</v>
      </c>
      <c r="G32" s="50">
        <f t="shared" si="8"/>
        <v>1565150</v>
      </c>
      <c r="H32" s="50">
        <f t="shared" si="8"/>
        <v>664894</v>
      </c>
      <c r="I32" s="50">
        <f t="shared" si="8"/>
        <v>854651</v>
      </c>
      <c r="J32" s="50">
        <f t="shared" si="8"/>
        <v>1790796</v>
      </c>
      <c r="K32" s="50">
        <f t="shared" si="8"/>
        <v>880831</v>
      </c>
      <c r="L32" s="50">
        <f t="shared" si="8"/>
        <v>951195</v>
      </c>
      <c r="M32" s="50">
        <f t="shared" si="8"/>
        <v>732868</v>
      </c>
      <c r="N32" s="50">
        <f t="shared" si="8"/>
        <v>5246386</v>
      </c>
      <c r="O32" s="50">
        <f t="shared" si="8"/>
        <v>1004646</v>
      </c>
      <c r="P32" s="50">
        <f t="shared" si="8"/>
        <v>650601</v>
      </c>
      <c r="Q32" s="50">
        <f t="shared" si="8"/>
        <v>3544994</v>
      </c>
      <c r="R32" s="50">
        <f t="shared" si="8"/>
        <v>1366976</v>
      </c>
      <c r="S32" s="50">
        <f t="shared" si="8"/>
        <v>663686</v>
      </c>
      <c r="T32" s="50">
        <f t="shared" si="8"/>
        <v>2609503</v>
      </c>
      <c r="U32" s="50">
        <f t="shared" si="8"/>
        <v>637901</v>
      </c>
      <c r="V32" s="50">
        <f t="shared" si="8"/>
        <v>3682424</v>
      </c>
      <c r="W32" s="50">
        <f t="shared" si="8"/>
        <v>500639</v>
      </c>
      <c r="X32" s="50">
        <f t="shared" si="8"/>
        <v>113551</v>
      </c>
      <c r="Y32" s="50">
        <f t="shared" si="8"/>
        <v>2373988</v>
      </c>
      <c r="Z32" s="50">
        <f t="shared" si="8"/>
        <v>13947470</v>
      </c>
      <c r="AA32" s="50">
        <f t="shared" si="8"/>
        <v>366860</v>
      </c>
      <c r="AB32" s="50">
        <f t="shared" si="8"/>
        <v>328514</v>
      </c>
      <c r="AC32" s="51"/>
      <c r="AD32" s="52">
        <f t="shared" si="3"/>
        <v>47441528</v>
      </c>
      <c r="AH32" s="7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</row>
    <row r="33" spans="1:61">
      <c r="A33" s="6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3"/>
      <c r="AH33" s="7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</row>
    <row r="34" spans="1:61">
      <c r="A34" s="59" t="s">
        <v>101</v>
      </c>
      <c r="B34" s="52">
        <f t="shared" ref="B34:AB34" si="9">SUM(B27:B32)</f>
        <v>306362</v>
      </c>
      <c r="C34" s="52">
        <f t="shared" si="9"/>
        <v>926314</v>
      </c>
      <c r="D34" s="52">
        <f t="shared" si="9"/>
        <v>216496</v>
      </c>
      <c r="E34" s="52">
        <f t="shared" si="9"/>
        <v>970905</v>
      </c>
      <c r="F34" s="52">
        <f t="shared" si="9"/>
        <v>4485935</v>
      </c>
      <c r="G34" s="52">
        <f t="shared" si="9"/>
        <v>3387590</v>
      </c>
      <c r="H34" s="52">
        <f t="shared" si="9"/>
        <v>1916765</v>
      </c>
      <c r="I34" s="52">
        <f t="shared" si="9"/>
        <v>2045757</v>
      </c>
      <c r="J34" s="52">
        <f t="shared" si="9"/>
        <v>4007913</v>
      </c>
      <c r="K34" s="52">
        <f t="shared" si="9"/>
        <v>1867381</v>
      </c>
      <c r="L34" s="52">
        <f t="shared" si="9"/>
        <v>2250743</v>
      </c>
      <c r="M34" s="52">
        <f t="shared" si="9"/>
        <v>1654138</v>
      </c>
      <c r="N34" s="52">
        <f t="shared" si="9"/>
        <v>11899851</v>
      </c>
      <c r="O34" s="52">
        <f t="shared" si="9"/>
        <v>2234039</v>
      </c>
      <c r="P34" s="52">
        <f t="shared" si="9"/>
        <v>1426000</v>
      </c>
      <c r="Q34" s="52">
        <f t="shared" si="9"/>
        <v>7855533</v>
      </c>
      <c r="R34" s="52">
        <f t="shared" si="9"/>
        <v>3206816</v>
      </c>
      <c r="S34" s="52">
        <f t="shared" si="9"/>
        <v>1304156</v>
      </c>
      <c r="T34" s="52">
        <f t="shared" si="9"/>
        <v>7090136</v>
      </c>
      <c r="U34" s="52">
        <f t="shared" si="9"/>
        <v>1386941</v>
      </c>
      <c r="V34" s="52">
        <f t="shared" si="9"/>
        <v>7261421</v>
      </c>
      <c r="W34" s="52">
        <f t="shared" si="9"/>
        <v>1056490</v>
      </c>
      <c r="X34" s="52">
        <f t="shared" si="9"/>
        <v>239976</v>
      </c>
      <c r="Y34" s="52">
        <f t="shared" si="9"/>
        <v>5438497</v>
      </c>
      <c r="Z34" s="52">
        <f t="shared" si="9"/>
        <v>30346854</v>
      </c>
      <c r="AA34" s="52">
        <f t="shared" si="9"/>
        <v>825927</v>
      </c>
      <c r="AB34" s="52">
        <f t="shared" si="9"/>
        <v>730758</v>
      </c>
      <c r="AC34" s="51"/>
      <c r="AD34" s="54">
        <f>SUM(AD27:AD32)</f>
        <v>106339694</v>
      </c>
      <c r="AH34" s="7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</row>
    <row r="35" spans="1:61" ht="15.75" customHeight="1">
      <c r="A35" s="7"/>
    </row>
    <row r="36" spans="1:61">
      <c r="A36" s="98" t="s">
        <v>103</v>
      </c>
    </row>
    <row r="37" spans="1:61">
      <c r="A37" s="99"/>
      <c r="B37" s="6" t="s">
        <v>53</v>
      </c>
      <c r="C37" s="6" t="s">
        <v>54</v>
      </c>
      <c r="D37" s="6" t="s">
        <v>55</v>
      </c>
      <c r="E37" s="6" t="s">
        <v>56</v>
      </c>
      <c r="F37" s="6" t="s">
        <v>57</v>
      </c>
      <c r="G37" s="6" t="s">
        <v>58</v>
      </c>
      <c r="H37" s="6" t="s">
        <v>59</v>
      </c>
      <c r="I37" s="6" t="s">
        <v>60</v>
      </c>
      <c r="J37" s="6" t="s">
        <v>61</v>
      </c>
      <c r="K37" s="6" t="s">
        <v>62</v>
      </c>
      <c r="L37" s="6" t="s">
        <v>63</v>
      </c>
      <c r="M37" s="6" t="s">
        <v>64</v>
      </c>
      <c r="N37" s="6" t="s">
        <v>65</v>
      </c>
      <c r="O37" s="6" t="s">
        <v>66</v>
      </c>
      <c r="P37" s="6" t="s">
        <v>67</v>
      </c>
      <c r="Q37" s="6" t="s">
        <v>68</v>
      </c>
      <c r="R37" s="6" t="s">
        <v>69</v>
      </c>
      <c r="S37" s="6" t="s">
        <v>70</v>
      </c>
      <c r="T37" s="6" t="s">
        <v>71</v>
      </c>
      <c r="U37" s="6" t="s">
        <v>72</v>
      </c>
      <c r="V37" s="6" t="s">
        <v>73</v>
      </c>
      <c r="W37" s="6" t="s">
        <v>74</v>
      </c>
      <c r="X37" s="6" t="s">
        <v>75</v>
      </c>
      <c r="Y37" s="6" t="s">
        <v>76</v>
      </c>
      <c r="Z37" s="6" t="s">
        <v>77</v>
      </c>
      <c r="AA37" s="6" t="s">
        <v>78</v>
      </c>
      <c r="AB37" s="6" t="s">
        <v>79</v>
      </c>
      <c r="AD37" s="6" t="s">
        <v>80</v>
      </c>
    </row>
    <row r="38" spans="1:61">
      <c r="A38" s="61" t="s">
        <v>104</v>
      </c>
      <c r="B38" s="20">
        <v>97733</v>
      </c>
      <c r="C38" s="20">
        <v>397516</v>
      </c>
      <c r="D38" s="20">
        <v>92495</v>
      </c>
      <c r="E38" s="20">
        <v>434224</v>
      </c>
      <c r="F38" s="20">
        <v>2010424</v>
      </c>
      <c r="G38" s="20">
        <v>1251971</v>
      </c>
      <c r="H38" s="20">
        <v>1365064</v>
      </c>
      <c r="I38" s="20">
        <v>1032930</v>
      </c>
      <c r="J38" s="20">
        <v>2001240</v>
      </c>
      <c r="K38" s="20">
        <v>490748</v>
      </c>
      <c r="L38" s="20">
        <v>821142</v>
      </c>
      <c r="M38" s="20">
        <v>798652</v>
      </c>
      <c r="N38" s="20">
        <v>6677308</v>
      </c>
      <c r="O38" s="20">
        <v>683611</v>
      </c>
      <c r="P38" s="20">
        <v>588002</v>
      </c>
      <c r="Q38" s="20">
        <v>4747797</v>
      </c>
      <c r="R38" s="20">
        <v>1425058</v>
      </c>
      <c r="S38" s="20">
        <v>402454</v>
      </c>
      <c r="T38" s="20">
        <v>4769614</v>
      </c>
      <c r="U38" s="20">
        <v>604740</v>
      </c>
      <c r="V38" s="20">
        <v>4569046</v>
      </c>
      <c r="W38" s="20">
        <v>316468</v>
      </c>
      <c r="X38" s="20">
        <v>84982</v>
      </c>
      <c r="Y38" s="20">
        <v>3187514</v>
      </c>
      <c r="Z38" s="20">
        <v>19223122</v>
      </c>
      <c r="AA38" s="20">
        <v>356384</v>
      </c>
      <c r="AB38" s="20">
        <v>241403</v>
      </c>
      <c r="AC38" s="18"/>
      <c r="AD38" s="52">
        <f>SUM(B38:AB38)</f>
        <v>58671642</v>
      </c>
    </row>
    <row r="39" spans="1:61">
      <c r="A39" s="61" t="s">
        <v>105</v>
      </c>
      <c r="B39" s="20">
        <v>7949</v>
      </c>
      <c r="C39" s="20">
        <v>23255</v>
      </c>
      <c r="D39" s="20">
        <v>4419</v>
      </c>
      <c r="E39" s="20">
        <v>21180</v>
      </c>
      <c r="F39" s="20">
        <v>127402</v>
      </c>
      <c r="G39" s="20">
        <v>77083</v>
      </c>
      <c r="H39" s="20">
        <v>25663</v>
      </c>
      <c r="I39" s="20">
        <v>77455</v>
      </c>
      <c r="J39" s="20">
        <v>118558</v>
      </c>
      <c r="K39" s="20">
        <v>44573</v>
      </c>
      <c r="L39" s="20">
        <v>82062</v>
      </c>
      <c r="M39" s="20">
        <v>57291</v>
      </c>
      <c r="N39" s="20">
        <v>356207</v>
      </c>
      <c r="O39" s="20">
        <v>66798</v>
      </c>
      <c r="P39" s="20">
        <v>30309</v>
      </c>
      <c r="Q39" s="20">
        <v>285575</v>
      </c>
      <c r="R39" s="20">
        <v>95367</v>
      </c>
      <c r="S39" s="20">
        <v>32971</v>
      </c>
      <c r="T39" s="20">
        <v>147255</v>
      </c>
      <c r="U39" s="20">
        <v>38938</v>
      </c>
      <c r="V39" s="20">
        <v>242422</v>
      </c>
      <c r="W39" s="20">
        <v>32030</v>
      </c>
      <c r="X39" s="20">
        <v>5690</v>
      </c>
      <c r="Y39" s="20">
        <v>161949</v>
      </c>
      <c r="Z39" s="20">
        <v>699078</v>
      </c>
      <c r="AA39" s="20">
        <v>22583</v>
      </c>
      <c r="AB39" s="20">
        <v>23431</v>
      </c>
      <c r="AC39" s="18"/>
      <c r="AD39" s="52">
        <f t="shared" ref="AD39:AD47" si="10">SUM(B39:AB39)</f>
        <v>2907493</v>
      </c>
    </row>
    <row r="40" spans="1:61">
      <c r="A40" s="61" t="s">
        <v>106</v>
      </c>
      <c r="B40" s="20">
        <v>1224</v>
      </c>
      <c r="C40" s="20">
        <v>2918</v>
      </c>
      <c r="D40" s="20">
        <v>438</v>
      </c>
      <c r="E40" s="20">
        <v>4097</v>
      </c>
      <c r="F40" s="20">
        <v>25687</v>
      </c>
      <c r="G40" s="20">
        <v>10483</v>
      </c>
      <c r="H40" s="20">
        <v>3958</v>
      </c>
      <c r="I40" s="20">
        <v>20302</v>
      </c>
      <c r="J40" s="20">
        <v>36095</v>
      </c>
      <c r="K40" s="20">
        <v>6297</v>
      </c>
      <c r="L40" s="20">
        <v>42772</v>
      </c>
      <c r="M40" s="20">
        <v>21111</v>
      </c>
      <c r="N40" s="20">
        <v>86922</v>
      </c>
      <c r="O40" s="20">
        <v>11217</v>
      </c>
      <c r="P40" s="20">
        <v>3234</v>
      </c>
      <c r="Q40" s="20">
        <v>102929</v>
      </c>
      <c r="R40" s="20">
        <v>13695</v>
      </c>
      <c r="S40" s="20">
        <v>3573</v>
      </c>
      <c r="T40" s="20">
        <v>18520</v>
      </c>
      <c r="U40" s="20">
        <v>4183</v>
      </c>
      <c r="V40" s="20">
        <v>67724</v>
      </c>
      <c r="W40" s="20">
        <v>8053</v>
      </c>
      <c r="X40" s="20">
        <v>1166</v>
      </c>
      <c r="Y40" s="20">
        <v>62592</v>
      </c>
      <c r="Z40" s="20">
        <v>197261</v>
      </c>
      <c r="AA40" s="20">
        <v>2939</v>
      </c>
      <c r="AB40" s="20">
        <v>6979</v>
      </c>
      <c r="AC40" s="18"/>
      <c r="AD40" s="52">
        <f t="shared" si="10"/>
        <v>766369</v>
      </c>
    </row>
    <row r="41" spans="1:61">
      <c r="A41" s="61" t="s">
        <v>107</v>
      </c>
      <c r="B41" s="20">
        <v>29884</v>
      </c>
      <c r="C41" s="20">
        <v>62173</v>
      </c>
      <c r="D41" s="20">
        <v>24756</v>
      </c>
      <c r="E41" s="20">
        <v>95792</v>
      </c>
      <c r="F41" s="20">
        <v>411536</v>
      </c>
      <c r="G41" s="20">
        <v>217243</v>
      </c>
      <c r="H41" s="20">
        <v>141327</v>
      </c>
      <c r="I41" s="20">
        <v>190468</v>
      </c>
      <c r="J41" s="20">
        <v>402695</v>
      </c>
      <c r="K41" s="20">
        <v>139329</v>
      </c>
      <c r="L41" s="20">
        <v>263004</v>
      </c>
      <c r="M41" s="20">
        <v>180386</v>
      </c>
      <c r="N41" s="20">
        <v>1079734</v>
      </c>
      <c r="O41" s="20">
        <v>178489</v>
      </c>
      <c r="P41" s="20">
        <v>94322</v>
      </c>
      <c r="Q41" s="20">
        <v>734190</v>
      </c>
      <c r="R41" s="20">
        <v>204647</v>
      </c>
      <c r="S41" s="20">
        <v>102893</v>
      </c>
      <c r="T41" s="20">
        <v>379583</v>
      </c>
      <c r="U41" s="20">
        <v>98944</v>
      </c>
      <c r="V41" s="20">
        <v>598581</v>
      </c>
      <c r="W41" s="20">
        <v>110516</v>
      </c>
      <c r="X41" s="20">
        <v>31581</v>
      </c>
      <c r="Y41" s="20">
        <v>451212</v>
      </c>
      <c r="Z41" s="20">
        <v>2148167</v>
      </c>
      <c r="AA41" s="20">
        <v>48844</v>
      </c>
      <c r="AB41" s="20">
        <v>76287</v>
      </c>
      <c r="AC41" s="18"/>
      <c r="AD41" s="52">
        <f t="shared" si="10"/>
        <v>8496583</v>
      </c>
    </row>
    <row r="42" spans="1:61">
      <c r="A42" s="61" t="s">
        <v>108</v>
      </c>
      <c r="B42" s="20">
        <v>4607</v>
      </c>
      <c r="C42" s="20">
        <v>24541</v>
      </c>
      <c r="D42" s="20">
        <v>5095</v>
      </c>
      <c r="E42" s="20">
        <v>28216</v>
      </c>
      <c r="F42" s="20">
        <v>132390</v>
      </c>
      <c r="G42" s="20">
        <v>66994</v>
      </c>
      <c r="H42" s="20">
        <v>95659</v>
      </c>
      <c r="I42" s="20">
        <v>65461</v>
      </c>
      <c r="J42" s="20">
        <v>111274</v>
      </c>
      <c r="K42" s="20">
        <v>27166</v>
      </c>
      <c r="L42" s="20">
        <v>52983</v>
      </c>
      <c r="M42" s="20">
        <v>45494</v>
      </c>
      <c r="N42" s="20">
        <v>381983</v>
      </c>
      <c r="O42" s="20">
        <v>45490</v>
      </c>
      <c r="P42" s="20">
        <v>31176</v>
      </c>
      <c r="Q42" s="20">
        <v>277380</v>
      </c>
      <c r="R42" s="20">
        <v>98743</v>
      </c>
      <c r="S42" s="20">
        <v>19119</v>
      </c>
      <c r="T42" s="20">
        <v>328561</v>
      </c>
      <c r="U42" s="20">
        <v>33973</v>
      </c>
      <c r="V42" s="20">
        <v>304740</v>
      </c>
      <c r="W42" s="20">
        <v>14817</v>
      </c>
      <c r="X42" s="20">
        <v>5494</v>
      </c>
      <c r="Y42" s="20">
        <v>226904</v>
      </c>
      <c r="Z42" s="20">
        <v>1345415</v>
      </c>
      <c r="AA42" s="20">
        <v>18651</v>
      </c>
      <c r="AB42" s="20">
        <v>12737</v>
      </c>
      <c r="AC42" s="18"/>
      <c r="AD42" s="52">
        <f t="shared" si="10"/>
        <v>3805063</v>
      </c>
    </row>
    <row r="43" spans="1:61">
      <c r="A43" s="61" t="s">
        <v>109</v>
      </c>
      <c r="B43" s="20">
        <v>418</v>
      </c>
      <c r="C43" s="20">
        <v>7171</v>
      </c>
      <c r="D43" s="20">
        <v>492</v>
      </c>
      <c r="E43" s="20">
        <v>3634</v>
      </c>
      <c r="F43" s="20">
        <v>31386</v>
      </c>
      <c r="G43" s="20">
        <v>13019</v>
      </c>
      <c r="H43" s="20">
        <v>6355</v>
      </c>
      <c r="I43" s="20">
        <v>8908</v>
      </c>
      <c r="J43" s="20">
        <v>10729</v>
      </c>
      <c r="K43" s="20">
        <v>5447</v>
      </c>
      <c r="L43" s="20">
        <v>4151</v>
      </c>
      <c r="M43" s="20">
        <v>4296</v>
      </c>
      <c r="N43" s="20">
        <v>49946</v>
      </c>
      <c r="O43" s="20">
        <v>7224</v>
      </c>
      <c r="P43" s="20">
        <v>5283</v>
      </c>
      <c r="Q43" s="20">
        <v>24830</v>
      </c>
      <c r="R43" s="20">
        <v>20085</v>
      </c>
      <c r="S43" s="20">
        <v>4575</v>
      </c>
      <c r="T43" s="20">
        <v>40473</v>
      </c>
      <c r="U43" s="20">
        <v>5534</v>
      </c>
      <c r="V43" s="20">
        <v>22086</v>
      </c>
      <c r="W43" s="20">
        <v>1440</v>
      </c>
      <c r="X43" s="20">
        <v>752</v>
      </c>
      <c r="Y43" s="20">
        <v>13356</v>
      </c>
      <c r="Z43" s="20">
        <v>125918</v>
      </c>
      <c r="AA43" s="20">
        <v>3613</v>
      </c>
      <c r="AB43" s="20">
        <v>1703</v>
      </c>
      <c r="AC43" s="18"/>
      <c r="AD43" s="52">
        <f t="shared" si="10"/>
        <v>422824</v>
      </c>
    </row>
    <row r="44" spans="1:61">
      <c r="A44" s="61" t="s">
        <v>110</v>
      </c>
      <c r="B44" s="20">
        <v>130755</v>
      </c>
      <c r="C44" s="20">
        <v>332059</v>
      </c>
      <c r="D44" s="20">
        <v>70781</v>
      </c>
      <c r="E44" s="20">
        <v>295404</v>
      </c>
      <c r="F44" s="20">
        <v>1420290</v>
      </c>
      <c r="G44" s="20">
        <v>1493098</v>
      </c>
      <c r="H44" s="20">
        <v>211390</v>
      </c>
      <c r="I44" s="20">
        <v>480891</v>
      </c>
      <c r="J44" s="20">
        <v>937583</v>
      </c>
      <c r="K44" s="20">
        <v>937600</v>
      </c>
      <c r="L44" s="20">
        <v>677810</v>
      </c>
      <c r="M44" s="20">
        <v>394758</v>
      </c>
      <c r="N44" s="20">
        <v>2714852</v>
      </c>
      <c r="O44" s="20">
        <v>975791</v>
      </c>
      <c r="P44" s="20">
        <v>540685</v>
      </c>
      <c r="Q44" s="20">
        <v>1253023</v>
      </c>
      <c r="R44" s="20">
        <v>1132151</v>
      </c>
      <c r="S44" s="20">
        <v>602982</v>
      </c>
      <c r="T44" s="20">
        <v>1045747</v>
      </c>
      <c r="U44" s="20">
        <v>472830</v>
      </c>
      <c r="V44" s="20">
        <v>1137984</v>
      </c>
      <c r="W44" s="20">
        <v>423360</v>
      </c>
      <c r="X44" s="20">
        <v>84892</v>
      </c>
      <c r="Y44" s="20">
        <v>930622</v>
      </c>
      <c r="Z44" s="20">
        <v>5025222</v>
      </c>
      <c r="AA44" s="20">
        <v>278458</v>
      </c>
      <c r="AB44" s="20">
        <v>250374</v>
      </c>
      <c r="AC44" s="18"/>
      <c r="AD44" s="52">
        <f t="shared" si="10"/>
        <v>24251392</v>
      </c>
    </row>
    <row r="45" spans="1:61">
      <c r="A45" s="59" t="s">
        <v>111</v>
      </c>
      <c r="B45" s="20">
        <v>30288</v>
      </c>
      <c r="C45" s="20">
        <v>46788</v>
      </c>
      <c r="D45" s="20">
        <v>14332</v>
      </c>
      <c r="E45" s="20">
        <v>68467</v>
      </c>
      <c r="F45" s="20">
        <v>226568</v>
      </c>
      <c r="G45" s="20">
        <v>190275</v>
      </c>
      <c r="H45" s="20">
        <v>22742</v>
      </c>
      <c r="I45" s="20">
        <v>122991</v>
      </c>
      <c r="J45" s="20">
        <v>305724</v>
      </c>
      <c r="K45" s="20">
        <v>182252</v>
      </c>
      <c r="L45" s="20">
        <v>263362</v>
      </c>
      <c r="M45" s="20">
        <v>122565</v>
      </c>
      <c r="N45" s="20">
        <v>327002</v>
      </c>
      <c r="O45" s="20">
        <v>222273</v>
      </c>
      <c r="P45" s="20">
        <v>76523</v>
      </c>
      <c r="Q45" s="20">
        <v>326688</v>
      </c>
      <c r="R45" s="20">
        <v>126962</v>
      </c>
      <c r="S45" s="20">
        <v>108930</v>
      </c>
      <c r="T45" s="20">
        <v>194343</v>
      </c>
      <c r="U45" s="20">
        <v>69602</v>
      </c>
      <c r="V45" s="20">
        <v>203983</v>
      </c>
      <c r="W45" s="20">
        <v>134826</v>
      </c>
      <c r="X45" s="20">
        <v>21713</v>
      </c>
      <c r="Y45" s="20">
        <v>295811</v>
      </c>
      <c r="Z45" s="20">
        <v>1038177</v>
      </c>
      <c r="AA45" s="20">
        <v>51937</v>
      </c>
      <c r="AB45" s="20">
        <v>104129</v>
      </c>
      <c r="AC45" s="18"/>
      <c r="AD45" s="52">
        <f t="shared" si="10"/>
        <v>4899253</v>
      </c>
    </row>
    <row r="46" spans="1:61">
      <c r="A46" s="59" t="s">
        <v>112</v>
      </c>
      <c r="B46" s="20">
        <v>1350</v>
      </c>
      <c r="C46" s="20">
        <v>8862</v>
      </c>
      <c r="D46" s="20">
        <v>1457</v>
      </c>
      <c r="E46" s="20">
        <v>10088</v>
      </c>
      <c r="F46" s="20">
        <v>43004</v>
      </c>
      <c r="G46" s="20">
        <v>18692</v>
      </c>
      <c r="H46" s="20">
        <v>13349</v>
      </c>
      <c r="I46" s="20">
        <v>15859</v>
      </c>
      <c r="J46" s="20">
        <v>24576</v>
      </c>
      <c r="K46" s="20">
        <v>10227</v>
      </c>
      <c r="L46" s="20">
        <v>13348</v>
      </c>
      <c r="M46" s="20">
        <v>10516</v>
      </c>
      <c r="N46" s="20">
        <v>84324</v>
      </c>
      <c r="O46" s="20">
        <v>20333</v>
      </c>
      <c r="P46" s="20">
        <v>8116</v>
      </c>
      <c r="Q46" s="20">
        <v>47288</v>
      </c>
      <c r="R46" s="20">
        <v>21188</v>
      </c>
      <c r="S46" s="20">
        <v>8800</v>
      </c>
      <c r="T46" s="20">
        <v>43362</v>
      </c>
      <c r="U46" s="20">
        <v>7735</v>
      </c>
      <c r="V46" s="20">
        <v>42534</v>
      </c>
      <c r="W46" s="20">
        <v>6775</v>
      </c>
      <c r="X46" s="20">
        <v>1299</v>
      </c>
      <c r="Y46" s="20">
        <v>21432</v>
      </c>
      <c r="Z46" s="20">
        <v>168769</v>
      </c>
      <c r="AA46" s="20">
        <v>7824</v>
      </c>
      <c r="AB46" s="20">
        <v>6211</v>
      </c>
      <c r="AC46" s="18"/>
      <c r="AD46" s="52">
        <f t="shared" si="10"/>
        <v>667318</v>
      </c>
    </row>
    <row r="47" spans="1:61">
      <c r="A47" s="59" t="s">
        <v>113</v>
      </c>
      <c r="B47" s="20">
        <v>1556</v>
      </c>
      <c r="C47" s="20">
        <v>8522</v>
      </c>
      <c r="D47" s="20">
        <v>1151</v>
      </c>
      <c r="E47" s="20">
        <v>6138</v>
      </c>
      <c r="F47" s="20">
        <v>39991</v>
      </c>
      <c r="G47" s="20">
        <v>42856</v>
      </c>
      <c r="H47" s="20">
        <v>36103</v>
      </c>
      <c r="I47" s="20">
        <v>25935</v>
      </c>
      <c r="J47" s="20">
        <v>38951</v>
      </c>
      <c r="K47" s="20">
        <v>13309</v>
      </c>
      <c r="L47" s="20">
        <v>21776</v>
      </c>
      <c r="M47" s="20">
        <v>17538</v>
      </c>
      <c r="N47" s="20">
        <v>102316</v>
      </c>
      <c r="O47" s="20">
        <v>17493</v>
      </c>
      <c r="P47" s="20">
        <v>16278</v>
      </c>
      <c r="Q47" s="20">
        <v>84705</v>
      </c>
      <c r="R47" s="20">
        <v>28156</v>
      </c>
      <c r="S47" s="20">
        <v>10052</v>
      </c>
      <c r="T47" s="20">
        <v>81243</v>
      </c>
      <c r="U47" s="20">
        <v>22681</v>
      </c>
      <c r="V47" s="20">
        <v>85710</v>
      </c>
      <c r="W47" s="20">
        <v>5592</v>
      </c>
      <c r="X47" s="20">
        <v>1600</v>
      </c>
      <c r="Y47" s="20">
        <v>94194</v>
      </c>
      <c r="Z47" s="20">
        <v>380976</v>
      </c>
      <c r="AA47" s="20">
        <v>6708</v>
      </c>
      <c r="AB47" s="20">
        <v>5458</v>
      </c>
      <c r="AC47" s="18"/>
      <c r="AD47" s="52">
        <f t="shared" si="10"/>
        <v>1196988</v>
      </c>
    </row>
    <row r="48" spans="1:61">
      <c r="A48" s="60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8"/>
      <c r="AD48" s="56"/>
    </row>
    <row r="49" spans="1:62">
      <c r="A49" s="59" t="s">
        <v>80</v>
      </c>
      <c r="B49" s="52">
        <f t="shared" ref="B49:AB49" si="11">SUM(B38:B47)</f>
        <v>305764</v>
      </c>
      <c r="C49" s="52">
        <f t="shared" si="11"/>
        <v>913805</v>
      </c>
      <c r="D49" s="52">
        <f t="shared" si="11"/>
        <v>215416</v>
      </c>
      <c r="E49" s="52">
        <f t="shared" si="11"/>
        <v>967240</v>
      </c>
      <c r="F49" s="52">
        <f t="shared" si="11"/>
        <v>4468678</v>
      </c>
      <c r="G49" s="52">
        <f t="shared" si="11"/>
        <v>3381714</v>
      </c>
      <c r="H49" s="52">
        <f t="shared" si="11"/>
        <v>1921610</v>
      </c>
      <c r="I49" s="52">
        <f t="shared" si="11"/>
        <v>2041200</v>
      </c>
      <c r="J49" s="52">
        <f t="shared" si="11"/>
        <v>3987425</v>
      </c>
      <c r="K49" s="52">
        <f t="shared" si="11"/>
        <v>1856948</v>
      </c>
      <c r="L49" s="52">
        <f t="shared" si="11"/>
        <v>2242410</v>
      </c>
      <c r="M49" s="52">
        <f t="shared" si="11"/>
        <v>1652607</v>
      </c>
      <c r="N49" s="52">
        <f t="shared" si="11"/>
        <v>11860594</v>
      </c>
      <c r="O49" s="52">
        <f t="shared" si="11"/>
        <v>2228719</v>
      </c>
      <c r="P49" s="52">
        <f t="shared" si="11"/>
        <v>1393928</v>
      </c>
      <c r="Q49" s="52">
        <f t="shared" si="11"/>
        <v>7884405</v>
      </c>
      <c r="R49" s="52">
        <f t="shared" si="11"/>
        <v>3166052</v>
      </c>
      <c r="S49" s="52">
        <f t="shared" si="11"/>
        <v>1296349</v>
      </c>
      <c r="T49" s="52">
        <f t="shared" si="11"/>
        <v>7048701</v>
      </c>
      <c r="U49" s="52">
        <f t="shared" si="11"/>
        <v>1359160</v>
      </c>
      <c r="V49" s="52">
        <f t="shared" si="11"/>
        <v>7274810</v>
      </c>
      <c r="W49" s="52">
        <f t="shared" si="11"/>
        <v>1053877</v>
      </c>
      <c r="X49" s="52">
        <f t="shared" si="11"/>
        <v>239169</v>
      </c>
      <c r="Y49" s="52">
        <f t="shared" si="11"/>
        <v>5445586</v>
      </c>
      <c r="Z49" s="52">
        <f t="shared" si="11"/>
        <v>30352105</v>
      </c>
      <c r="AA49" s="52">
        <f t="shared" si="11"/>
        <v>797941</v>
      </c>
      <c r="AB49" s="52">
        <f t="shared" si="11"/>
        <v>728712</v>
      </c>
      <c r="AC49" s="12"/>
      <c r="AD49" s="54">
        <f>SUM(AD38:AD47)</f>
        <v>106084925</v>
      </c>
    </row>
    <row r="51" spans="1:62">
      <c r="J51" t="s">
        <v>114</v>
      </c>
      <c r="L51" s="17">
        <f>ROUND(AD34/AD49,7)</f>
        <v>1.0024016</v>
      </c>
    </row>
    <row r="54" spans="1:62" ht="15.75" customHeight="1">
      <c r="A54" s="96" t="s">
        <v>115</v>
      </c>
    </row>
    <row r="55" spans="1:62" s="5" customFormat="1">
      <c r="A55" s="97"/>
      <c r="B55" s="16" t="s">
        <v>53</v>
      </c>
      <c r="C55" s="16" t="s">
        <v>54</v>
      </c>
      <c r="D55" s="16" t="s">
        <v>55</v>
      </c>
      <c r="E55" s="16" t="s">
        <v>56</v>
      </c>
      <c r="F55" s="16" t="s">
        <v>57</v>
      </c>
      <c r="G55" s="16" t="s">
        <v>58</v>
      </c>
      <c r="H55" s="16" t="s">
        <v>59</v>
      </c>
      <c r="I55" s="16" t="s">
        <v>60</v>
      </c>
      <c r="J55" s="16" t="s">
        <v>61</v>
      </c>
      <c r="K55" s="16" t="s">
        <v>62</v>
      </c>
      <c r="L55" s="16" t="s">
        <v>63</v>
      </c>
      <c r="M55" s="16" t="s">
        <v>64</v>
      </c>
      <c r="N55" s="16" t="s">
        <v>65</v>
      </c>
      <c r="O55" s="16" t="s">
        <v>66</v>
      </c>
      <c r="P55" s="16" t="s">
        <v>67</v>
      </c>
      <c r="Q55" s="16" t="s">
        <v>68</v>
      </c>
      <c r="R55" s="16" t="s">
        <v>69</v>
      </c>
      <c r="S55" s="16" t="s">
        <v>70</v>
      </c>
      <c r="T55" s="16" t="s">
        <v>71</v>
      </c>
      <c r="U55" s="16" t="s">
        <v>72</v>
      </c>
      <c r="V55" s="16" t="s">
        <v>73</v>
      </c>
      <c r="W55" s="16" t="s">
        <v>74</v>
      </c>
      <c r="X55" s="16" t="s">
        <v>75</v>
      </c>
      <c r="Y55" s="16" t="s">
        <v>76</v>
      </c>
      <c r="Z55" s="16" t="s">
        <v>77</v>
      </c>
      <c r="AA55" s="16" t="s">
        <v>78</v>
      </c>
      <c r="AB55" s="16" t="s">
        <v>79</v>
      </c>
      <c r="AD55" s="6" t="s">
        <v>80</v>
      </c>
    </row>
    <row r="56" spans="1:62">
      <c r="A56" s="86" t="s">
        <v>104</v>
      </c>
      <c r="B56" s="50">
        <f t="shared" ref="B56:AB56" si="12">ROUND(B38*$L$51,0)</f>
        <v>97968</v>
      </c>
      <c r="C56" s="50">
        <f t="shared" si="12"/>
        <v>398471</v>
      </c>
      <c r="D56" s="50">
        <f t="shared" si="12"/>
        <v>92717</v>
      </c>
      <c r="E56" s="50">
        <f t="shared" si="12"/>
        <v>435267</v>
      </c>
      <c r="F56" s="50">
        <f t="shared" si="12"/>
        <v>2015252</v>
      </c>
      <c r="G56" s="50">
        <f t="shared" si="12"/>
        <v>1254978</v>
      </c>
      <c r="H56" s="50">
        <f t="shared" si="12"/>
        <v>1368342</v>
      </c>
      <c r="I56" s="50">
        <f t="shared" si="12"/>
        <v>1035411</v>
      </c>
      <c r="J56" s="50">
        <f t="shared" si="12"/>
        <v>2006046</v>
      </c>
      <c r="K56" s="50">
        <f t="shared" si="12"/>
        <v>491927</v>
      </c>
      <c r="L56" s="50">
        <f t="shared" si="12"/>
        <v>823114</v>
      </c>
      <c r="M56" s="50">
        <f t="shared" si="12"/>
        <v>800570</v>
      </c>
      <c r="N56" s="50">
        <f t="shared" si="12"/>
        <v>6693344</v>
      </c>
      <c r="O56" s="50">
        <f t="shared" si="12"/>
        <v>685253</v>
      </c>
      <c r="P56" s="50">
        <f t="shared" si="12"/>
        <v>589414</v>
      </c>
      <c r="Q56" s="50">
        <f t="shared" si="12"/>
        <v>4759199</v>
      </c>
      <c r="R56" s="50">
        <f t="shared" si="12"/>
        <v>1428480</v>
      </c>
      <c r="S56" s="50">
        <f t="shared" si="12"/>
        <v>403421</v>
      </c>
      <c r="T56" s="50">
        <f t="shared" si="12"/>
        <v>4781069</v>
      </c>
      <c r="U56" s="50">
        <f t="shared" si="12"/>
        <v>606192</v>
      </c>
      <c r="V56" s="50">
        <f t="shared" si="12"/>
        <v>4580019</v>
      </c>
      <c r="W56" s="50">
        <f t="shared" si="12"/>
        <v>317228</v>
      </c>
      <c r="X56" s="50">
        <f t="shared" si="12"/>
        <v>85186</v>
      </c>
      <c r="Y56" s="50">
        <f t="shared" si="12"/>
        <v>3195169</v>
      </c>
      <c r="Z56" s="50">
        <f t="shared" si="12"/>
        <v>19269288</v>
      </c>
      <c r="AA56" s="50">
        <f t="shared" si="12"/>
        <v>357240</v>
      </c>
      <c r="AB56" s="50">
        <f t="shared" si="12"/>
        <v>241983</v>
      </c>
      <c r="AC56" s="51"/>
      <c r="AD56" s="52">
        <f t="shared" ref="AD56:AD65" si="13">SUM(B56:AB56)</f>
        <v>58812548</v>
      </c>
      <c r="AH56" s="7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</row>
    <row r="57" spans="1:62" s="14" customFormat="1">
      <c r="A57" s="86" t="s">
        <v>105</v>
      </c>
      <c r="B57" s="50">
        <f t="shared" ref="B57:AB57" si="14">ROUND(B39*$L$51,0)</f>
        <v>7968</v>
      </c>
      <c r="C57" s="50">
        <f t="shared" si="14"/>
        <v>23311</v>
      </c>
      <c r="D57" s="50">
        <f t="shared" si="14"/>
        <v>4430</v>
      </c>
      <c r="E57" s="50">
        <f t="shared" si="14"/>
        <v>21231</v>
      </c>
      <c r="F57" s="50">
        <f t="shared" si="14"/>
        <v>127708</v>
      </c>
      <c r="G57" s="50">
        <f t="shared" si="14"/>
        <v>77268</v>
      </c>
      <c r="H57" s="50">
        <f t="shared" si="14"/>
        <v>25725</v>
      </c>
      <c r="I57" s="50">
        <f t="shared" si="14"/>
        <v>77641</v>
      </c>
      <c r="J57" s="50">
        <f t="shared" si="14"/>
        <v>118843</v>
      </c>
      <c r="K57" s="50">
        <f t="shared" si="14"/>
        <v>44680</v>
      </c>
      <c r="L57" s="50">
        <f t="shared" si="14"/>
        <v>82259</v>
      </c>
      <c r="M57" s="50">
        <f t="shared" si="14"/>
        <v>57429</v>
      </c>
      <c r="N57" s="50">
        <f t="shared" si="14"/>
        <v>357062</v>
      </c>
      <c r="O57" s="50">
        <f t="shared" si="14"/>
        <v>66958</v>
      </c>
      <c r="P57" s="50">
        <f t="shared" si="14"/>
        <v>30382</v>
      </c>
      <c r="Q57" s="50">
        <f t="shared" si="14"/>
        <v>286261</v>
      </c>
      <c r="R57" s="50">
        <f t="shared" si="14"/>
        <v>95596</v>
      </c>
      <c r="S57" s="50">
        <f t="shared" si="14"/>
        <v>33050</v>
      </c>
      <c r="T57" s="50">
        <f t="shared" si="14"/>
        <v>147609</v>
      </c>
      <c r="U57" s="50">
        <f t="shared" si="14"/>
        <v>39032</v>
      </c>
      <c r="V57" s="50">
        <f t="shared" si="14"/>
        <v>243004</v>
      </c>
      <c r="W57" s="50">
        <f t="shared" si="14"/>
        <v>32107</v>
      </c>
      <c r="X57" s="50">
        <f t="shared" si="14"/>
        <v>5704</v>
      </c>
      <c r="Y57" s="50">
        <f t="shared" si="14"/>
        <v>162338</v>
      </c>
      <c r="Z57" s="50">
        <f t="shared" si="14"/>
        <v>700757</v>
      </c>
      <c r="AA57" s="50">
        <f t="shared" si="14"/>
        <v>22637</v>
      </c>
      <c r="AB57" s="50">
        <f t="shared" si="14"/>
        <v>23487</v>
      </c>
      <c r="AC57" s="57"/>
      <c r="AD57" s="52">
        <f t="shared" si="13"/>
        <v>2914477</v>
      </c>
      <c r="AH57" s="15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</row>
    <row r="58" spans="1:62" s="14" customFormat="1">
      <c r="A58" s="86" t="s">
        <v>106</v>
      </c>
      <c r="B58" s="50">
        <f t="shared" ref="B58:AB58" si="15">ROUND(B40*$L$51,0)</f>
        <v>1227</v>
      </c>
      <c r="C58" s="50">
        <f t="shared" si="15"/>
        <v>2925</v>
      </c>
      <c r="D58" s="50">
        <f t="shared" si="15"/>
        <v>439</v>
      </c>
      <c r="E58" s="50">
        <f t="shared" si="15"/>
        <v>4107</v>
      </c>
      <c r="F58" s="50">
        <f t="shared" si="15"/>
        <v>25749</v>
      </c>
      <c r="G58" s="50">
        <f t="shared" si="15"/>
        <v>10508</v>
      </c>
      <c r="H58" s="50">
        <f t="shared" si="15"/>
        <v>3968</v>
      </c>
      <c r="I58" s="50">
        <f t="shared" si="15"/>
        <v>20351</v>
      </c>
      <c r="J58" s="50">
        <f t="shared" si="15"/>
        <v>36182</v>
      </c>
      <c r="K58" s="50">
        <f t="shared" si="15"/>
        <v>6312</v>
      </c>
      <c r="L58" s="50">
        <f t="shared" si="15"/>
        <v>42875</v>
      </c>
      <c r="M58" s="50">
        <f t="shared" si="15"/>
        <v>21162</v>
      </c>
      <c r="N58" s="50">
        <f t="shared" si="15"/>
        <v>87131</v>
      </c>
      <c r="O58" s="50">
        <f t="shared" si="15"/>
        <v>11244</v>
      </c>
      <c r="P58" s="50">
        <f t="shared" si="15"/>
        <v>3242</v>
      </c>
      <c r="Q58" s="50">
        <f t="shared" si="15"/>
        <v>103176</v>
      </c>
      <c r="R58" s="50">
        <f t="shared" si="15"/>
        <v>13728</v>
      </c>
      <c r="S58" s="50">
        <f t="shared" si="15"/>
        <v>3582</v>
      </c>
      <c r="T58" s="50">
        <f t="shared" si="15"/>
        <v>18564</v>
      </c>
      <c r="U58" s="50">
        <f t="shared" si="15"/>
        <v>4193</v>
      </c>
      <c r="V58" s="50">
        <f t="shared" si="15"/>
        <v>67887</v>
      </c>
      <c r="W58" s="50">
        <f t="shared" si="15"/>
        <v>8072</v>
      </c>
      <c r="X58" s="50">
        <f t="shared" si="15"/>
        <v>1169</v>
      </c>
      <c r="Y58" s="50">
        <f t="shared" si="15"/>
        <v>62742</v>
      </c>
      <c r="Z58" s="50">
        <f t="shared" si="15"/>
        <v>197735</v>
      </c>
      <c r="AA58" s="50">
        <f t="shared" si="15"/>
        <v>2946</v>
      </c>
      <c r="AB58" s="50">
        <f t="shared" si="15"/>
        <v>6996</v>
      </c>
      <c r="AC58" s="57"/>
      <c r="AD58" s="52">
        <f t="shared" si="13"/>
        <v>768212</v>
      </c>
      <c r="AH58" s="15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</row>
    <row r="59" spans="1:62">
      <c r="A59" s="86" t="s">
        <v>107</v>
      </c>
      <c r="B59" s="50">
        <f t="shared" ref="B59:AB59" si="16">ROUND(B41*$L$51,0)</f>
        <v>29956</v>
      </c>
      <c r="C59" s="50">
        <f t="shared" si="16"/>
        <v>62322</v>
      </c>
      <c r="D59" s="50">
        <f t="shared" si="16"/>
        <v>24815</v>
      </c>
      <c r="E59" s="50">
        <f t="shared" si="16"/>
        <v>96022</v>
      </c>
      <c r="F59" s="50">
        <f t="shared" si="16"/>
        <v>412524</v>
      </c>
      <c r="G59" s="50">
        <f t="shared" si="16"/>
        <v>217765</v>
      </c>
      <c r="H59" s="50">
        <f t="shared" si="16"/>
        <v>141666</v>
      </c>
      <c r="I59" s="50">
        <f t="shared" si="16"/>
        <v>190925</v>
      </c>
      <c r="J59" s="50">
        <f t="shared" si="16"/>
        <v>403662</v>
      </c>
      <c r="K59" s="50">
        <f t="shared" si="16"/>
        <v>139664</v>
      </c>
      <c r="L59" s="50">
        <f t="shared" si="16"/>
        <v>263636</v>
      </c>
      <c r="M59" s="50">
        <f t="shared" si="16"/>
        <v>180819</v>
      </c>
      <c r="N59" s="50">
        <f t="shared" si="16"/>
        <v>1082327</v>
      </c>
      <c r="O59" s="50">
        <f t="shared" si="16"/>
        <v>178918</v>
      </c>
      <c r="P59" s="50">
        <f t="shared" si="16"/>
        <v>94549</v>
      </c>
      <c r="Q59" s="50">
        <f t="shared" si="16"/>
        <v>735953</v>
      </c>
      <c r="R59" s="50">
        <f t="shared" si="16"/>
        <v>205138</v>
      </c>
      <c r="S59" s="50">
        <f t="shared" si="16"/>
        <v>103140</v>
      </c>
      <c r="T59" s="50">
        <f t="shared" si="16"/>
        <v>380495</v>
      </c>
      <c r="U59" s="50">
        <f t="shared" si="16"/>
        <v>99182</v>
      </c>
      <c r="V59" s="50">
        <f t="shared" si="16"/>
        <v>600019</v>
      </c>
      <c r="W59" s="50">
        <f t="shared" si="16"/>
        <v>110781</v>
      </c>
      <c r="X59" s="50">
        <f t="shared" si="16"/>
        <v>31657</v>
      </c>
      <c r="Y59" s="50">
        <f t="shared" si="16"/>
        <v>452296</v>
      </c>
      <c r="Z59" s="50">
        <f t="shared" si="16"/>
        <v>2153326</v>
      </c>
      <c r="AA59" s="50">
        <f t="shared" si="16"/>
        <v>48961</v>
      </c>
      <c r="AB59" s="50">
        <f t="shared" si="16"/>
        <v>76470</v>
      </c>
      <c r="AC59" s="51"/>
      <c r="AD59" s="52">
        <f t="shared" si="13"/>
        <v>8516988</v>
      </c>
      <c r="AH59" s="7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</row>
    <row r="60" spans="1:62">
      <c r="A60" s="86" t="s">
        <v>108</v>
      </c>
      <c r="B60" s="50">
        <f t="shared" ref="B60:AB60" si="17">ROUND(B42*$L$51,0)</f>
        <v>4618</v>
      </c>
      <c r="C60" s="50">
        <f t="shared" si="17"/>
        <v>24600</v>
      </c>
      <c r="D60" s="50">
        <f t="shared" si="17"/>
        <v>5107</v>
      </c>
      <c r="E60" s="50">
        <f t="shared" si="17"/>
        <v>28284</v>
      </c>
      <c r="F60" s="50">
        <f t="shared" si="17"/>
        <v>132708</v>
      </c>
      <c r="G60" s="50">
        <f t="shared" si="17"/>
        <v>67155</v>
      </c>
      <c r="H60" s="50">
        <f t="shared" si="17"/>
        <v>95889</v>
      </c>
      <c r="I60" s="50">
        <f t="shared" si="17"/>
        <v>65618</v>
      </c>
      <c r="J60" s="50">
        <f t="shared" si="17"/>
        <v>111541</v>
      </c>
      <c r="K60" s="50">
        <f t="shared" si="17"/>
        <v>27231</v>
      </c>
      <c r="L60" s="50">
        <f t="shared" si="17"/>
        <v>53110</v>
      </c>
      <c r="M60" s="50">
        <f t="shared" si="17"/>
        <v>45603</v>
      </c>
      <c r="N60" s="50">
        <f t="shared" si="17"/>
        <v>382900</v>
      </c>
      <c r="O60" s="50">
        <f t="shared" si="17"/>
        <v>45599</v>
      </c>
      <c r="P60" s="50">
        <f t="shared" si="17"/>
        <v>31251</v>
      </c>
      <c r="Q60" s="50">
        <f t="shared" si="17"/>
        <v>278046</v>
      </c>
      <c r="R60" s="50">
        <f t="shared" si="17"/>
        <v>98980</v>
      </c>
      <c r="S60" s="50">
        <f t="shared" si="17"/>
        <v>19165</v>
      </c>
      <c r="T60" s="50">
        <f t="shared" si="17"/>
        <v>329350</v>
      </c>
      <c r="U60" s="50">
        <f t="shared" si="17"/>
        <v>34055</v>
      </c>
      <c r="V60" s="50">
        <f t="shared" si="17"/>
        <v>305472</v>
      </c>
      <c r="W60" s="50">
        <f t="shared" si="17"/>
        <v>14853</v>
      </c>
      <c r="X60" s="50">
        <f t="shared" si="17"/>
        <v>5507</v>
      </c>
      <c r="Y60" s="50">
        <f t="shared" si="17"/>
        <v>227449</v>
      </c>
      <c r="Z60" s="50">
        <f t="shared" si="17"/>
        <v>1348646</v>
      </c>
      <c r="AA60" s="50">
        <f t="shared" si="17"/>
        <v>18696</v>
      </c>
      <c r="AB60" s="50">
        <f t="shared" si="17"/>
        <v>12768</v>
      </c>
      <c r="AC60" s="51"/>
      <c r="AD60" s="52">
        <f t="shared" si="13"/>
        <v>3814201</v>
      </c>
      <c r="AH60" s="7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</row>
    <row r="61" spans="1:62" s="14" customFormat="1">
      <c r="A61" s="86" t="s">
        <v>109</v>
      </c>
      <c r="B61" s="50">
        <f t="shared" ref="B61:AB61" si="18">ROUND(B43*$L$51,0)</f>
        <v>419</v>
      </c>
      <c r="C61" s="50">
        <f t="shared" si="18"/>
        <v>7188</v>
      </c>
      <c r="D61" s="50">
        <f t="shared" si="18"/>
        <v>493</v>
      </c>
      <c r="E61" s="50">
        <f t="shared" si="18"/>
        <v>3643</v>
      </c>
      <c r="F61" s="50">
        <f t="shared" si="18"/>
        <v>31461</v>
      </c>
      <c r="G61" s="50">
        <f t="shared" si="18"/>
        <v>13050</v>
      </c>
      <c r="H61" s="50">
        <f t="shared" si="18"/>
        <v>6370</v>
      </c>
      <c r="I61" s="50">
        <f t="shared" si="18"/>
        <v>8929</v>
      </c>
      <c r="J61" s="50">
        <f t="shared" si="18"/>
        <v>10755</v>
      </c>
      <c r="K61" s="50">
        <f t="shared" si="18"/>
        <v>5460</v>
      </c>
      <c r="L61" s="50">
        <f t="shared" si="18"/>
        <v>4161</v>
      </c>
      <c r="M61" s="50">
        <f t="shared" si="18"/>
        <v>4306</v>
      </c>
      <c r="N61" s="50">
        <f t="shared" si="18"/>
        <v>50066</v>
      </c>
      <c r="O61" s="50">
        <f t="shared" si="18"/>
        <v>7241</v>
      </c>
      <c r="P61" s="50">
        <f t="shared" si="18"/>
        <v>5296</v>
      </c>
      <c r="Q61" s="50">
        <f t="shared" si="18"/>
        <v>24890</v>
      </c>
      <c r="R61" s="50">
        <f t="shared" si="18"/>
        <v>20133</v>
      </c>
      <c r="S61" s="50">
        <f t="shared" si="18"/>
        <v>4586</v>
      </c>
      <c r="T61" s="50">
        <f t="shared" si="18"/>
        <v>40570</v>
      </c>
      <c r="U61" s="50">
        <f t="shared" si="18"/>
        <v>5547</v>
      </c>
      <c r="V61" s="50">
        <f t="shared" si="18"/>
        <v>22139</v>
      </c>
      <c r="W61" s="50">
        <f t="shared" si="18"/>
        <v>1443</v>
      </c>
      <c r="X61" s="50">
        <f t="shared" si="18"/>
        <v>754</v>
      </c>
      <c r="Y61" s="50">
        <f t="shared" si="18"/>
        <v>13388</v>
      </c>
      <c r="Z61" s="50">
        <f t="shared" si="18"/>
        <v>126220</v>
      </c>
      <c r="AA61" s="50">
        <f t="shared" si="18"/>
        <v>3622</v>
      </c>
      <c r="AB61" s="50">
        <f t="shared" si="18"/>
        <v>1707</v>
      </c>
      <c r="AC61" s="57"/>
      <c r="AD61" s="52">
        <f t="shared" si="13"/>
        <v>423837</v>
      </c>
      <c r="AH61" s="15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</row>
    <row r="62" spans="1:62" s="14" customFormat="1">
      <c r="A62" s="86" t="s">
        <v>110</v>
      </c>
      <c r="B62" s="50">
        <f t="shared" ref="B62:AB62" si="19">ROUND(B44*$L$51,0)</f>
        <v>131069</v>
      </c>
      <c r="C62" s="50">
        <f t="shared" si="19"/>
        <v>332856</v>
      </c>
      <c r="D62" s="50">
        <f t="shared" si="19"/>
        <v>70951</v>
      </c>
      <c r="E62" s="50">
        <f t="shared" si="19"/>
        <v>296113</v>
      </c>
      <c r="F62" s="50">
        <f t="shared" si="19"/>
        <v>1423701</v>
      </c>
      <c r="G62" s="50">
        <f t="shared" si="19"/>
        <v>1496684</v>
      </c>
      <c r="H62" s="50">
        <f t="shared" si="19"/>
        <v>211898</v>
      </c>
      <c r="I62" s="50">
        <f t="shared" si="19"/>
        <v>482046</v>
      </c>
      <c r="J62" s="50">
        <f t="shared" si="19"/>
        <v>939835</v>
      </c>
      <c r="K62" s="50">
        <f t="shared" si="19"/>
        <v>939852</v>
      </c>
      <c r="L62" s="50">
        <f t="shared" si="19"/>
        <v>679438</v>
      </c>
      <c r="M62" s="50">
        <f t="shared" si="19"/>
        <v>395706</v>
      </c>
      <c r="N62" s="50">
        <f t="shared" si="19"/>
        <v>2721372</v>
      </c>
      <c r="O62" s="50">
        <f t="shared" si="19"/>
        <v>978134</v>
      </c>
      <c r="P62" s="50">
        <f t="shared" si="19"/>
        <v>541984</v>
      </c>
      <c r="Q62" s="50">
        <f t="shared" si="19"/>
        <v>1256032</v>
      </c>
      <c r="R62" s="50">
        <f t="shared" si="19"/>
        <v>1134870</v>
      </c>
      <c r="S62" s="50">
        <f t="shared" si="19"/>
        <v>604430</v>
      </c>
      <c r="T62" s="50">
        <f t="shared" si="19"/>
        <v>1048258</v>
      </c>
      <c r="U62" s="50">
        <f t="shared" si="19"/>
        <v>473966</v>
      </c>
      <c r="V62" s="50">
        <f t="shared" si="19"/>
        <v>1140717</v>
      </c>
      <c r="W62" s="50">
        <f t="shared" si="19"/>
        <v>424377</v>
      </c>
      <c r="X62" s="50">
        <f t="shared" si="19"/>
        <v>85096</v>
      </c>
      <c r="Y62" s="50">
        <f t="shared" si="19"/>
        <v>932857</v>
      </c>
      <c r="Z62" s="50">
        <f t="shared" si="19"/>
        <v>5037291</v>
      </c>
      <c r="AA62" s="50">
        <f t="shared" si="19"/>
        <v>279127</v>
      </c>
      <c r="AB62" s="50">
        <f t="shared" si="19"/>
        <v>250975</v>
      </c>
      <c r="AC62" s="57"/>
      <c r="AD62" s="52">
        <f t="shared" si="13"/>
        <v>24309635</v>
      </c>
      <c r="AH62" s="15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</row>
    <row r="63" spans="1:62" s="14" customFormat="1">
      <c r="A63" s="86" t="s">
        <v>111</v>
      </c>
      <c r="B63" s="50">
        <f t="shared" ref="B63:AB63" si="20">ROUND(B45*$L$51,0)</f>
        <v>30361</v>
      </c>
      <c r="C63" s="50">
        <f t="shared" si="20"/>
        <v>46900</v>
      </c>
      <c r="D63" s="50">
        <f t="shared" si="20"/>
        <v>14366</v>
      </c>
      <c r="E63" s="50">
        <f t="shared" si="20"/>
        <v>68631</v>
      </c>
      <c r="F63" s="50">
        <f t="shared" si="20"/>
        <v>227112</v>
      </c>
      <c r="G63" s="50">
        <f t="shared" si="20"/>
        <v>190732</v>
      </c>
      <c r="H63" s="50">
        <f t="shared" si="20"/>
        <v>22797</v>
      </c>
      <c r="I63" s="50">
        <f t="shared" si="20"/>
        <v>123286</v>
      </c>
      <c r="J63" s="50">
        <f t="shared" si="20"/>
        <v>306458</v>
      </c>
      <c r="K63" s="50">
        <f t="shared" si="20"/>
        <v>182690</v>
      </c>
      <c r="L63" s="50">
        <f t="shared" si="20"/>
        <v>263994</v>
      </c>
      <c r="M63" s="50">
        <f t="shared" si="20"/>
        <v>122859</v>
      </c>
      <c r="N63" s="50">
        <f t="shared" si="20"/>
        <v>327787</v>
      </c>
      <c r="O63" s="50">
        <f t="shared" si="20"/>
        <v>222807</v>
      </c>
      <c r="P63" s="50">
        <f t="shared" si="20"/>
        <v>76707</v>
      </c>
      <c r="Q63" s="50">
        <f t="shared" si="20"/>
        <v>327473</v>
      </c>
      <c r="R63" s="50">
        <f t="shared" si="20"/>
        <v>127267</v>
      </c>
      <c r="S63" s="50">
        <f t="shared" si="20"/>
        <v>109192</v>
      </c>
      <c r="T63" s="50">
        <f t="shared" si="20"/>
        <v>194810</v>
      </c>
      <c r="U63" s="50">
        <f t="shared" si="20"/>
        <v>69769</v>
      </c>
      <c r="V63" s="50">
        <f t="shared" si="20"/>
        <v>204473</v>
      </c>
      <c r="W63" s="50">
        <f t="shared" si="20"/>
        <v>135150</v>
      </c>
      <c r="X63" s="50">
        <f t="shared" si="20"/>
        <v>21765</v>
      </c>
      <c r="Y63" s="50">
        <f t="shared" si="20"/>
        <v>296521</v>
      </c>
      <c r="Z63" s="50">
        <f t="shared" si="20"/>
        <v>1040670</v>
      </c>
      <c r="AA63" s="50">
        <f t="shared" si="20"/>
        <v>52062</v>
      </c>
      <c r="AB63" s="50">
        <f t="shared" si="20"/>
        <v>104379</v>
      </c>
      <c r="AC63" s="57"/>
      <c r="AD63" s="52">
        <f t="shared" si="13"/>
        <v>4911018</v>
      </c>
      <c r="AH63" s="15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</row>
    <row r="64" spans="1:62" s="14" customFormat="1">
      <c r="A64" s="86" t="s">
        <v>112</v>
      </c>
      <c r="B64" s="50">
        <f t="shared" ref="B64:AB64" si="21">ROUND(B46*$L$51,0)</f>
        <v>1353</v>
      </c>
      <c r="C64" s="50">
        <f t="shared" si="21"/>
        <v>8883</v>
      </c>
      <c r="D64" s="50">
        <f t="shared" si="21"/>
        <v>1460</v>
      </c>
      <c r="E64" s="50">
        <f t="shared" si="21"/>
        <v>10112</v>
      </c>
      <c r="F64" s="50">
        <f t="shared" si="21"/>
        <v>43107</v>
      </c>
      <c r="G64" s="50">
        <f t="shared" si="21"/>
        <v>18737</v>
      </c>
      <c r="H64" s="50">
        <f t="shared" si="21"/>
        <v>13381</v>
      </c>
      <c r="I64" s="50">
        <f t="shared" si="21"/>
        <v>15897</v>
      </c>
      <c r="J64" s="50">
        <f t="shared" si="21"/>
        <v>24635</v>
      </c>
      <c r="K64" s="50">
        <f t="shared" si="21"/>
        <v>10252</v>
      </c>
      <c r="L64" s="50">
        <f t="shared" si="21"/>
        <v>13380</v>
      </c>
      <c r="M64" s="50">
        <f t="shared" si="21"/>
        <v>10541</v>
      </c>
      <c r="N64" s="50">
        <f t="shared" si="21"/>
        <v>84527</v>
      </c>
      <c r="O64" s="50">
        <f t="shared" si="21"/>
        <v>20382</v>
      </c>
      <c r="P64" s="50">
        <f t="shared" si="21"/>
        <v>8135</v>
      </c>
      <c r="Q64" s="50">
        <f t="shared" si="21"/>
        <v>47402</v>
      </c>
      <c r="R64" s="50">
        <f t="shared" si="21"/>
        <v>21239</v>
      </c>
      <c r="S64" s="50">
        <f t="shared" si="21"/>
        <v>8821</v>
      </c>
      <c r="T64" s="50">
        <f t="shared" si="21"/>
        <v>43466</v>
      </c>
      <c r="U64" s="50">
        <f t="shared" si="21"/>
        <v>7754</v>
      </c>
      <c r="V64" s="50">
        <f t="shared" si="21"/>
        <v>42636</v>
      </c>
      <c r="W64" s="50">
        <f t="shared" si="21"/>
        <v>6791</v>
      </c>
      <c r="X64" s="50">
        <f t="shared" si="21"/>
        <v>1302</v>
      </c>
      <c r="Y64" s="50">
        <f t="shared" si="21"/>
        <v>21483</v>
      </c>
      <c r="Z64" s="50">
        <f t="shared" si="21"/>
        <v>169174</v>
      </c>
      <c r="AA64" s="50">
        <f t="shared" si="21"/>
        <v>7843</v>
      </c>
      <c r="AB64" s="50">
        <f t="shared" si="21"/>
        <v>6226</v>
      </c>
      <c r="AC64" s="57"/>
      <c r="AD64" s="52">
        <f t="shared" si="13"/>
        <v>668919</v>
      </c>
      <c r="AH64" s="15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</row>
    <row r="65" spans="1:62">
      <c r="A65" s="86" t="s">
        <v>113</v>
      </c>
      <c r="B65" s="50">
        <f t="shared" ref="B65:AB65" si="22">ROUND(B47*$L$51,0)</f>
        <v>1560</v>
      </c>
      <c r="C65" s="50">
        <f t="shared" si="22"/>
        <v>8542</v>
      </c>
      <c r="D65" s="50">
        <f t="shared" si="22"/>
        <v>1154</v>
      </c>
      <c r="E65" s="50">
        <f t="shared" si="22"/>
        <v>6153</v>
      </c>
      <c r="F65" s="50">
        <f t="shared" si="22"/>
        <v>40087</v>
      </c>
      <c r="G65" s="50">
        <f t="shared" si="22"/>
        <v>42959</v>
      </c>
      <c r="H65" s="50">
        <f t="shared" si="22"/>
        <v>36190</v>
      </c>
      <c r="I65" s="50">
        <f t="shared" si="22"/>
        <v>25997</v>
      </c>
      <c r="J65" s="50">
        <f t="shared" si="22"/>
        <v>39045</v>
      </c>
      <c r="K65" s="50">
        <f t="shared" si="22"/>
        <v>13341</v>
      </c>
      <c r="L65" s="50">
        <f t="shared" si="22"/>
        <v>21828</v>
      </c>
      <c r="M65" s="50">
        <f t="shared" si="22"/>
        <v>17580</v>
      </c>
      <c r="N65" s="50">
        <f t="shared" si="22"/>
        <v>102562</v>
      </c>
      <c r="O65" s="50">
        <f t="shared" si="22"/>
        <v>17535</v>
      </c>
      <c r="P65" s="50">
        <f t="shared" si="22"/>
        <v>16317</v>
      </c>
      <c r="Q65" s="50">
        <f t="shared" si="22"/>
        <v>84908</v>
      </c>
      <c r="R65" s="50">
        <f t="shared" si="22"/>
        <v>28224</v>
      </c>
      <c r="S65" s="50">
        <f t="shared" si="22"/>
        <v>10076</v>
      </c>
      <c r="T65" s="50">
        <f t="shared" si="22"/>
        <v>81438</v>
      </c>
      <c r="U65" s="50">
        <f t="shared" si="22"/>
        <v>22735</v>
      </c>
      <c r="V65" s="50">
        <f t="shared" si="22"/>
        <v>85916</v>
      </c>
      <c r="W65" s="50">
        <f t="shared" si="22"/>
        <v>5605</v>
      </c>
      <c r="X65" s="50">
        <f t="shared" si="22"/>
        <v>1604</v>
      </c>
      <c r="Y65" s="50">
        <f t="shared" si="22"/>
        <v>94420</v>
      </c>
      <c r="Z65" s="50">
        <f t="shared" si="22"/>
        <v>381891</v>
      </c>
      <c r="AA65" s="50">
        <f t="shared" si="22"/>
        <v>6724</v>
      </c>
      <c r="AB65" s="50">
        <f t="shared" si="22"/>
        <v>5471</v>
      </c>
      <c r="AC65" s="51"/>
      <c r="AD65" s="52">
        <f t="shared" si="13"/>
        <v>1199862</v>
      </c>
      <c r="AH65" s="7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</row>
    <row r="66" spans="1:62">
      <c r="A66" s="60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3"/>
      <c r="AH66" s="7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</row>
    <row r="67" spans="1:62" s="5" customFormat="1">
      <c r="A67" s="59" t="s">
        <v>80</v>
      </c>
      <c r="B67" s="52">
        <f t="shared" ref="B67:AB67" si="23">SUM(B56:B65)</f>
        <v>306499</v>
      </c>
      <c r="C67" s="52">
        <f t="shared" si="23"/>
        <v>915998</v>
      </c>
      <c r="D67" s="52">
        <f t="shared" si="23"/>
        <v>215932</v>
      </c>
      <c r="E67" s="52">
        <f t="shared" si="23"/>
        <v>969563</v>
      </c>
      <c r="F67" s="52">
        <f t="shared" si="23"/>
        <v>4479409</v>
      </c>
      <c r="G67" s="52">
        <f t="shared" si="23"/>
        <v>3389836</v>
      </c>
      <c r="H67" s="52">
        <f t="shared" si="23"/>
        <v>1926226</v>
      </c>
      <c r="I67" s="52">
        <f t="shared" si="23"/>
        <v>2046101</v>
      </c>
      <c r="J67" s="52">
        <f t="shared" si="23"/>
        <v>3997002</v>
      </c>
      <c r="K67" s="52">
        <f t="shared" si="23"/>
        <v>1861409</v>
      </c>
      <c r="L67" s="52">
        <f t="shared" si="23"/>
        <v>2247795</v>
      </c>
      <c r="M67" s="52">
        <f t="shared" si="23"/>
        <v>1656575</v>
      </c>
      <c r="N67" s="52">
        <f t="shared" si="23"/>
        <v>11889078</v>
      </c>
      <c r="O67" s="52">
        <f t="shared" si="23"/>
        <v>2234071</v>
      </c>
      <c r="P67" s="52">
        <f t="shared" si="23"/>
        <v>1397277</v>
      </c>
      <c r="Q67" s="52">
        <f t="shared" si="23"/>
        <v>7903340</v>
      </c>
      <c r="R67" s="52">
        <f t="shared" si="23"/>
        <v>3173655</v>
      </c>
      <c r="S67" s="52">
        <f t="shared" si="23"/>
        <v>1299463</v>
      </c>
      <c r="T67" s="52">
        <f t="shared" si="23"/>
        <v>7065629</v>
      </c>
      <c r="U67" s="52">
        <f t="shared" si="23"/>
        <v>1362425</v>
      </c>
      <c r="V67" s="52">
        <f t="shared" si="23"/>
        <v>7292282</v>
      </c>
      <c r="W67" s="52">
        <f t="shared" si="23"/>
        <v>1056407</v>
      </c>
      <c r="X67" s="52">
        <f t="shared" si="23"/>
        <v>239744</v>
      </c>
      <c r="Y67" s="52">
        <f t="shared" si="23"/>
        <v>5458663</v>
      </c>
      <c r="Z67" s="52">
        <f t="shared" si="23"/>
        <v>30424998</v>
      </c>
      <c r="AA67" s="52">
        <f t="shared" si="23"/>
        <v>799858</v>
      </c>
      <c r="AB67" s="52">
        <f t="shared" si="23"/>
        <v>730462</v>
      </c>
      <c r="AC67" s="53"/>
      <c r="AD67" s="52">
        <f>SUM(AD56:AD65)</f>
        <v>106339697</v>
      </c>
      <c r="AH67" s="7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</row>
    <row r="72" spans="1:62" s="5" customFormat="1"/>
    <row r="73" spans="1:62" s="5" customFormat="1"/>
    <row r="74" spans="1:62" s="5" customFormat="1"/>
    <row r="75" spans="1:62" s="5" customFormat="1"/>
    <row r="76" spans="1:62" s="5" customFormat="1"/>
    <row r="77" spans="1:62" s="5" customFormat="1"/>
    <row r="78" spans="1:62" s="5" customFormat="1"/>
    <row r="79" spans="1:62" s="5" customFormat="1"/>
    <row r="80" spans="1:62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 ht="15" customHeigh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</sheetData>
  <mergeCells count="4">
    <mergeCell ref="A2:A3"/>
    <mergeCell ref="A54:A55"/>
    <mergeCell ref="A25:A26"/>
    <mergeCell ref="A36:A37"/>
  </mergeCells>
  <pageMargins left="0.75" right="0.75" top="1" bottom="1" header="0.5" footer="0.5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8CBAD"/>
  </sheetPr>
  <dimension ref="A1:BJ166"/>
  <sheetViews>
    <sheetView showGridLines="0" topLeftCell="A40" zoomScale="90" zoomScaleNormal="90" workbookViewId="0">
      <pane xSplit="1" topLeftCell="B1" activePane="topRight" state="frozen"/>
      <selection pane="topRight" activeCell="L51" sqref="L51"/>
    </sheetView>
  </sheetViews>
  <sheetFormatPr defaultColWidth="10.85546875" defaultRowHeight="15.75"/>
  <cols>
    <col min="1" max="1" width="35.42578125" style="5" customWidth="1"/>
    <col min="2" max="2" width="11.42578125" bestFit="1" customWidth="1"/>
    <col min="11" max="11" width="13.5703125" customWidth="1"/>
    <col min="12" max="12" width="15.7109375" customWidth="1"/>
    <col min="13" max="13" width="19.42578125" customWidth="1"/>
    <col min="14" max="14" width="13.7109375" customWidth="1"/>
    <col min="26" max="26" width="12.42578125" bestFit="1" customWidth="1"/>
    <col min="28" max="28" width="12.140625" customWidth="1"/>
    <col min="30" max="30" width="13.28515625" style="5" bestFit="1" customWidth="1"/>
  </cols>
  <sheetData>
    <row r="1" spans="1:30">
      <c r="A1" s="84">
        <v>2020</v>
      </c>
    </row>
    <row r="2" spans="1:30" ht="15.75" customHeight="1">
      <c r="A2" s="96" t="s">
        <v>52</v>
      </c>
    </row>
    <row r="3" spans="1:30">
      <c r="A3" s="97"/>
      <c r="B3" s="6" t="s">
        <v>53</v>
      </c>
      <c r="C3" s="6" t="s">
        <v>54</v>
      </c>
      <c r="D3" s="6" t="s">
        <v>55</v>
      </c>
      <c r="E3" s="6" t="s">
        <v>56</v>
      </c>
      <c r="F3" s="6" t="s">
        <v>57</v>
      </c>
      <c r="G3" s="6" t="s">
        <v>58</v>
      </c>
      <c r="H3" s="6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  <c r="T3" s="6" t="s">
        <v>71</v>
      </c>
      <c r="U3" s="6" t="s">
        <v>72</v>
      </c>
      <c r="V3" s="6" t="s">
        <v>73</v>
      </c>
      <c r="W3" s="6" t="s">
        <v>74</v>
      </c>
      <c r="X3" s="6" t="s">
        <v>75</v>
      </c>
      <c r="Y3" s="6" t="s">
        <v>76</v>
      </c>
      <c r="Z3" s="6" t="s">
        <v>77</v>
      </c>
      <c r="AA3" s="6" t="s">
        <v>78</v>
      </c>
      <c r="AB3" s="6" t="s">
        <v>79</v>
      </c>
      <c r="AD3" s="32" t="s">
        <v>80</v>
      </c>
    </row>
    <row r="4" spans="1:30" ht="15">
      <c r="A4" s="58" t="s">
        <v>81</v>
      </c>
      <c r="B4" s="31">
        <v>3624</v>
      </c>
      <c r="C4" s="31">
        <v>24202</v>
      </c>
      <c r="D4" s="31">
        <v>1445</v>
      </c>
      <c r="E4" s="31">
        <v>16196</v>
      </c>
      <c r="F4" s="31">
        <v>100115</v>
      </c>
      <c r="G4" s="31">
        <v>60904</v>
      </c>
      <c r="H4" s="31">
        <v>57944</v>
      </c>
      <c r="I4" s="31">
        <v>52966</v>
      </c>
      <c r="J4" s="31">
        <v>159635</v>
      </c>
      <c r="K4" s="31">
        <v>13859</v>
      </c>
      <c r="L4" s="31">
        <v>48371</v>
      </c>
      <c r="M4" s="31">
        <v>54282</v>
      </c>
      <c r="N4" s="31">
        <v>435540</v>
      </c>
      <c r="O4" s="31">
        <v>23887</v>
      </c>
      <c r="P4" s="31">
        <v>29294</v>
      </c>
      <c r="Q4" s="31">
        <v>418498</v>
      </c>
      <c r="R4" s="31">
        <v>93983</v>
      </c>
      <c r="S4" s="31">
        <v>18584</v>
      </c>
      <c r="T4" s="31">
        <v>308136</v>
      </c>
      <c r="U4" s="31">
        <v>30174</v>
      </c>
      <c r="V4" s="31">
        <v>196395</v>
      </c>
      <c r="W4" s="31">
        <v>10450</v>
      </c>
      <c r="X4" s="31">
        <v>1452</v>
      </c>
      <c r="Y4" s="31">
        <v>132871</v>
      </c>
      <c r="Z4" s="31">
        <v>1831992</v>
      </c>
      <c r="AA4" s="31">
        <v>18508</v>
      </c>
      <c r="AB4" s="31">
        <v>10975</v>
      </c>
      <c r="AD4" s="52">
        <f t="shared" ref="AD4:AD21" si="0">SUM(B4:AB4)</f>
        <v>4154282</v>
      </c>
    </row>
    <row r="5" spans="1:30" ht="15">
      <c r="A5" s="58" t="s">
        <v>82</v>
      </c>
      <c r="B5" s="31">
        <v>1</v>
      </c>
      <c r="C5" s="31">
        <v>1</v>
      </c>
      <c r="D5" s="31"/>
      <c r="E5" s="31"/>
      <c r="F5" s="31">
        <v>19</v>
      </c>
      <c r="G5" s="31">
        <v>58</v>
      </c>
      <c r="H5" s="31"/>
      <c r="I5" s="31">
        <v>322</v>
      </c>
      <c r="J5" s="31">
        <v>29</v>
      </c>
      <c r="K5" s="31">
        <v>6</v>
      </c>
      <c r="L5" s="31">
        <v>275</v>
      </c>
      <c r="M5" s="31">
        <v>16</v>
      </c>
      <c r="N5" s="31">
        <v>453</v>
      </c>
      <c r="O5" s="31">
        <v>11</v>
      </c>
      <c r="P5" s="31">
        <v>14</v>
      </c>
      <c r="Q5" s="31"/>
      <c r="R5" s="31"/>
      <c r="S5" s="31">
        <v>5</v>
      </c>
      <c r="T5" s="31"/>
      <c r="U5" s="31">
        <v>8</v>
      </c>
      <c r="V5" s="31"/>
      <c r="W5" s="31">
        <v>1</v>
      </c>
      <c r="X5" s="31"/>
      <c r="Y5" s="31">
        <v>2</v>
      </c>
      <c r="Z5" s="31">
        <v>953</v>
      </c>
      <c r="AA5" s="31">
        <v>1</v>
      </c>
      <c r="AB5" s="31">
        <v>2</v>
      </c>
      <c r="AC5" s="18"/>
      <c r="AD5" s="52">
        <f t="shared" si="0"/>
        <v>2177</v>
      </c>
    </row>
    <row r="6" spans="1:30" ht="15">
      <c r="A6" s="58" t="s">
        <v>83</v>
      </c>
      <c r="B6" s="31"/>
      <c r="C6" s="31">
        <v>947</v>
      </c>
      <c r="D6" s="31">
        <v>1</v>
      </c>
      <c r="E6" s="31">
        <v>44</v>
      </c>
      <c r="F6" s="31">
        <v>1559</v>
      </c>
      <c r="G6" s="31">
        <v>3031</v>
      </c>
      <c r="H6" s="31">
        <v>24</v>
      </c>
      <c r="I6" s="31">
        <v>1883</v>
      </c>
      <c r="J6" s="31">
        <v>203</v>
      </c>
      <c r="K6" s="31">
        <v>9</v>
      </c>
      <c r="L6" s="31">
        <v>72</v>
      </c>
      <c r="M6" s="31">
        <v>210</v>
      </c>
      <c r="N6" s="31">
        <v>2363</v>
      </c>
      <c r="O6" s="31">
        <v>13</v>
      </c>
      <c r="P6" s="31">
        <v>1866</v>
      </c>
      <c r="Q6" s="31">
        <v>1537</v>
      </c>
      <c r="R6" s="31">
        <v>2050</v>
      </c>
      <c r="S6" s="31">
        <v>31</v>
      </c>
      <c r="T6" s="31">
        <v>53170</v>
      </c>
      <c r="U6" s="31">
        <v>4799</v>
      </c>
      <c r="V6" s="31">
        <v>2067</v>
      </c>
      <c r="W6" s="31">
        <v>1</v>
      </c>
      <c r="X6" s="31">
        <v>1</v>
      </c>
      <c r="Y6" s="31">
        <v>3727</v>
      </c>
      <c r="Z6" s="31">
        <v>12442</v>
      </c>
      <c r="AA6" s="31">
        <v>1469</v>
      </c>
      <c r="AB6" s="31">
        <v>8</v>
      </c>
      <c r="AC6" s="18"/>
      <c r="AD6" s="52">
        <f t="shared" si="0"/>
        <v>93527</v>
      </c>
    </row>
    <row r="7" spans="1:30" ht="15">
      <c r="A7" s="58" t="s">
        <v>84</v>
      </c>
      <c r="B7" s="31">
        <v>118953</v>
      </c>
      <c r="C7" s="31">
        <v>395268</v>
      </c>
      <c r="D7" s="31">
        <v>102058</v>
      </c>
      <c r="E7" s="31">
        <v>438863</v>
      </c>
      <c r="F7" s="31">
        <v>1850708</v>
      </c>
      <c r="G7" s="31">
        <v>1347334</v>
      </c>
      <c r="H7" s="31">
        <v>1025322</v>
      </c>
      <c r="I7" s="31">
        <v>826919</v>
      </c>
      <c r="J7" s="31">
        <v>1569514</v>
      </c>
      <c r="K7" s="31">
        <v>770023</v>
      </c>
      <c r="L7" s="31">
        <v>895739</v>
      </c>
      <c r="M7" s="31">
        <v>635701</v>
      </c>
      <c r="N7" s="31">
        <v>4948007</v>
      </c>
      <c r="O7" s="31">
        <v>903617</v>
      </c>
      <c r="P7" s="31">
        <v>579327</v>
      </c>
      <c r="Q7" s="31">
        <v>2884328</v>
      </c>
      <c r="R7" s="31">
        <v>1334797</v>
      </c>
      <c r="S7" s="31">
        <v>476193</v>
      </c>
      <c r="T7" s="31">
        <v>2142202</v>
      </c>
      <c r="U7" s="31">
        <v>519541</v>
      </c>
      <c r="V7" s="31">
        <v>2482472</v>
      </c>
      <c r="W7" s="31">
        <v>409556</v>
      </c>
      <c r="X7" s="31">
        <v>93837</v>
      </c>
      <c r="Y7" s="31">
        <v>2202821</v>
      </c>
      <c r="Z7" s="31">
        <v>11737824</v>
      </c>
      <c r="AA7" s="31">
        <v>335598</v>
      </c>
      <c r="AB7" s="31">
        <v>285453</v>
      </c>
      <c r="AC7" s="18"/>
      <c r="AD7" s="52">
        <f t="shared" si="0"/>
        <v>41311975</v>
      </c>
    </row>
    <row r="8" spans="1:30" ht="15">
      <c r="A8" s="58" t="s">
        <v>85</v>
      </c>
      <c r="B8" s="31">
        <v>27395</v>
      </c>
      <c r="C8" s="31">
        <v>70420</v>
      </c>
      <c r="D8" s="31">
        <v>14290</v>
      </c>
      <c r="E8" s="31">
        <v>70857</v>
      </c>
      <c r="F8" s="31">
        <v>378726</v>
      </c>
      <c r="G8" s="31">
        <v>248663</v>
      </c>
      <c r="H8" s="31">
        <v>119342</v>
      </c>
      <c r="I8" s="31">
        <v>204963</v>
      </c>
      <c r="J8" s="31">
        <v>354307</v>
      </c>
      <c r="K8" s="31">
        <v>135820</v>
      </c>
      <c r="L8" s="31">
        <v>258187</v>
      </c>
      <c r="M8" s="31">
        <v>177688</v>
      </c>
      <c r="N8" s="31">
        <v>907766</v>
      </c>
      <c r="O8" s="31">
        <v>198533</v>
      </c>
      <c r="P8" s="31">
        <v>93390</v>
      </c>
      <c r="Q8" s="31">
        <v>754114</v>
      </c>
      <c r="R8" s="31">
        <v>242019</v>
      </c>
      <c r="S8" s="31">
        <v>103607</v>
      </c>
      <c r="T8" s="31">
        <v>367030</v>
      </c>
      <c r="U8" s="31">
        <v>104155</v>
      </c>
      <c r="V8" s="31">
        <v>645549</v>
      </c>
      <c r="W8" s="31">
        <v>101414</v>
      </c>
      <c r="X8" s="31">
        <v>21541</v>
      </c>
      <c r="Y8" s="31">
        <v>449755</v>
      </c>
      <c r="Z8" s="31">
        <v>1883251</v>
      </c>
      <c r="AA8" s="31">
        <v>58498</v>
      </c>
      <c r="AB8" s="31">
        <v>78004</v>
      </c>
      <c r="AC8" s="18"/>
      <c r="AD8" s="52">
        <f t="shared" si="0"/>
        <v>8069284</v>
      </c>
    </row>
    <row r="9" spans="1:30" ht="15">
      <c r="A9" s="58" t="s">
        <v>86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18"/>
      <c r="AD9" s="52">
        <f>SUM(B10:AB10)</f>
        <v>34</v>
      </c>
    </row>
    <row r="10" spans="1:30" ht="15">
      <c r="A10" s="58" t="s">
        <v>87</v>
      </c>
      <c r="B10" s="31"/>
      <c r="C10" s="31"/>
      <c r="D10" s="31"/>
      <c r="E10" s="31"/>
      <c r="F10" s="31">
        <v>3</v>
      </c>
      <c r="G10" s="31"/>
      <c r="H10" s="31">
        <v>2</v>
      </c>
      <c r="I10" s="31">
        <v>1</v>
      </c>
      <c r="J10" s="31">
        <v>2</v>
      </c>
      <c r="K10" s="31">
        <v>1</v>
      </c>
      <c r="L10" s="31"/>
      <c r="M10" s="31">
        <v>1</v>
      </c>
      <c r="N10" s="31">
        <v>1</v>
      </c>
      <c r="O10" s="31"/>
      <c r="P10" s="31"/>
      <c r="Q10" s="31"/>
      <c r="R10" s="31"/>
      <c r="S10" s="31"/>
      <c r="T10" s="31"/>
      <c r="U10" s="31"/>
      <c r="V10" s="31">
        <v>5</v>
      </c>
      <c r="W10" s="31">
        <v>1</v>
      </c>
      <c r="X10" s="31">
        <v>1</v>
      </c>
      <c r="Y10" s="31">
        <v>1</v>
      </c>
      <c r="Z10" s="31">
        <v>15</v>
      </c>
      <c r="AA10" s="31"/>
      <c r="AB10" s="31"/>
      <c r="AC10" s="18"/>
      <c r="AD10" s="52">
        <f>SUM(B11:AB11)</f>
        <v>84</v>
      </c>
    </row>
    <row r="11" spans="1:30" ht="15">
      <c r="A11" s="58" t="s">
        <v>88</v>
      </c>
      <c r="B11" s="31"/>
      <c r="C11" s="31"/>
      <c r="D11" s="31"/>
      <c r="E11" s="31">
        <v>1</v>
      </c>
      <c r="F11" s="31">
        <v>1</v>
      </c>
      <c r="G11" s="31">
        <v>1</v>
      </c>
      <c r="H11" s="31">
        <v>4</v>
      </c>
      <c r="I11" s="31">
        <v>2</v>
      </c>
      <c r="J11" s="31"/>
      <c r="K11" s="31"/>
      <c r="L11" s="31"/>
      <c r="M11" s="31"/>
      <c r="N11" s="31">
        <v>1</v>
      </c>
      <c r="O11" s="31">
        <v>1</v>
      </c>
      <c r="P11" s="31"/>
      <c r="Q11" s="31">
        <v>11</v>
      </c>
      <c r="R11" s="31"/>
      <c r="S11" s="31"/>
      <c r="T11" s="31">
        <v>6</v>
      </c>
      <c r="U11" s="31">
        <v>2</v>
      </c>
      <c r="V11" s="31">
        <v>2</v>
      </c>
      <c r="W11" s="31"/>
      <c r="X11" s="31"/>
      <c r="Y11" s="31">
        <v>31</v>
      </c>
      <c r="Z11" s="31">
        <v>20</v>
      </c>
      <c r="AA11" s="31">
        <v>1</v>
      </c>
      <c r="AB11" s="31"/>
      <c r="AC11" s="18"/>
      <c r="AD11" s="52">
        <f>SUM(B12:AB12)</f>
        <v>2811</v>
      </c>
    </row>
    <row r="12" spans="1:30" ht="15">
      <c r="A12" s="58" t="s">
        <v>89</v>
      </c>
      <c r="B12" s="31"/>
      <c r="C12" s="31">
        <v>12</v>
      </c>
      <c r="D12" s="31">
        <v>1</v>
      </c>
      <c r="E12" s="31">
        <v>7</v>
      </c>
      <c r="F12" s="31">
        <v>27</v>
      </c>
      <c r="G12" s="31">
        <v>47</v>
      </c>
      <c r="H12" s="31">
        <v>54</v>
      </c>
      <c r="I12" s="31">
        <v>49</v>
      </c>
      <c r="J12" s="31">
        <v>30</v>
      </c>
      <c r="K12" s="31">
        <v>6</v>
      </c>
      <c r="L12" s="31">
        <v>6</v>
      </c>
      <c r="M12" s="31">
        <v>9</v>
      </c>
      <c r="N12" s="31">
        <v>120</v>
      </c>
      <c r="O12" s="31">
        <v>5</v>
      </c>
      <c r="P12" s="31">
        <v>17</v>
      </c>
      <c r="Q12" s="31">
        <v>202</v>
      </c>
      <c r="R12" s="31">
        <v>286</v>
      </c>
      <c r="S12" s="31">
        <v>2</v>
      </c>
      <c r="T12" s="31">
        <v>80</v>
      </c>
      <c r="U12" s="31">
        <v>37</v>
      </c>
      <c r="V12" s="31">
        <v>86</v>
      </c>
      <c r="W12" s="31">
        <v>4</v>
      </c>
      <c r="X12" s="31"/>
      <c r="Y12" s="31">
        <v>101</v>
      </c>
      <c r="Z12" s="31">
        <v>1615</v>
      </c>
      <c r="AA12" s="31">
        <v>6</v>
      </c>
      <c r="AB12" s="31">
        <v>2</v>
      </c>
      <c r="AC12" s="18"/>
      <c r="AD12" s="52">
        <f>SUM(B13:AB13)</f>
        <v>2380</v>
      </c>
    </row>
    <row r="13" spans="1:30" ht="15">
      <c r="A13" s="58" t="s">
        <v>90</v>
      </c>
      <c r="B13" s="31">
        <v>13</v>
      </c>
      <c r="C13" s="31"/>
      <c r="D13" s="31">
        <v>9</v>
      </c>
      <c r="E13" s="31">
        <v>39</v>
      </c>
      <c r="F13" s="31">
        <v>28</v>
      </c>
      <c r="G13" s="31">
        <v>11</v>
      </c>
      <c r="H13" s="31">
        <v>71</v>
      </c>
      <c r="I13" s="31">
        <v>15</v>
      </c>
      <c r="J13" s="31">
        <v>49</v>
      </c>
      <c r="K13" s="31">
        <v>85</v>
      </c>
      <c r="L13" s="31">
        <v>218</v>
      </c>
      <c r="M13" s="31">
        <v>38</v>
      </c>
      <c r="N13" s="31">
        <v>123</v>
      </c>
      <c r="O13" s="31">
        <v>45</v>
      </c>
      <c r="P13" s="31">
        <v>2</v>
      </c>
      <c r="Q13" s="31">
        <v>281</v>
      </c>
      <c r="R13" s="31">
        <v>45</v>
      </c>
      <c r="S13" s="31">
        <v>31</v>
      </c>
      <c r="T13" s="31">
        <v>88</v>
      </c>
      <c r="U13" s="31">
        <v>4</v>
      </c>
      <c r="V13" s="31">
        <v>113</v>
      </c>
      <c r="W13" s="31">
        <v>31</v>
      </c>
      <c r="X13" s="31">
        <v>21</v>
      </c>
      <c r="Y13" s="31">
        <v>88</v>
      </c>
      <c r="Z13" s="31">
        <v>912</v>
      </c>
      <c r="AA13" s="31"/>
      <c r="AB13" s="31">
        <v>20</v>
      </c>
      <c r="AC13" s="18"/>
      <c r="AD13" s="52">
        <f>SUM(B13:AB13)</f>
        <v>2380</v>
      </c>
    </row>
    <row r="14" spans="1:30" ht="15">
      <c r="A14" s="58" t="s">
        <v>91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18"/>
      <c r="AD14" s="52">
        <f>SUM(B14:AB14)</f>
        <v>0</v>
      </c>
    </row>
    <row r="15" spans="1:30" ht="15">
      <c r="A15" s="58" t="s">
        <v>92</v>
      </c>
      <c r="B15" s="31"/>
      <c r="C15" s="31">
        <v>1</v>
      </c>
      <c r="D15" s="31"/>
      <c r="E15" s="31">
        <v>7</v>
      </c>
      <c r="F15" s="31">
        <v>21</v>
      </c>
      <c r="G15" s="31"/>
      <c r="H15" s="31">
        <v>2</v>
      </c>
      <c r="I15" s="31">
        <v>9</v>
      </c>
      <c r="J15" s="31">
        <v>24</v>
      </c>
      <c r="K15" s="31">
        <v>2</v>
      </c>
      <c r="L15" s="31">
        <v>3</v>
      </c>
      <c r="M15" s="31">
        <v>2</v>
      </c>
      <c r="N15" s="31">
        <v>15</v>
      </c>
      <c r="O15" s="31"/>
      <c r="P15" s="31">
        <v>1</v>
      </c>
      <c r="Q15" s="31">
        <v>20</v>
      </c>
      <c r="R15" s="31"/>
      <c r="S15" s="31">
        <v>2</v>
      </c>
      <c r="T15" s="31">
        <v>7</v>
      </c>
      <c r="U15" s="31"/>
      <c r="V15" s="31">
        <v>5</v>
      </c>
      <c r="W15" s="31"/>
      <c r="X15" s="31"/>
      <c r="Y15" s="31">
        <v>8</v>
      </c>
      <c r="Z15" s="31">
        <v>73</v>
      </c>
      <c r="AA15" s="31">
        <v>5</v>
      </c>
      <c r="AB15" s="31">
        <v>1</v>
      </c>
      <c r="AC15" s="18"/>
      <c r="AD15" s="52">
        <f t="shared" ref="AD15:AD17" si="1">SUM(B15:AB15)</f>
        <v>208</v>
      </c>
    </row>
    <row r="16" spans="1:30" ht="15">
      <c r="A16" s="58" t="s">
        <v>93</v>
      </c>
      <c r="B16" s="31">
        <v>6</v>
      </c>
      <c r="C16" s="31">
        <v>6</v>
      </c>
      <c r="D16" s="31">
        <v>2</v>
      </c>
      <c r="E16" s="31"/>
      <c r="F16" s="31">
        <v>67</v>
      </c>
      <c r="G16" s="31">
        <v>178</v>
      </c>
      <c r="H16" s="31">
        <v>3</v>
      </c>
      <c r="I16" s="31">
        <v>1854</v>
      </c>
      <c r="J16" s="31">
        <v>85</v>
      </c>
      <c r="K16" s="31">
        <v>7</v>
      </c>
      <c r="L16" s="31">
        <v>12</v>
      </c>
      <c r="M16" s="31">
        <v>32</v>
      </c>
      <c r="N16" s="31">
        <v>67</v>
      </c>
      <c r="O16" s="31"/>
      <c r="P16" s="31">
        <v>33</v>
      </c>
      <c r="Q16" s="31"/>
      <c r="R16" s="31">
        <v>16</v>
      </c>
      <c r="S16" s="31">
        <v>17</v>
      </c>
      <c r="T16" s="31">
        <v>17</v>
      </c>
      <c r="U16" s="31">
        <v>44</v>
      </c>
      <c r="V16" s="31"/>
      <c r="W16" s="31">
        <v>2</v>
      </c>
      <c r="X16" s="31">
        <v>1</v>
      </c>
      <c r="Y16" s="31">
        <v>27</v>
      </c>
      <c r="Z16" s="31">
        <v>7208</v>
      </c>
      <c r="AA16" s="31">
        <v>2</v>
      </c>
      <c r="AB16" s="31">
        <v>178</v>
      </c>
      <c r="AC16" s="18"/>
      <c r="AD16" s="52">
        <f t="shared" si="1"/>
        <v>9864</v>
      </c>
    </row>
    <row r="17" spans="1:61" ht="15">
      <c r="A17" s="58" t="s">
        <v>94</v>
      </c>
      <c r="B17" s="31">
        <v>142049</v>
      </c>
      <c r="C17" s="31">
        <v>363741</v>
      </c>
      <c r="D17" s="31">
        <v>87894</v>
      </c>
      <c r="E17" s="31">
        <v>398506</v>
      </c>
      <c r="F17" s="31">
        <v>1905303</v>
      </c>
      <c r="G17" s="31">
        <v>1545098</v>
      </c>
      <c r="H17" s="31">
        <v>664573</v>
      </c>
      <c r="I17" s="31">
        <v>844698</v>
      </c>
      <c r="J17" s="31">
        <v>1774929</v>
      </c>
      <c r="K17" s="31">
        <v>859132</v>
      </c>
      <c r="L17" s="31">
        <v>936753</v>
      </c>
      <c r="M17" s="31">
        <v>727897</v>
      </c>
      <c r="N17" s="31">
        <v>5210916</v>
      </c>
      <c r="O17" s="31">
        <v>979305</v>
      </c>
      <c r="P17" s="31">
        <v>634607</v>
      </c>
      <c r="Q17" s="31">
        <v>3514609</v>
      </c>
      <c r="R17" s="31">
        <v>1348616</v>
      </c>
      <c r="S17" s="31">
        <v>648852</v>
      </c>
      <c r="T17" s="31">
        <v>2591109</v>
      </c>
      <c r="U17" s="31">
        <v>628770</v>
      </c>
      <c r="V17" s="31">
        <v>3665311</v>
      </c>
      <c r="W17" s="31">
        <v>493439</v>
      </c>
      <c r="X17" s="31">
        <v>112574</v>
      </c>
      <c r="Y17" s="31">
        <v>2353792</v>
      </c>
      <c r="Z17" s="31">
        <v>13831111</v>
      </c>
      <c r="AA17" s="31">
        <v>358464</v>
      </c>
      <c r="AB17" s="31">
        <v>323853</v>
      </c>
      <c r="AC17" s="18"/>
      <c r="AD17" s="52">
        <f t="shared" si="1"/>
        <v>46945901</v>
      </c>
    </row>
    <row r="18" spans="1:61" ht="15">
      <c r="A18" s="58" t="s">
        <v>95</v>
      </c>
      <c r="B18" s="31">
        <v>24</v>
      </c>
      <c r="C18" s="31">
        <v>52</v>
      </c>
      <c r="D18" s="31">
        <v>14</v>
      </c>
      <c r="E18" s="31">
        <v>52</v>
      </c>
      <c r="F18" s="31">
        <v>324</v>
      </c>
      <c r="G18" s="31">
        <v>162</v>
      </c>
      <c r="H18" s="31">
        <v>420</v>
      </c>
      <c r="I18" s="31">
        <v>189</v>
      </c>
      <c r="J18" s="31">
        <v>264</v>
      </c>
      <c r="K18" s="31">
        <v>163</v>
      </c>
      <c r="L18" s="31">
        <v>219</v>
      </c>
      <c r="M18" s="31">
        <v>134</v>
      </c>
      <c r="N18" s="31">
        <v>581</v>
      </c>
      <c r="O18" s="31">
        <v>144</v>
      </c>
      <c r="P18" s="31">
        <v>101</v>
      </c>
      <c r="Q18" s="31">
        <v>385</v>
      </c>
      <c r="R18" s="31">
        <v>188</v>
      </c>
      <c r="S18" s="31">
        <v>69</v>
      </c>
      <c r="T18" s="31">
        <v>478</v>
      </c>
      <c r="U18" s="31">
        <v>77</v>
      </c>
      <c r="V18" s="31">
        <v>366</v>
      </c>
      <c r="W18" s="31">
        <v>53</v>
      </c>
      <c r="X18" s="31">
        <v>7</v>
      </c>
      <c r="Y18" s="31">
        <v>368</v>
      </c>
      <c r="Z18" s="31">
        <v>2198</v>
      </c>
      <c r="AA18" s="31">
        <v>54</v>
      </c>
      <c r="AB18" s="31">
        <v>47</v>
      </c>
      <c r="AC18" s="18"/>
      <c r="AD18" s="52">
        <f t="shared" si="0"/>
        <v>7133</v>
      </c>
    </row>
    <row r="19" spans="1:61" ht="15">
      <c r="A19" s="58" t="s">
        <v>96</v>
      </c>
      <c r="B19" s="31">
        <v>5</v>
      </c>
      <c r="C19" s="31">
        <v>12382</v>
      </c>
      <c r="D19" s="31">
        <v>8</v>
      </c>
      <c r="E19" s="31">
        <v>1818</v>
      </c>
      <c r="F19" s="31">
        <v>35748</v>
      </c>
      <c r="G19" s="31">
        <v>26402</v>
      </c>
      <c r="H19" s="31">
        <v>788</v>
      </c>
      <c r="I19" s="31">
        <v>15426</v>
      </c>
      <c r="J19" s="31">
        <v>1481</v>
      </c>
      <c r="K19" s="31">
        <v>107</v>
      </c>
      <c r="L19" s="31">
        <v>424</v>
      </c>
      <c r="M19" s="31">
        <v>850</v>
      </c>
      <c r="N19" s="31">
        <v>14296</v>
      </c>
      <c r="O19" s="31">
        <v>135</v>
      </c>
      <c r="P19" s="31">
        <v>7310</v>
      </c>
      <c r="Q19" s="31">
        <v>15725</v>
      </c>
      <c r="R19" s="31">
        <v>38135</v>
      </c>
      <c r="S19" s="31">
        <v>301</v>
      </c>
      <c r="T19" s="31">
        <v>736750</v>
      </c>
      <c r="U19" s="31">
        <v>15592</v>
      </c>
      <c r="V19" s="31">
        <v>38974</v>
      </c>
      <c r="W19" s="31">
        <v>28</v>
      </c>
      <c r="X19" s="31">
        <v>31</v>
      </c>
      <c r="Y19" s="31">
        <v>43343</v>
      </c>
      <c r="Z19" s="31">
        <v>65749</v>
      </c>
      <c r="AA19" s="31">
        <v>8905</v>
      </c>
      <c r="AB19" s="31">
        <v>131</v>
      </c>
      <c r="AC19" s="18"/>
      <c r="AD19" s="52">
        <f t="shared" si="0"/>
        <v>1080844</v>
      </c>
    </row>
    <row r="20" spans="1:61" ht="15">
      <c r="A20" s="58" t="s">
        <v>97</v>
      </c>
      <c r="B20" s="31">
        <v>42</v>
      </c>
      <c r="C20" s="31">
        <v>73</v>
      </c>
      <c r="D20" s="31">
        <v>25</v>
      </c>
      <c r="E20" s="31">
        <v>160</v>
      </c>
      <c r="F20" s="31">
        <v>923</v>
      </c>
      <c r="G20" s="31">
        <v>394</v>
      </c>
      <c r="H20" s="31">
        <v>1141</v>
      </c>
      <c r="I20" s="31">
        <v>639</v>
      </c>
      <c r="J20" s="31">
        <v>531</v>
      </c>
      <c r="K20" s="31">
        <v>162</v>
      </c>
      <c r="L20" s="31">
        <v>327</v>
      </c>
      <c r="M20" s="31">
        <v>302</v>
      </c>
      <c r="N20" s="31">
        <v>1592</v>
      </c>
      <c r="O20" s="31">
        <v>214</v>
      </c>
      <c r="P20" s="31">
        <v>162</v>
      </c>
      <c r="Q20" s="31">
        <v>1573</v>
      </c>
      <c r="R20" s="31">
        <v>502</v>
      </c>
      <c r="S20" s="31">
        <v>135</v>
      </c>
      <c r="T20" s="31">
        <v>1444</v>
      </c>
      <c r="U20" s="31">
        <v>147</v>
      </c>
      <c r="V20" s="31">
        <v>1527</v>
      </c>
      <c r="W20" s="31">
        <v>81</v>
      </c>
      <c r="X20" s="31">
        <v>20</v>
      </c>
      <c r="Y20" s="31">
        <v>1586</v>
      </c>
      <c r="Z20" s="31">
        <v>7894</v>
      </c>
      <c r="AA20" s="31">
        <v>111</v>
      </c>
      <c r="AB20" s="31">
        <v>57</v>
      </c>
      <c r="AC20" s="18"/>
      <c r="AD20" s="52">
        <f t="shared" si="0"/>
        <v>21764</v>
      </c>
    </row>
    <row r="21" spans="1:61" ht="15">
      <c r="A21" s="58" t="s">
        <v>98</v>
      </c>
      <c r="B21" s="31">
        <v>11</v>
      </c>
      <c r="C21" s="31">
        <v>9799</v>
      </c>
      <c r="D21" s="31">
        <v>9</v>
      </c>
      <c r="E21" s="31">
        <v>468</v>
      </c>
      <c r="F21" s="31">
        <v>24674</v>
      </c>
      <c r="G21" s="31">
        <v>25029</v>
      </c>
      <c r="H21" s="31">
        <v>758</v>
      </c>
      <c r="I21" s="31">
        <v>21995</v>
      </c>
      <c r="J21" s="31">
        <v>3113</v>
      </c>
      <c r="K21" s="31">
        <v>184</v>
      </c>
      <c r="L21" s="31">
        <v>795</v>
      </c>
      <c r="M21" s="31">
        <v>4077</v>
      </c>
      <c r="N21" s="31">
        <v>22148</v>
      </c>
      <c r="O21" s="31">
        <v>266</v>
      </c>
      <c r="P21" s="31">
        <v>13768</v>
      </c>
      <c r="Q21" s="31">
        <v>23712</v>
      </c>
      <c r="R21" s="31">
        <v>29323</v>
      </c>
      <c r="S21" s="31">
        <v>426</v>
      </c>
      <c r="T21" s="31">
        <v>692947</v>
      </c>
      <c r="U21" s="31">
        <v>31285</v>
      </c>
      <c r="V21" s="31">
        <v>43054</v>
      </c>
      <c r="W21" s="31">
        <v>57</v>
      </c>
      <c r="X21" s="31">
        <v>22</v>
      </c>
      <c r="Y21" s="31">
        <v>60636</v>
      </c>
      <c r="Z21" s="31">
        <v>208709</v>
      </c>
      <c r="AA21" s="31">
        <v>11390</v>
      </c>
      <c r="AB21" s="31">
        <v>156</v>
      </c>
      <c r="AC21" s="18"/>
      <c r="AD21" s="52">
        <f t="shared" si="0"/>
        <v>1228811</v>
      </c>
    </row>
    <row r="22" spans="1:61">
      <c r="A22" s="7"/>
      <c r="B22" s="18"/>
      <c r="C22" s="18"/>
      <c r="AC22" s="18"/>
      <c r="AD22" s="51"/>
    </row>
    <row r="23" spans="1:61">
      <c r="A23" s="1" t="s">
        <v>99</v>
      </c>
      <c r="B23" s="55">
        <f>SUM(B4:B21)</f>
        <v>292123</v>
      </c>
      <c r="C23" s="55">
        <f t="shared" ref="C23:AB23" si="2">SUM(C4:C21)</f>
        <v>876904</v>
      </c>
      <c r="D23" s="55">
        <f t="shared" si="2"/>
        <v>205756</v>
      </c>
      <c r="E23" s="55">
        <f t="shared" si="2"/>
        <v>927018</v>
      </c>
      <c r="F23" s="55">
        <f t="shared" si="2"/>
        <v>4298246</v>
      </c>
      <c r="G23" s="55">
        <f t="shared" si="2"/>
        <v>3257312</v>
      </c>
      <c r="H23" s="55">
        <f t="shared" si="2"/>
        <v>1870448</v>
      </c>
      <c r="I23" s="55">
        <f t="shared" si="2"/>
        <v>1971930</v>
      </c>
      <c r="J23" s="55">
        <f t="shared" si="2"/>
        <v>3864196</v>
      </c>
      <c r="K23" s="55">
        <f t="shared" si="2"/>
        <v>1779566</v>
      </c>
      <c r="L23" s="55">
        <f t="shared" si="2"/>
        <v>2141401</v>
      </c>
      <c r="M23" s="55">
        <f t="shared" si="2"/>
        <v>1601239</v>
      </c>
      <c r="N23" s="55">
        <f t="shared" si="2"/>
        <v>11543989</v>
      </c>
      <c r="O23" s="55">
        <f t="shared" si="2"/>
        <v>2106176</v>
      </c>
      <c r="P23" s="55">
        <f t="shared" si="2"/>
        <v>1359892</v>
      </c>
      <c r="Q23" s="55">
        <f t="shared" si="2"/>
        <v>7614995</v>
      </c>
      <c r="R23" s="55">
        <f t="shared" si="2"/>
        <v>3089960</v>
      </c>
      <c r="S23" s="55">
        <f t="shared" si="2"/>
        <v>1248255</v>
      </c>
      <c r="T23" s="55">
        <f t="shared" si="2"/>
        <v>6893464</v>
      </c>
      <c r="U23" s="55">
        <f t="shared" si="2"/>
        <v>1334635</v>
      </c>
      <c r="V23" s="55">
        <f t="shared" si="2"/>
        <v>7075926</v>
      </c>
      <c r="W23" s="55">
        <f t="shared" si="2"/>
        <v>1015118</v>
      </c>
      <c r="X23" s="55">
        <f t="shared" si="2"/>
        <v>229508</v>
      </c>
      <c r="Y23" s="55">
        <f t="shared" si="2"/>
        <v>5249157</v>
      </c>
      <c r="Z23" s="55">
        <f t="shared" si="2"/>
        <v>29591966</v>
      </c>
      <c r="AA23" s="55">
        <f t="shared" si="2"/>
        <v>793012</v>
      </c>
      <c r="AB23" s="55">
        <f t="shared" si="2"/>
        <v>698887</v>
      </c>
      <c r="AC23" s="8"/>
      <c r="AD23" s="52">
        <f>SUM(AD4:AD21)</f>
        <v>102933459</v>
      </c>
    </row>
    <row r="24" spans="1:6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61">
      <c r="A25" s="98" t="s">
        <v>100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61" s="5" customFormat="1">
      <c r="A26" s="99"/>
      <c r="B26" s="6" t="s">
        <v>53</v>
      </c>
      <c r="C26" s="6" t="s">
        <v>54</v>
      </c>
      <c r="D26" s="6" t="s">
        <v>55</v>
      </c>
      <c r="E26" s="6" t="s">
        <v>56</v>
      </c>
      <c r="F26" s="6" t="s">
        <v>57</v>
      </c>
      <c r="G26" s="6" t="s">
        <v>58</v>
      </c>
      <c r="H26" s="6" t="s">
        <v>59</v>
      </c>
      <c r="I26" s="6" t="s">
        <v>60</v>
      </c>
      <c r="J26" s="6" t="s">
        <v>61</v>
      </c>
      <c r="K26" s="6" t="s">
        <v>62</v>
      </c>
      <c r="L26" s="6" t="s">
        <v>63</v>
      </c>
      <c r="M26" s="6" t="s">
        <v>64</v>
      </c>
      <c r="N26" s="6" t="s">
        <v>65</v>
      </c>
      <c r="O26" s="6" t="s">
        <v>66</v>
      </c>
      <c r="P26" s="6" t="s">
        <v>67</v>
      </c>
      <c r="Q26" s="6" t="s">
        <v>68</v>
      </c>
      <c r="R26" s="6" t="s">
        <v>69</v>
      </c>
      <c r="S26" s="6" t="s">
        <v>70</v>
      </c>
      <c r="T26" s="6" t="s">
        <v>71</v>
      </c>
      <c r="U26" s="6" t="s">
        <v>72</v>
      </c>
      <c r="V26" s="6" t="s">
        <v>73</v>
      </c>
      <c r="W26" s="6" t="s">
        <v>74</v>
      </c>
      <c r="X26" s="6" t="s">
        <v>75</v>
      </c>
      <c r="Y26" s="6" t="s">
        <v>76</v>
      </c>
      <c r="Z26" s="6" t="s">
        <v>77</v>
      </c>
      <c r="AA26" s="6" t="s">
        <v>78</v>
      </c>
      <c r="AB26" s="6" t="s">
        <v>79</v>
      </c>
      <c r="AD26" s="6" t="s">
        <v>80</v>
      </c>
    </row>
    <row r="27" spans="1:61">
      <c r="A27" s="59" t="s">
        <v>81</v>
      </c>
      <c r="B27" s="50">
        <f>B4+B5</f>
        <v>3625</v>
      </c>
      <c r="C27" s="50">
        <f t="shared" ref="C27:AB27" si="3">C4+C5</f>
        <v>24203</v>
      </c>
      <c r="D27" s="50">
        <f t="shared" si="3"/>
        <v>1445</v>
      </c>
      <c r="E27" s="50">
        <f t="shared" si="3"/>
        <v>16196</v>
      </c>
      <c r="F27" s="50">
        <f t="shared" si="3"/>
        <v>100134</v>
      </c>
      <c r="G27" s="50">
        <f t="shared" si="3"/>
        <v>60962</v>
      </c>
      <c r="H27" s="50">
        <f t="shared" si="3"/>
        <v>57944</v>
      </c>
      <c r="I27" s="50">
        <f t="shared" si="3"/>
        <v>53288</v>
      </c>
      <c r="J27" s="50">
        <f t="shared" si="3"/>
        <v>159664</v>
      </c>
      <c r="K27" s="50">
        <f t="shared" si="3"/>
        <v>13865</v>
      </c>
      <c r="L27" s="50">
        <f t="shared" si="3"/>
        <v>48646</v>
      </c>
      <c r="M27" s="50">
        <f t="shared" si="3"/>
        <v>54298</v>
      </c>
      <c r="N27" s="50">
        <f t="shared" si="3"/>
        <v>435993</v>
      </c>
      <c r="O27" s="50">
        <f t="shared" si="3"/>
        <v>23898</v>
      </c>
      <c r="P27" s="50">
        <f t="shared" si="3"/>
        <v>29308</v>
      </c>
      <c r="Q27" s="50">
        <f t="shared" si="3"/>
        <v>418498</v>
      </c>
      <c r="R27" s="50">
        <f t="shared" si="3"/>
        <v>93983</v>
      </c>
      <c r="S27" s="50">
        <f t="shared" si="3"/>
        <v>18589</v>
      </c>
      <c r="T27" s="50">
        <f t="shared" si="3"/>
        <v>308136</v>
      </c>
      <c r="U27" s="50">
        <f t="shared" si="3"/>
        <v>30182</v>
      </c>
      <c r="V27" s="50">
        <f t="shared" si="3"/>
        <v>196395</v>
      </c>
      <c r="W27" s="50">
        <f t="shared" si="3"/>
        <v>10451</v>
      </c>
      <c r="X27" s="50">
        <f t="shared" si="3"/>
        <v>1452</v>
      </c>
      <c r="Y27" s="50">
        <f t="shared" si="3"/>
        <v>132873</v>
      </c>
      <c r="Z27" s="50">
        <f t="shared" si="3"/>
        <v>1832945</v>
      </c>
      <c r="AA27" s="50">
        <f t="shared" si="3"/>
        <v>18509</v>
      </c>
      <c r="AB27" s="50">
        <f t="shared" si="3"/>
        <v>10977</v>
      </c>
      <c r="AC27" s="51"/>
      <c r="AD27" s="52">
        <f t="shared" ref="AD27:AD32" si="4">SUM(B27:AB27)</f>
        <v>4156459</v>
      </c>
      <c r="AH27" s="7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</row>
    <row r="28" spans="1:61">
      <c r="A28" s="59" t="s">
        <v>84</v>
      </c>
      <c r="B28" s="50">
        <f>B7</f>
        <v>118953</v>
      </c>
      <c r="C28" s="50">
        <f t="shared" ref="C28:AB28" si="5">C7</f>
        <v>395268</v>
      </c>
      <c r="D28" s="50">
        <f t="shared" si="5"/>
        <v>102058</v>
      </c>
      <c r="E28" s="50">
        <f t="shared" si="5"/>
        <v>438863</v>
      </c>
      <c r="F28" s="50">
        <f t="shared" si="5"/>
        <v>1850708</v>
      </c>
      <c r="G28" s="50">
        <f t="shared" si="5"/>
        <v>1347334</v>
      </c>
      <c r="H28" s="50">
        <f t="shared" si="5"/>
        <v>1025322</v>
      </c>
      <c r="I28" s="50">
        <f t="shared" si="5"/>
        <v>826919</v>
      </c>
      <c r="J28" s="50">
        <f t="shared" si="5"/>
        <v>1569514</v>
      </c>
      <c r="K28" s="50">
        <f t="shared" si="5"/>
        <v>770023</v>
      </c>
      <c r="L28" s="50">
        <f t="shared" si="5"/>
        <v>895739</v>
      </c>
      <c r="M28" s="50">
        <f t="shared" si="5"/>
        <v>635701</v>
      </c>
      <c r="N28" s="50">
        <f t="shared" si="5"/>
        <v>4948007</v>
      </c>
      <c r="O28" s="50">
        <f t="shared" si="5"/>
        <v>903617</v>
      </c>
      <c r="P28" s="50">
        <f t="shared" si="5"/>
        <v>579327</v>
      </c>
      <c r="Q28" s="50">
        <f t="shared" si="5"/>
        <v>2884328</v>
      </c>
      <c r="R28" s="50">
        <f t="shared" si="5"/>
        <v>1334797</v>
      </c>
      <c r="S28" s="50">
        <f t="shared" si="5"/>
        <v>476193</v>
      </c>
      <c r="T28" s="50">
        <f t="shared" si="5"/>
        <v>2142202</v>
      </c>
      <c r="U28" s="50">
        <f t="shared" si="5"/>
        <v>519541</v>
      </c>
      <c r="V28" s="50">
        <f t="shared" si="5"/>
        <v>2482472</v>
      </c>
      <c r="W28" s="50">
        <f t="shared" si="5"/>
        <v>409556</v>
      </c>
      <c r="X28" s="50">
        <f t="shared" si="5"/>
        <v>93837</v>
      </c>
      <c r="Y28" s="50">
        <f t="shared" si="5"/>
        <v>2202821</v>
      </c>
      <c r="Z28" s="50">
        <f t="shared" si="5"/>
        <v>11737824</v>
      </c>
      <c r="AA28" s="50">
        <f t="shared" si="5"/>
        <v>335598</v>
      </c>
      <c r="AB28" s="50">
        <f t="shared" si="5"/>
        <v>285453</v>
      </c>
      <c r="AC28" s="51"/>
      <c r="AD28" s="52">
        <f t="shared" si="4"/>
        <v>41311975</v>
      </c>
      <c r="AH28" s="7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</row>
    <row r="29" spans="1:61">
      <c r="A29" s="59" t="s">
        <v>85</v>
      </c>
      <c r="B29" s="50">
        <f>B8+B10</f>
        <v>27395</v>
      </c>
      <c r="C29" s="50">
        <f t="shared" ref="C29:AB29" si="6">C8+C10</f>
        <v>70420</v>
      </c>
      <c r="D29" s="50">
        <f t="shared" si="6"/>
        <v>14290</v>
      </c>
      <c r="E29" s="50">
        <f t="shared" si="6"/>
        <v>70857</v>
      </c>
      <c r="F29" s="50">
        <f t="shared" si="6"/>
        <v>378729</v>
      </c>
      <c r="G29" s="50">
        <f t="shared" si="6"/>
        <v>248663</v>
      </c>
      <c r="H29" s="50">
        <f t="shared" si="6"/>
        <v>119344</v>
      </c>
      <c r="I29" s="50">
        <f t="shared" si="6"/>
        <v>204964</v>
      </c>
      <c r="J29" s="50">
        <f t="shared" si="6"/>
        <v>354309</v>
      </c>
      <c r="K29" s="50">
        <f t="shared" si="6"/>
        <v>135821</v>
      </c>
      <c r="L29" s="50">
        <f t="shared" si="6"/>
        <v>258187</v>
      </c>
      <c r="M29" s="50">
        <f t="shared" si="6"/>
        <v>177689</v>
      </c>
      <c r="N29" s="50">
        <f t="shared" si="6"/>
        <v>907767</v>
      </c>
      <c r="O29" s="50">
        <f t="shared" si="6"/>
        <v>198533</v>
      </c>
      <c r="P29" s="50">
        <f t="shared" si="6"/>
        <v>93390</v>
      </c>
      <c r="Q29" s="50">
        <f t="shared" si="6"/>
        <v>754114</v>
      </c>
      <c r="R29" s="50">
        <f t="shared" si="6"/>
        <v>242019</v>
      </c>
      <c r="S29" s="50">
        <f t="shared" si="6"/>
        <v>103607</v>
      </c>
      <c r="T29" s="50">
        <f t="shared" si="6"/>
        <v>367030</v>
      </c>
      <c r="U29" s="50">
        <f t="shared" si="6"/>
        <v>104155</v>
      </c>
      <c r="V29" s="50">
        <f t="shared" si="6"/>
        <v>645554</v>
      </c>
      <c r="W29" s="50">
        <f t="shared" si="6"/>
        <v>101415</v>
      </c>
      <c r="X29" s="50">
        <f t="shared" si="6"/>
        <v>21542</v>
      </c>
      <c r="Y29" s="50">
        <f t="shared" si="6"/>
        <v>449756</v>
      </c>
      <c r="Z29" s="50">
        <f t="shared" si="6"/>
        <v>1883266</v>
      </c>
      <c r="AA29" s="50">
        <f t="shared" si="6"/>
        <v>58498</v>
      </c>
      <c r="AB29" s="50">
        <f t="shared" si="6"/>
        <v>78004</v>
      </c>
      <c r="AC29" s="51"/>
      <c r="AD29" s="52">
        <f t="shared" si="4"/>
        <v>8069318</v>
      </c>
      <c r="AH29" s="7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1">
      <c r="A30" s="59" t="s">
        <v>102</v>
      </c>
      <c r="B30" s="50">
        <f>B9+B12+B13+B14+B18+B20</f>
        <v>79</v>
      </c>
      <c r="C30" s="50">
        <f t="shared" ref="C30:AB30" si="7">C9+C12+C13+C14+C18+C20</f>
        <v>137</v>
      </c>
      <c r="D30" s="50">
        <f t="shared" si="7"/>
        <v>49</v>
      </c>
      <c r="E30" s="50">
        <f t="shared" si="7"/>
        <v>258</v>
      </c>
      <c r="F30" s="50">
        <f t="shared" si="7"/>
        <v>1302</v>
      </c>
      <c r="G30" s="50">
        <f t="shared" si="7"/>
        <v>614</v>
      </c>
      <c r="H30" s="50">
        <f t="shared" si="7"/>
        <v>1686</v>
      </c>
      <c r="I30" s="50">
        <f t="shared" si="7"/>
        <v>892</v>
      </c>
      <c r="J30" s="50">
        <f t="shared" si="7"/>
        <v>874</v>
      </c>
      <c r="K30" s="50">
        <f t="shared" si="7"/>
        <v>416</v>
      </c>
      <c r="L30" s="50">
        <f t="shared" si="7"/>
        <v>770</v>
      </c>
      <c r="M30" s="50">
        <f t="shared" si="7"/>
        <v>483</v>
      </c>
      <c r="N30" s="50">
        <f t="shared" si="7"/>
        <v>2416</v>
      </c>
      <c r="O30" s="50">
        <f t="shared" si="7"/>
        <v>408</v>
      </c>
      <c r="P30" s="50">
        <f t="shared" si="7"/>
        <v>282</v>
      </c>
      <c r="Q30" s="50">
        <f t="shared" si="7"/>
        <v>2441</v>
      </c>
      <c r="R30" s="50">
        <f t="shared" si="7"/>
        <v>1021</v>
      </c>
      <c r="S30" s="50">
        <f t="shared" si="7"/>
        <v>237</v>
      </c>
      <c r="T30" s="50">
        <f t="shared" si="7"/>
        <v>2090</v>
      </c>
      <c r="U30" s="50">
        <f t="shared" si="7"/>
        <v>265</v>
      </c>
      <c r="V30" s="50">
        <f t="shared" si="7"/>
        <v>2092</v>
      </c>
      <c r="W30" s="50">
        <f t="shared" si="7"/>
        <v>169</v>
      </c>
      <c r="X30" s="50">
        <f t="shared" si="7"/>
        <v>48</v>
      </c>
      <c r="Y30" s="50">
        <f t="shared" si="7"/>
        <v>2143</v>
      </c>
      <c r="Z30" s="50">
        <f t="shared" si="7"/>
        <v>12619</v>
      </c>
      <c r="AA30" s="50">
        <f t="shared" si="7"/>
        <v>171</v>
      </c>
      <c r="AB30" s="50">
        <f t="shared" si="7"/>
        <v>126</v>
      </c>
      <c r="AC30" s="51"/>
      <c r="AD30" s="52">
        <f t="shared" si="4"/>
        <v>34088</v>
      </c>
      <c r="AH30" s="7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</row>
    <row r="31" spans="1:61">
      <c r="A31" s="59" t="s">
        <v>16</v>
      </c>
      <c r="B31" s="50">
        <f>B6+B11+B15+B19+B21</f>
        <v>16</v>
      </c>
      <c r="C31" s="50">
        <f t="shared" ref="C31:AB31" si="8">C6+C11+C15+C19+C21</f>
        <v>23129</v>
      </c>
      <c r="D31" s="50">
        <f t="shared" si="8"/>
        <v>18</v>
      </c>
      <c r="E31" s="50">
        <f t="shared" si="8"/>
        <v>2338</v>
      </c>
      <c r="F31" s="50">
        <f t="shared" si="8"/>
        <v>62003</v>
      </c>
      <c r="G31" s="50">
        <f t="shared" si="8"/>
        <v>54463</v>
      </c>
      <c r="H31" s="50">
        <f t="shared" si="8"/>
        <v>1576</v>
      </c>
      <c r="I31" s="50">
        <f t="shared" si="8"/>
        <v>39315</v>
      </c>
      <c r="J31" s="50">
        <f t="shared" si="8"/>
        <v>4821</v>
      </c>
      <c r="K31" s="50">
        <f t="shared" si="8"/>
        <v>302</v>
      </c>
      <c r="L31" s="50">
        <f t="shared" si="8"/>
        <v>1294</v>
      </c>
      <c r="M31" s="50">
        <f t="shared" si="8"/>
        <v>5139</v>
      </c>
      <c r="N31" s="50">
        <f t="shared" si="8"/>
        <v>38823</v>
      </c>
      <c r="O31" s="50">
        <f t="shared" si="8"/>
        <v>415</v>
      </c>
      <c r="P31" s="50">
        <f t="shared" si="8"/>
        <v>22945</v>
      </c>
      <c r="Q31" s="50">
        <f t="shared" si="8"/>
        <v>41005</v>
      </c>
      <c r="R31" s="50">
        <f t="shared" si="8"/>
        <v>69508</v>
      </c>
      <c r="S31" s="50">
        <f t="shared" si="8"/>
        <v>760</v>
      </c>
      <c r="T31" s="50">
        <f t="shared" si="8"/>
        <v>1482880</v>
      </c>
      <c r="U31" s="50">
        <f t="shared" si="8"/>
        <v>51678</v>
      </c>
      <c r="V31" s="50">
        <f t="shared" si="8"/>
        <v>84102</v>
      </c>
      <c r="W31" s="50">
        <f t="shared" si="8"/>
        <v>86</v>
      </c>
      <c r="X31" s="50">
        <f t="shared" si="8"/>
        <v>54</v>
      </c>
      <c r="Y31" s="50">
        <f t="shared" si="8"/>
        <v>107745</v>
      </c>
      <c r="Z31" s="50">
        <f t="shared" si="8"/>
        <v>286993</v>
      </c>
      <c r="AA31" s="50">
        <f t="shared" si="8"/>
        <v>21770</v>
      </c>
      <c r="AB31" s="50">
        <f t="shared" si="8"/>
        <v>296</v>
      </c>
      <c r="AC31" s="51"/>
      <c r="AD31" s="52">
        <f t="shared" si="4"/>
        <v>2403474</v>
      </c>
      <c r="AH31" s="7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</row>
    <row r="32" spans="1:61">
      <c r="A32" s="59" t="s">
        <v>94</v>
      </c>
      <c r="B32" s="50">
        <f>B16+B17</f>
        <v>142055</v>
      </c>
      <c r="C32" s="50">
        <f t="shared" ref="C32:AB32" si="9">C16+C17</f>
        <v>363747</v>
      </c>
      <c r="D32" s="50">
        <f t="shared" si="9"/>
        <v>87896</v>
      </c>
      <c r="E32" s="50">
        <f t="shared" si="9"/>
        <v>398506</v>
      </c>
      <c r="F32" s="50">
        <f t="shared" si="9"/>
        <v>1905370</v>
      </c>
      <c r="G32" s="50">
        <f t="shared" si="9"/>
        <v>1545276</v>
      </c>
      <c r="H32" s="50">
        <f t="shared" si="9"/>
        <v>664576</v>
      </c>
      <c r="I32" s="50">
        <f t="shared" si="9"/>
        <v>846552</v>
      </c>
      <c r="J32" s="50">
        <f t="shared" si="9"/>
        <v>1775014</v>
      </c>
      <c r="K32" s="50">
        <f t="shared" si="9"/>
        <v>859139</v>
      </c>
      <c r="L32" s="50">
        <f t="shared" si="9"/>
        <v>936765</v>
      </c>
      <c r="M32" s="50">
        <f t="shared" si="9"/>
        <v>727929</v>
      </c>
      <c r="N32" s="50">
        <f t="shared" si="9"/>
        <v>5210983</v>
      </c>
      <c r="O32" s="50">
        <f t="shared" si="9"/>
        <v>979305</v>
      </c>
      <c r="P32" s="50">
        <f t="shared" si="9"/>
        <v>634640</v>
      </c>
      <c r="Q32" s="50">
        <f t="shared" si="9"/>
        <v>3514609</v>
      </c>
      <c r="R32" s="50">
        <f t="shared" si="9"/>
        <v>1348632</v>
      </c>
      <c r="S32" s="50">
        <f t="shared" si="9"/>
        <v>648869</v>
      </c>
      <c r="T32" s="50">
        <f t="shared" si="9"/>
        <v>2591126</v>
      </c>
      <c r="U32" s="50">
        <f t="shared" si="9"/>
        <v>628814</v>
      </c>
      <c r="V32" s="50">
        <f t="shared" si="9"/>
        <v>3665311</v>
      </c>
      <c r="W32" s="50">
        <f t="shared" si="9"/>
        <v>493441</v>
      </c>
      <c r="X32" s="50">
        <f t="shared" si="9"/>
        <v>112575</v>
      </c>
      <c r="Y32" s="50">
        <f t="shared" si="9"/>
        <v>2353819</v>
      </c>
      <c r="Z32" s="50">
        <f t="shared" si="9"/>
        <v>13838319</v>
      </c>
      <c r="AA32" s="50">
        <f t="shared" si="9"/>
        <v>358466</v>
      </c>
      <c r="AB32" s="50">
        <f t="shared" si="9"/>
        <v>324031</v>
      </c>
      <c r="AC32" s="51"/>
      <c r="AD32" s="52">
        <f t="shared" si="4"/>
        <v>46955765</v>
      </c>
      <c r="AH32" s="7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</row>
    <row r="33" spans="1:61">
      <c r="A33" s="6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3"/>
      <c r="AH33" s="7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</row>
    <row r="34" spans="1:61">
      <c r="A34" s="59" t="s">
        <v>101</v>
      </c>
      <c r="B34" s="52">
        <f t="shared" ref="B34:AB34" si="10">SUM(B27:B32)</f>
        <v>292123</v>
      </c>
      <c r="C34" s="52">
        <f t="shared" si="10"/>
        <v>876904</v>
      </c>
      <c r="D34" s="52">
        <f t="shared" si="10"/>
        <v>205756</v>
      </c>
      <c r="E34" s="52">
        <f t="shared" si="10"/>
        <v>927018</v>
      </c>
      <c r="F34" s="52">
        <f t="shared" si="10"/>
        <v>4298246</v>
      </c>
      <c r="G34" s="52">
        <f t="shared" si="10"/>
        <v>3257312</v>
      </c>
      <c r="H34" s="52">
        <f t="shared" si="10"/>
        <v>1870448</v>
      </c>
      <c r="I34" s="52">
        <f t="shared" si="10"/>
        <v>1971930</v>
      </c>
      <c r="J34" s="52">
        <f t="shared" si="10"/>
        <v>3864196</v>
      </c>
      <c r="K34" s="52">
        <f t="shared" si="10"/>
        <v>1779566</v>
      </c>
      <c r="L34" s="52">
        <f t="shared" si="10"/>
        <v>2141401</v>
      </c>
      <c r="M34" s="52">
        <f t="shared" si="10"/>
        <v>1601239</v>
      </c>
      <c r="N34" s="52">
        <f t="shared" si="10"/>
        <v>11543989</v>
      </c>
      <c r="O34" s="52">
        <f t="shared" si="10"/>
        <v>2106176</v>
      </c>
      <c r="P34" s="52">
        <f t="shared" si="10"/>
        <v>1359892</v>
      </c>
      <c r="Q34" s="52">
        <f t="shared" si="10"/>
        <v>7614995</v>
      </c>
      <c r="R34" s="52">
        <f t="shared" si="10"/>
        <v>3089960</v>
      </c>
      <c r="S34" s="52">
        <f t="shared" si="10"/>
        <v>1248255</v>
      </c>
      <c r="T34" s="52">
        <f t="shared" si="10"/>
        <v>6893464</v>
      </c>
      <c r="U34" s="52">
        <f t="shared" si="10"/>
        <v>1334635</v>
      </c>
      <c r="V34" s="52">
        <f t="shared" si="10"/>
        <v>7075926</v>
      </c>
      <c r="W34" s="52">
        <f t="shared" si="10"/>
        <v>1015118</v>
      </c>
      <c r="X34" s="52">
        <f t="shared" si="10"/>
        <v>229508</v>
      </c>
      <c r="Y34" s="52">
        <f t="shared" si="10"/>
        <v>5249157</v>
      </c>
      <c r="Z34" s="52">
        <f t="shared" si="10"/>
        <v>29591966</v>
      </c>
      <c r="AA34" s="52">
        <f t="shared" si="10"/>
        <v>793012</v>
      </c>
      <c r="AB34" s="52">
        <f t="shared" si="10"/>
        <v>698887</v>
      </c>
      <c r="AC34" s="51"/>
      <c r="AD34" s="54">
        <f>SUM(AD27:AD32)</f>
        <v>102931079</v>
      </c>
      <c r="AH34" s="7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</row>
    <row r="35" spans="1:61" ht="15.75" customHeight="1">
      <c r="A35" s="7"/>
    </row>
    <row r="36" spans="1:61">
      <c r="A36" s="98" t="s">
        <v>103</v>
      </c>
    </row>
    <row r="37" spans="1:61">
      <c r="A37" s="99"/>
      <c r="B37" s="6" t="s">
        <v>53</v>
      </c>
      <c r="C37" s="6" t="s">
        <v>54</v>
      </c>
      <c r="D37" s="6" t="s">
        <v>55</v>
      </c>
      <c r="E37" s="6" t="s">
        <v>56</v>
      </c>
      <c r="F37" s="6" t="s">
        <v>57</v>
      </c>
      <c r="G37" s="6" t="s">
        <v>58</v>
      </c>
      <c r="H37" s="6" t="s">
        <v>59</v>
      </c>
      <c r="I37" s="6" t="s">
        <v>60</v>
      </c>
      <c r="J37" s="6" t="s">
        <v>61</v>
      </c>
      <c r="K37" s="6" t="s">
        <v>62</v>
      </c>
      <c r="L37" s="6" t="s">
        <v>63</v>
      </c>
      <c r="M37" s="6" t="s">
        <v>64</v>
      </c>
      <c r="N37" s="6" t="s">
        <v>65</v>
      </c>
      <c r="O37" s="6" t="s">
        <v>66</v>
      </c>
      <c r="P37" s="6" t="s">
        <v>67</v>
      </c>
      <c r="Q37" s="6" t="s">
        <v>68</v>
      </c>
      <c r="R37" s="6" t="s">
        <v>69</v>
      </c>
      <c r="S37" s="6" t="s">
        <v>70</v>
      </c>
      <c r="T37" s="6" t="s">
        <v>71</v>
      </c>
      <c r="U37" s="6" t="s">
        <v>72</v>
      </c>
      <c r="V37" s="6" t="s">
        <v>73</v>
      </c>
      <c r="W37" s="6" t="s">
        <v>74</v>
      </c>
      <c r="X37" s="6" t="s">
        <v>75</v>
      </c>
      <c r="Y37" s="6" t="s">
        <v>76</v>
      </c>
      <c r="Z37" s="6" t="s">
        <v>77</v>
      </c>
      <c r="AA37" s="6" t="s">
        <v>78</v>
      </c>
      <c r="AB37" s="6" t="s">
        <v>79</v>
      </c>
      <c r="AD37" s="6" t="s">
        <v>80</v>
      </c>
    </row>
    <row r="38" spans="1:61">
      <c r="A38" s="61" t="s">
        <v>104</v>
      </c>
      <c r="B38" s="20">
        <v>93142</v>
      </c>
      <c r="C38" s="20">
        <v>379379</v>
      </c>
      <c r="D38" s="20">
        <v>87200</v>
      </c>
      <c r="E38" s="20">
        <v>417800</v>
      </c>
      <c r="F38" s="20">
        <v>1932434</v>
      </c>
      <c r="G38" s="20">
        <v>1204562</v>
      </c>
      <c r="H38" s="20">
        <v>1342221</v>
      </c>
      <c r="I38" s="20">
        <v>1000095</v>
      </c>
      <c r="J38" s="20">
        <v>1936112</v>
      </c>
      <c r="K38" s="20">
        <v>464290</v>
      </c>
      <c r="L38" s="20">
        <v>780082</v>
      </c>
      <c r="M38" s="20">
        <v>774406</v>
      </c>
      <c r="N38" s="20">
        <v>6531597</v>
      </c>
      <c r="O38" s="20">
        <v>641406</v>
      </c>
      <c r="P38" s="20">
        <v>561231</v>
      </c>
      <c r="Q38" s="20">
        <v>4624013</v>
      </c>
      <c r="R38" s="20">
        <v>1380403</v>
      </c>
      <c r="S38" s="20">
        <v>383083</v>
      </c>
      <c r="T38" s="20">
        <v>4666410</v>
      </c>
      <c r="U38" s="20">
        <v>584275</v>
      </c>
      <c r="V38" s="20">
        <v>4472286</v>
      </c>
      <c r="W38" s="20">
        <v>302766</v>
      </c>
      <c r="X38" s="20">
        <v>80216</v>
      </c>
      <c r="Y38" s="20">
        <v>3093163</v>
      </c>
      <c r="Z38" s="20">
        <v>18886239</v>
      </c>
      <c r="AA38" s="20">
        <v>345712</v>
      </c>
      <c r="AB38" s="20">
        <v>228486</v>
      </c>
      <c r="AC38" s="18"/>
      <c r="AD38" s="52">
        <f>SUM(B38:AB38)</f>
        <v>57193009</v>
      </c>
    </row>
    <row r="39" spans="1:61">
      <c r="A39" s="61" t="s">
        <v>105</v>
      </c>
      <c r="B39" s="20">
        <v>7505</v>
      </c>
      <c r="C39" s="20">
        <v>22482</v>
      </c>
      <c r="D39" s="20">
        <v>4309</v>
      </c>
      <c r="E39" s="20">
        <v>20684</v>
      </c>
      <c r="F39" s="20">
        <v>123524</v>
      </c>
      <c r="G39" s="20">
        <v>75830</v>
      </c>
      <c r="H39" s="20">
        <v>25110</v>
      </c>
      <c r="I39" s="20">
        <v>76127</v>
      </c>
      <c r="J39" s="20">
        <v>115675</v>
      </c>
      <c r="K39" s="20">
        <v>43104</v>
      </c>
      <c r="L39" s="20">
        <v>78096</v>
      </c>
      <c r="M39" s="20">
        <v>55642</v>
      </c>
      <c r="N39" s="20">
        <v>347574</v>
      </c>
      <c r="O39" s="20">
        <v>64417</v>
      </c>
      <c r="P39" s="20">
        <v>29416</v>
      </c>
      <c r="Q39" s="20">
        <v>280223</v>
      </c>
      <c r="R39" s="20">
        <v>94702</v>
      </c>
      <c r="S39" s="20">
        <v>31482</v>
      </c>
      <c r="T39" s="20">
        <v>146423</v>
      </c>
      <c r="U39" s="20">
        <v>36717</v>
      </c>
      <c r="V39" s="20">
        <v>238006</v>
      </c>
      <c r="W39" s="20">
        <v>31650</v>
      </c>
      <c r="X39" s="20">
        <v>5490</v>
      </c>
      <c r="Y39" s="20">
        <v>158673</v>
      </c>
      <c r="Z39" s="20">
        <v>690494</v>
      </c>
      <c r="AA39" s="20">
        <v>22093</v>
      </c>
      <c r="AB39" s="20">
        <v>23024</v>
      </c>
      <c r="AC39" s="18"/>
      <c r="AD39" s="52">
        <f t="shared" ref="AD39:AD47" si="11">SUM(B39:AB39)</f>
        <v>2848472</v>
      </c>
    </row>
    <row r="40" spans="1:61">
      <c r="A40" s="61" t="s">
        <v>106</v>
      </c>
      <c r="B40" s="20">
        <v>1057</v>
      </c>
      <c r="C40" s="20">
        <v>2682</v>
      </c>
      <c r="D40" s="20">
        <v>396</v>
      </c>
      <c r="E40" s="20">
        <v>3545</v>
      </c>
      <c r="F40" s="20">
        <v>23547</v>
      </c>
      <c r="G40" s="20">
        <v>9603</v>
      </c>
      <c r="H40" s="20">
        <v>3788</v>
      </c>
      <c r="I40" s="20">
        <v>19215</v>
      </c>
      <c r="J40" s="20">
        <v>33580</v>
      </c>
      <c r="K40" s="20">
        <v>5591</v>
      </c>
      <c r="L40" s="20">
        <v>39432</v>
      </c>
      <c r="M40" s="20">
        <v>19330</v>
      </c>
      <c r="N40" s="20">
        <v>80515</v>
      </c>
      <c r="O40" s="20">
        <v>9882</v>
      </c>
      <c r="P40" s="20">
        <v>2874</v>
      </c>
      <c r="Q40" s="20">
        <v>97803</v>
      </c>
      <c r="R40" s="20">
        <v>12881</v>
      </c>
      <c r="S40" s="20">
        <v>3006</v>
      </c>
      <c r="T40" s="20">
        <v>17436</v>
      </c>
      <c r="U40" s="20">
        <v>3915</v>
      </c>
      <c r="V40" s="20">
        <v>63077</v>
      </c>
      <c r="W40" s="20">
        <v>7533</v>
      </c>
      <c r="X40" s="20">
        <v>944</v>
      </c>
      <c r="Y40" s="20">
        <v>58034</v>
      </c>
      <c r="Z40" s="20">
        <v>185468</v>
      </c>
      <c r="AA40" s="20">
        <v>2764</v>
      </c>
      <c r="AB40" s="20">
        <v>6177</v>
      </c>
      <c r="AC40" s="18"/>
      <c r="AD40" s="52">
        <f t="shared" si="11"/>
        <v>714075</v>
      </c>
    </row>
    <row r="41" spans="1:61">
      <c r="A41" s="61" t="s">
        <v>107</v>
      </c>
      <c r="B41" s="20">
        <v>28515</v>
      </c>
      <c r="C41" s="20">
        <v>59172</v>
      </c>
      <c r="D41" s="20">
        <v>23249</v>
      </c>
      <c r="E41" s="20">
        <v>93066</v>
      </c>
      <c r="F41" s="20">
        <v>388389</v>
      </c>
      <c r="G41" s="20">
        <v>205372</v>
      </c>
      <c r="H41" s="20">
        <v>134936</v>
      </c>
      <c r="I41" s="20">
        <v>181701</v>
      </c>
      <c r="J41" s="20">
        <v>381319</v>
      </c>
      <c r="K41" s="20">
        <v>129603</v>
      </c>
      <c r="L41" s="20">
        <v>245355</v>
      </c>
      <c r="M41" s="20">
        <v>173237</v>
      </c>
      <c r="N41" s="20">
        <v>1018878</v>
      </c>
      <c r="O41" s="20">
        <v>162745</v>
      </c>
      <c r="P41" s="20">
        <v>88581</v>
      </c>
      <c r="Q41" s="20">
        <v>704398</v>
      </c>
      <c r="R41" s="20">
        <v>194607</v>
      </c>
      <c r="S41" s="20">
        <v>96394</v>
      </c>
      <c r="T41" s="20">
        <v>363880</v>
      </c>
      <c r="U41" s="20">
        <v>93820</v>
      </c>
      <c r="V41" s="20">
        <v>572820</v>
      </c>
      <c r="W41" s="20">
        <v>103001</v>
      </c>
      <c r="X41" s="20">
        <v>29780</v>
      </c>
      <c r="Y41" s="20">
        <v>429767</v>
      </c>
      <c r="Z41" s="20">
        <v>2070739</v>
      </c>
      <c r="AA41" s="20">
        <v>46245</v>
      </c>
      <c r="AB41" s="20">
        <v>71818</v>
      </c>
      <c r="AC41" s="18"/>
      <c r="AD41" s="52">
        <f t="shared" si="11"/>
        <v>8091387</v>
      </c>
    </row>
    <row r="42" spans="1:61">
      <c r="A42" s="61" t="s">
        <v>108</v>
      </c>
      <c r="B42" s="20">
        <v>4461</v>
      </c>
      <c r="C42" s="20">
        <v>23217</v>
      </c>
      <c r="D42" s="20">
        <v>4770</v>
      </c>
      <c r="E42" s="20">
        <v>27852</v>
      </c>
      <c r="F42" s="20">
        <v>126639</v>
      </c>
      <c r="G42" s="20">
        <v>64436</v>
      </c>
      <c r="H42" s="20">
        <v>93579</v>
      </c>
      <c r="I42" s="20">
        <v>62535</v>
      </c>
      <c r="J42" s="20">
        <v>105862</v>
      </c>
      <c r="K42" s="20">
        <v>25526</v>
      </c>
      <c r="L42" s="20">
        <v>48840</v>
      </c>
      <c r="M42" s="20">
        <v>44015</v>
      </c>
      <c r="N42" s="20">
        <v>363124</v>
      </c>
      <c r="O42" s="20">
        <v>42312</v>
      </c>
      <c r="P42" s="20">
        <v>29743</v>
      </c>
      <c r="Q42" s="20">
        <v>265254</v>
      </c>
      <c r="R42" s="20">
        <v>96000</v>
      </c>
      <c r="S42" s="20">
        <v>18275</v>
      </c>
      <c r="T42" s="20">
        <v>317511</v>
      </c>
      <c r="U42" s="20">
        <v>32033</v>
      </c>
      <c r="V42" s="20">
        <v>291759</v>
      </c>
      <c r="W42" s="20">
        <v>14007</v>
      </c>
      <c r="X42" s="20">
        <v>5293</v>
      </c>
      <c r="Y42" s="20">
        <v>211692</v>
      </c>
      <c r="Z42" s="20">
        <v>1306387</v>
      </c>
      <c r="AA42" s="20">
        <v>17614</v>
      </c>
      <c r="AB42" s="20">
        <v>11856</v>
      </c>
      <c r="AC42" s="18"/>
      <c r="AD42" s="52">
        <f t="shared" si="11"/>
        <v>3654592</v>
      </c>
    </row>
    <row r="43" spans="1:61">
      <c r="A43" s="61" t="s">
        <v>109</v>
      </c>
      <c r="B43" s="20">
        <v>384</v>
      </c>
      <c r="C43" s="20">
        <v>7045</v>
      </c>
      <c r="D43" s="20">
        <v>475</v>
      </c>
      <c r="E43" s="20">
        <v>3599</v>
      </c>
      <c r="F43" s="20">
        <v>30643</v>
      </c>
      <c r="G43" s="20">
        <v>12882</v>
      </c>
      <c r="H43" s="20">
        <v>6233</v>
      </c>
      <c r="I43" s="20">
        <v>8707</v>
      </c>
      <c r="J43" s="20">
        <v>10495</v>
      </c>
      <c r="K43" s="20">
        <v>5320</v>
      </c>
      <c r="L43" s="20">
        <v>4022</v>
      </c>
      <c r="M43" s="20">
        <v>4211</v>
      </c>
      <c r="N43" s="20">
        <v>49471</v>
      </c>
      <c r="O43" s="20">
        <v>6970</v>
      </c>
      <c r="P43" s="20">
        <v>5077</v>
      </c>
      <c r="Q43" s="20">
        <v>24198</v>
      </c>
      <c r="R43" s="20">
        <v>19673</v>
      </c>
      <c r="S43" s="20">
        <v>4392</v>
      </c>
      <c r="T43" s="20">
        <v>40155</v>
      </c>
      <c r="U43" s="20">
        <v>5397</v>
      </c>
      <c r="V43" s="20">
        <v>21984</v>
      </c>
      <c r="W43" s="20">
        <v>1378</v>
      </c>
      <c r="X43" s="20">
        <v>733</v>
      </c>
      <c r="Y43" s="20">
        <v>12815</v>
      </c>
      <c r="Z43" s="20">
        <v>124967</v>
      </c>
      <c r="AA43" s="20">
        <v>3556</v>
      </c>
      <c r="AB43" s="20">
        <v>1672</v>
      </c>
      <c r="AC43" s="18"/>
      <c r="AD43" s="52">
        <f t="shared" si="11"/>
        <v>416454</v>
      </c>
    </row>
    <row r="44" spans="1:61">
      <c r="A44" s="61" t="s">
        <v>110</v>
      </c>
      <c r="B44" s="20">
        <v>125355</v>
      </c>
      <c r="C44" s="20">
        <v>312994</v>
      </c>
      <c r="D44" s="20">
        <v>68271</v>
      </c>
      <c r="E44" s="20">
        <v>278276</v>
      </c>
      <c r="F44" s="20">
        <v>1367306</v>
      </c>
      <c r="G44" s="20">
        <v>1443564</v>
      </c>
      <c r="H44" s="20">
        <v>202218</v>
      </c>
      <c r="I44" s="20">
        <v>465654</v>
      </c>
      <c r="J44" s="20">
        <v>910060</v>
      </c>
      <c r="K44" s="20">
        <v>902607</v>
      </c>
      <c r="L44" s="20">
        <v>656440</v>
      </c>
      <c r="M44" s="20">
        <v>385591</v>
      </c>
      <c r="N44" s="20">
        <v>2631436</v>
      </c>
      <c r="O44" s="20">
        <v>931017</v>
      </c>
      <c r="P44" s="20">
        <v>518631</v>
      </c>
      <c r="Q44" s="20">
        <v>1214517</v>
      </c>
      <c r="R44" s="20">
        <v>1089605</v>
      </c>
      <c r="S44" s="20">
        <v>582541</v>
      </c>
      <c r="T44" s="20">
        <v>1002742</v>
      </c>
      <c r="U44" s="20">
        <v>457933</v>
      </c>
      <c r="V44" s="20">
        <v>1115512</v>
      </c>
      <c r="W44" s="20">
        <v>411348</v>
      </c>
      <c r="X44" s="20">
        <v>82528</v>
      </c>
      <c r="Y44" s="20">
        <v>906837</v>
      </c>
      <c r="Z44" s="20">
        <v>4858472</v>
      </c>
      <c r="AA44" s="20">
        <v>267107</v>
      </c>
      <c r="AB44" s="20">
        <v>243070</v>
      </c>
      <c r="AC44" s="18"/>
      <c r="AD44" s="52">
        <f t="shared" si="11"/>
        <v>23431632</v>
      </c>
    </row>
    <row r="45" spans="1:61">
      <c r="A45" s="59" t="s">
        <v>111</v>
      </c>
      <c r="B45" s="20">
        <v>28508</v>
      </c>
      <c r="C45" s="20">
        <v>43757</v>
      </c>
      <c r="D45" s="20">
        <v>13645</v>
      </c>
      <c r="E45" s="20">
        <v>63578</v>
      </c>
      <c r="F45" s="20">
        <v>212073</v>
      </c>
      <c r="G45" s="20">
        <v>179627</v>
      </c>
      <c r="H45" s="20">
        <v>21349</v>
      </c>
      <c r="I45" s="20">
        <v>116173</v>
      </c>
      <c r="J45" s="20">
        <v>293888</v>
      </c>
      <c r="K45" s="20">
        <v>171817</v>
      </c>
      <c r="L45" s="20">
        <v>249616</v>
      </c>
      <c r="M45" s="20">
        <v>117941</v>
      </c>
      <c r="N45" s="20">
        <v>311510</v>
      </c>
      <c r="O45" s="20">
        <v>208053</v>
      </c>
      <c r="P45" s="20">
        <v>72554</v>
      </c>
      <c r="Q45" s="20">
        <v>313737</v>
      </c>
      <c r="R45" s="20">
        <v>118446</v>
      </c>
      <c r="S45" s="20">
        <v>104445</v>
      </c>
      <c r="T45" s="20">
        <v>181823</v>
      </c>
      <c r="U45" s="20">
        <v>66249</v>
      </c>
      <c r="V45" s="20">
        <v>198301</v>
      </c>
      <c r="W45" s="20">
        <v>129690</v>
      </c>
      <c r="X45" s="20">
        <v>21046</v>
      </c>
      <c r="Y45" s="20">
        <v>287272</v>
      </c>
      <c r="Z45" s="20">
        <v>977745</v>
      </c>
      <c r="AA45" s="20">
        <v>48364</v>
      </c>
      <c r="AB45" s="20">
        <v>100485</v>
      </c>
      <c r="AC45" s="18"/>
      <c r="AD45" s="52">
        <f t="shared" si="11"/>
        <v>4651692</v>
      </c>
    </row>
    <row r="46" spans="1:61">
      <c r="A46" s="59" t="s">
        <v>112</v>
      </c>
      <c r="B46" s="20">
        <v>1244</v>
      </c>
      <c r="C46" s="20">
        <v>8437</v>
      </c>
      <c r="D46" s="20">
        <v>1299</v>
      </c>
      <c r="E46" s="20">
        <v>9378</v>
      </c>
      <c r="F46" s="20">
        <v>42011</v>
      </c>
      <c r="G46" s="20">
        <v>18447</v>
      </c>
      <c r="H46" s="20">
        <v>13440</v>
      </c>
      <c r="I46" s="20">
        <v>15305</v>
      </c>
      <c r="J46" s="20">
        <v>23849</v>
      </c>
      <c r="K46" s="20">
        <v>9795</v>
      </c>
      <c r="L46" s="20">
        <v>12696</v>
      </c>
      <c r="M46" s="20">
        <v>10110</v>
      </c>
      <c r="N46" s="20">
        <v>81972</v>
      </c>
      <c r="O46" s="20">
        <v>19313</v>
      </c>
      <c r="P46" s="20">
        <v>7816</v>
      </c>
      <c r="Q46" s="20">
        <v>46377</v>
      </c>
      <c r="R46" s="20">
        <v>20758</v>
      </c>
      <c r="S46" s="20">
        <v>8385</v>
      </c>
      <c r="T46" s="20">
        <v>44674</v>
      </c>
      <c r="U46" s="20">
        <v>7591</v>
      </c>
      <c r="V46" s="20">
        <v>42432</v>
      </c>
      <c r="W46" s="20">
        <v>6577</v>
      </c>
      <c r="X46" s="20">
        <v>1245</v>
      </c>
      <c r="Y46" s="20">
        <v>20620</v>
      </c>
      <c r="Z46" s="20">
        <v>165719</v>
      </c>
      <c r="AA46" s="20">
        <v>7590</v>
      </c>
      <c r="AB46" s="20">
        <v>5735</v>
      </c>
      <c r="AC46" s="18"/>
      <c r="AD46" s="52">
        <f t="shared" si="11"/>
        <v>652815</v>
      </c>
    </row>
    <row r="47" spans="1:61">
      <c r="A47" s="59" t="s">
        <v>113</v>
      </c>
      <c r="B47" s="20">
        <v>1413</v>
      </c>
      <c r="C47" s="20">
        <v>7161</v>
      </c>
      <c r="D47" s="20">
        <v>1077</v>
      </c>
      <c r="E47" s="20">
        <v>5738</v>
      </c>
      <c r="F47" s="20">
        <v>35480</v>
      </c>
      <c r="G47" s="20">
        <v>37581</v>
      </c>
      <c r="H47" s="20">
        <v>32565</v>
      </c>
      <c r="I47" s="20">
        <v>22391</v>
      </c>
      <c r="J47" s="20">
        <v>34256</v>
      </c>
      <c r="K47" s="20">
        <v>11641</v>
      </c>
      <c r="L47" s="20">
        <v>18639</v>
      </c>
      <c r="M47" s="20">
        <v>15306</v>
      </c>
      <c r="N47" s="20">
        <v>89582</v>
      </c>
      <c r="O47" s="20">
        <v>14996</v>
      </c>
      <c r="P47" s="20">
        <v>13359</v>
      </c>
      <c r="Q47" s="20">
        <v>74275</v>
      </c>
      <c r="R47" s="20">
        <v>24436</v>
      </c>
      <c r="S47" s="20">
        <v>8489</v>
      </c>
      <c r="T47" s="20">
        <v>71638</v>
      </c>
      <c r="U47" s="20">
        <v>19533</v>
      </c>
      <c r="V47" s="20">
        <v>74799</v>
      </c>
      <c r="W47" s="20">
        <v>4688</v>
      </c>
      <c r="X47" s="20">
        <v>1438</v>
      </c>
      <c r="Y47" s="20">
        <v>78504</v>
      </c>
      <c r="Z47" s="20">
        <v>333748</v>
      </c>
      <c r="AA47" s="20">
        <v>5657</v>
      </c>
      <c r="AB47" s="20">
        <v>4538</v>
      </c>
      <c r="AC47" s="18"/>
      <c r="AD47" s="52">
        <f t="shared" si="11"/>
        <v>1042928</v>
      </c>
    </row>
    <row r="48" spans="1:61">
      <c r="A48" s="60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8"/>
      <c r="AD48" s="56"/>
    </row>
    <row r="49" spans="1:62">
      <c r="A49" s="59" t="s">
        <v>80</v>
      </c>
      <c r="B49" s="52">
        <f>SUM(B38:B47)</f>
        <v>291584</v>
      </c>
      <c r="C49" s="52">
        <f t="shared" ref="C49:AB49" si="12">SUM(C38:C47)</f>
        <v>866326</v>
      </c>
      <c r="D49" s="52">
        <f t="shared" si="12"/>
        <v>204691</v>
      </c>
      <c r="E49" s="52">
        <f t="shared" si="12"/>
        <v>923516</v>
      </c>
      <c r="F49" s="52">
        <f t="shared" si="12"/>
        <v>4282046</v>
      </c>
      <c r="G49" s="52">
        <f t="shared" si="12"/>
        <v>3251904</v>
      </c>
      <c r="H49" s="52">
        <f t="shared" si="12"/>
        <v>1875439</v>
      </c>
      <c r="I49" s="52">
        <f t="shared" si="12"/>
        <v>1967903</v>
      </c>
      <c r="J49" s="52">
        <f t="shared" si="12"/>
        <v>3845096</v>
      </c>
      <c r="K49" s="52">
        <f t="shared" si="12"/>
        <v>1769294</v>
      </c>
      <c r="L49" s="52">
        <f t="shared" si="12"/>
        <v>2133218</v>
      </c>
      <c r="M49" s="52">
        <f t="shared" si="12"/>
        <v>1599789</v>
      </c>
      <c r="N49" s="52">
        <f t="shared" si="12"/>
        <v>11505659</v>
      </c>
      <c r="O49" s="52">
        <f t="shared" si="12"/>
        <v>2101111</v>
      </c>
      <c r="P49" s="52">
        <f t="shared" si="12"/>
        <v>1329282</v>
      </c>
      <c r="Q49" s="52">
        <f t="shared" si="12"/>
        <v>7644795</v>
      </c>
      <c r="R49" s="52">
        <f t="shared" si="12"/>
        <v>3051511</v>
      </c>
      <c r="S49" s="52">
        <f t="shared" si="12"/>
        <v>1240492</v>
      </c>
      <c r="T49" s="52">
        <f t="shared" si="12"/>
        <v>6852692</v>
      </c>
      <c r="U49" s="52">
        <f t="shared" si="12"/>
        <v>1307463</v>
      </c>
      <c r="V49" s="52">
        <f t="shared" si="12"/>
        <v>7090976</v>
      </c>
      <c r="W49" s="52">
        <f t="shared" si="12"/>
        <v>1012638</v>
      </c>
      <c r="X49" s="52">
        <f t="shared" si="12"/>
        <v>228713</v>
      </c>
      <c r="Y49" s="52">
        <f t="shared" si="12"/>
        <v>5257377</v>
      </c>
      <c r="Z49" s="52">
        <f t="shared" si="12"/>
        <v>29599978</v>
      </c>
      <c r="AA49" s="52">
        <f t="shared" si="12"/>
        <v>766702</v>
      </c>
      <c r="AB49" s="52">
        <f t="shared" si="12"/>
        <v>696861</v>
      </c>
      <c r="AC49" s="12"/>
      <c r="AD49" s="54">
        <f>SUM(AD38:AD47)</f>
        <v>102697056</v>
      </c>
    </row>
    <row r="51" spans="1:62">
      <c r="J51" t="s">
        <v>114</v>
      </c>
      <c r="L51" s="87">
        <f>ROUND(AD34/AD49,7)</f>
        <v>1.0022788</v>
      </c>
    </row>
    <row r="54" spans="1:62" ht="15.75" customHeight="1">
      <c r="A54" s="96" t="s">
        <v>115</v>
      </c>
    </row>
    <row r="55" spans="1:62" s="5" customFormat="1">
      <c r="A55" s="97"/>
      <c r="B55" s="16" t="s">
        <v>53</v>
      </c>
      <c r="C55" s="16" t="s">
        <v>54</v>
      </c>
      <c r="D55" s="16" t="s">
        <v>55</v>
      </c>
      <c r="E55" s="16" t="s">
        <v>56</v>
      </c>
      <c r="F55" s="16" t="s">
        <v>57</v>
      </c>
      <c r="G55" s="16" t="s">
        <v>58</v>
      </c>
      <c r="H55" s="16" t="s">
        <v>59</v>
      </c>
      <c r="I55" s="16" t="s">
        <v>60</v>
      </c>
      <c r="J55" s="16" t="s">
        <v>61</v>
      </c>
      <c r="K55" s="16" t="s">
        <v>62</v>
      </c>
      <c r="L55" s="16" t="s">
        <v>63</v>
      </c>
      <c r="M55" s="16" t="s">
        <v>64</v>
      </c>
      <c r="N55" s="16" t="s">
        <v>65</v>
      </c>
      <c r="O55" s="16" t="s">
        <v>66</v>
      </c>
      <c r="P55" s="16" t="s">
        <v>67</v>
      </c>
      <c r="Q55" s="16" t="s">
        <v>68</v>
      </c>
      <c r="R55" s="16" t="s">
        <v>69</v>
      </c>
      <c r="S55" s="16" t="s">
        <v>70</v>
      </c>
      <c r="T55" s="16" t="s">
        <v>71</v>
      </c>
      <c r="U55" s="16" t="s">
        <v>72</v>
      </c>
      <c r="V55" s="16" t="s">
        <v>73</v>
      </c>
      <c r="W55" s="16" t="s">
        <v>74</v>
      </c>
      <c r="X55" s="16" t="s">
        <v>75</v>
      </c>
      <c r="Y55" s="16" t="s">
        <v>76</v>
      </c>
      <c r="Z55" s="16" t="s">
        <v>77</v>
      </c>
      <c r="AA55" s="16" t="s">
        <v>78</v>
      </c>
      <c r="AB55" s="16" t="s">
        <v>79</v>
      </c>
      <c r="AD55" s="6" t="s">
        <v>80</v>
      </c>
    </row>
    <row r="56" spans="1:62">
      <c r="A56" s="86" t="s">
        <v>104</v>
      </c>
      <c r="B56" s="50">
        <f t="shared" ref="B56:AB56" si="13">ROUND(B38*$L$51,0)</f>
        <v>93354</v>
      </c>
      <c r="C56" s="50">
        <f t="shared" si="13"/>
        <v>380244</v>
      </c>
      <c r="D56" s="50">
        <f t="shared" si="13"/>
        <v>87399</v>
      </c>
      <c r="E56" s="50">
        <f t="shared" si="13"/>
        <v>418752</v>
      </c>
      <c r="F56" s="50">
        <f t="shared" si="13"/>
        <v>1936838</v>
      </c>
      <c r="G56" s="50">
        <f t="shared" si="13"/>
        <v>1207307</v>
      </c>
      <c r="H56" s="50">
        <f t="shared" si="13"/>
        <v>1345280</v>
      </c>
      <c r="I56" s="50">
        <f t="shared" si="13"/>
        <v>1002374</v>
      </c>
      <c r="J56" s="50">
        <f t="shared" si="13"/>
        <v>1940524</v>
      </c>
      <c r="K56" s="50">
        <f t="shared" si="13"/>
        <v>465348</v>
      </c>
      <c r="L56" s="50">
        <f t="shared" si="13"/>
        <v>781860</v>
      </c>
      <c r="M56" s="50">
        <f t="shared" si="13"/>
        <v>776171</v>
      </c>
      <c r="N56" s="50">
        <f t="shared" si="13"/>
        <v>6546481</v>
      </c>
      <c r="O56" s="50">
        <f t="shared" si="13"/>
        <v>642868</v>
      </c>
      <c r="P56" s="50">
        <f t="shared" si="13"/>
        <v>562510</v>
      </c>
      <c r="Q56" s="50">
        <f t="shared" si="13"/>
        <v>4634550</v>
      </c>
      <c r="R56" s="50">
        <f t="shared" si="13"/>
        <v>1383549</v>
      </c>
      <c r="S56" s="50">
        <f t="shared" si="13"/>
        <v>383956</v>
      </c>
      <c r="T56" s="50">
        <f t="shared" si="13"/>
        <v>4677044</v>
      </c>
      <c r="U56" s="50">
        <f t="shared" si="13"/>
        <v>585606</v>
      </c>
      <c r="V56" s="50">
        <f t="shared" si="13"/>
        <v>4482477</v>
      </c>
      <c r="W56" s="50">
        <f t="shared" si="13"/>
        <v>303456</v>
      </c>
      <c r="X56" s="50">
        <f t="shared" si="13"/>
        <v>80399</v>
      </c>
      <c r="Y56" s="50">
        <f t="shared" si="13"/>
        <v>3100212</v>
      </c>
      <c r="Z56" s="50">
        <f t="shared" si="13"/>
        <v>18929277</v>
      </c>
      <c r="AA56" s="50">
        <f t="shared" si="13"/>
        <v>346500</v>
      </c>
      <c r="AB56" s="50">
        <f t="shared" si="13"/>
        <v>229007</v>
      </c>
      <c r="AC56" s="51"/>
      <c r="AD56" s="52">
        <f t="shared" ref="AD56:AD65" si="14">SUM(B56:AB56)</f>
        <v>57323343</v>
      </c>
      <c r="AH56" s="7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</row>
    <row r="57" spans="1:62" s="14" customFormat="1">
      <c r="A57" s="86" t="s">
        <v>105</v>
      </c>
      <c r="B57" s="50">
        <f t="shared" ref="B57:AB57" si="15">ROUND(B39*$L$51,0)</f>
        <v>7522</v>
      </c>
      <c r="C57" s="50">
        <f t="shared" si="15"/>
        <v>22533</v>
      </c>
      <c r="D57" s="50">
        <f t="shared" si="15"/>
        <v>4319</v>
      </c>
      <c r="E57" s="50">
        <f t="shared" si="15"/>
        <v>20731</v>
      </c>
      <c r="F57" s="50">
        <f t="shared" si="15"/>
        <v>123805</v>
      </c>
      <c r="G57" s="50">
        <f t="shared" si="15"/>
        <v>76003</v>
      </c>
      <c r="H57" s="50">
        <f t="shared" si="15"/>
        <v>25167</v>
      </c>
      <c r="I57" s="50">
        <f t="shared" si="15"/>
        <v>76300</v>
      </c>
      <c r="J57" s="50">
        <f t="shared" si="15"/>
        <v>115939</v>
      </c>
      <c r="K57" s="50">
        <f t="shared" si="15"/>
        <v>43202</v>
      </c>
      <c r="L57" s="50">
        <f t="shared" si="15"/>
        <v>78274</v>
      </c>
      <c r="M57" s="50">
        <f t="shared" si="15"/>
        <v>55769</v>
      </c>
      <c r="N57" s="50">
        <f t="shared" si="15"/>
        <v>348366</v>
      </c>
      <c r="O57" s="50">
        <f t="shared" si="15"/>
        <v>64564</v>
      </c>
      <c r="P57" s="50">
        <f t="shared" si="15"/>
        <v>29483</v>
      </c>
      <c r="Q57" s="50">
        <f t="shared" si="15"/>
        <v>280862</v>
      </c>
      <c r="R57" s="50">
        <f t="shared" si="15"/>
        <v>94918</v>
      </c>
      <c r="S57" s="50">
        <f t="shared" si="15"/>
        <v>31554</v>
      </c>
      <c r="T57" s="50">
        <f t="shared" si="15"/>
        <v>146757</v>
      </c>
      <c r="U57" s="50">
        <f t="shared" si="15"/>
        <v>36801</v>
      </c>
      <c r="V57" s="50">
        <f t="shared" si="15"/>
        <v>238548</v>
      </c>
      <c r="W57" s="50">
        <f t="shared" si="15"/>
        <v>31722</v>
      </c>
      <c r="X57" s="50">
        <f t="shared" si="15"/>
        <v>5503</v>
      </c>
      <c r="Y57" s="50">
        <f t="shared" si="15"/>
        <v>159035</v>
      </c>
      <c r="Z57" s="50">
        <f t="shared" si="15"/>
        <v>692067</v>
      </c>
      <c r="AA57" s="50">
        <f t="shared" si="15"/>
        <v>22143</v>
      </c>
      <c r="AB57" s="50">
        <f t="shared" si="15"/>
        <v>23076</v>
      </c>
      <c r="AC57" s="57"/>
      <c r="AD57" s="52">
        <f t="shared" si="14"/>
        <v>2854963</v>
      </c>
      <c r="AH57" s="15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</row>
    <row r="58" spans="1:62" s="14" customFormat="1">
      <c r="A58" s="86" t="s">
        <v>106</v>
      </c>
      <c r="B58" s="50">
        <f t="shared" ref="B58:AB58" si="16">ROUND(B40*$L$51,0)</f>
        <v>1059</v>
      </c>
      <c r="C58" s="50">
        <f t="shared" si="16"/>
        <v>2688</v>
      </c>
      <c r="D58" s="50">
        <f t="shared" si="16"/>
        <v>397</v>
      </c>
      <c r="E58" s="50">
        <f t="shared" si="16"/>
        <v>3553</v>
      </c>
      <c r="F58" s="50">
        <f t="shared" si="16"/>
        <v>23601</v>
      </c>
      <c r="G58" s="50">
        <f t="shared" si="16"/>
        <v>9625</v>
      </c>
      <c r="H58" s="50">
        <f t="shared" si="16"/>
        <v>3797</v>
      </c>
      <c r="I58" s="50">
        <f t="shared" si="16"/>
        <v>19259</v>
      </c>
      <c r="J58" s="50">
        <f t="shared" si="16"/>
        <v>33657</v>
      </c>
      <c r="K58" s="50">
        <f t="shared" si="16"/>
        <v>5604</v>
      </c>
      <c r="L58" s="50">
        <f t="shared" si="16"/>
        <v>39522</v>
      </c>
      <c r="M58" s="50">
        <f t="shared" si="16"/>
        <v>19374</v>
      </c>
      <c r="N58" s="50">
        <f t="shared" si="16"/>
        <v>80698</v>
      </c>
      <c r="O58" s="50">
        <f t="shared" si="16"/>
        <v>9905</v>
      </c>
      <c r="P58" s="50">
        <f t="shared" si="16"/>
        <v>2881</v>
      </c>
      <c r="Q58" s="50">
        <f t="shared" si="16"/>
        <v>98026</v>
      </c>
      <c r="R58" s="50">
        <f t="shared" si="16"/>
        <v>12910</v>
      </c>
      <c r="S58" s="50">
        <f t="shared" si="16"/>
        <v>3013</v>
      </c>
      <c r="T58" s="50">
        <f t="shared" si="16"/>
        <v>17476</v>
      </c>
      <c r="U58" s="50">
        <f t="shared" si="16"/>
        <v>3924</v>
      </c>
      <c r="V58" s="50">
        <f t="shared" si="16"/>
        <v>63221</v>
      </c>
      <c r="W58" s="50">
        <f t="shared" si="16"/>
        <v>7550</v>
      </c>
      <c r="X58" s="50">
        <f t="shared" si="16"/>
        <v>946</v>
      </c>
      <c r="Y58" s="50">
        <f t="shared" si="16"/>
        <v>58166</v>
      </c>
      <c r="Z58" s="50">
        <f t="shared" si="16"/>
        <v>185891</v>
      </c>
      <c r="AA58" s="50">
        <f t="shared" si="16"/>
        <v>2770</v>
      </c>
      <c r="AB58" s="50">
        <f t="shared" si="16"/>
        <v>6191</v>
      </c>
      <c r="AC58" s="57"/>
      <c r="AD58" s="52">
        <f t="shared" si="14"/>
        <v>715704</v>
      </c>
      <c r="AH58" s="15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</row>
    <row r="59" spans="1:62">
      <c r="A59" s="86" t="s">
        <v>107</v>
      </c>
      <c r="B59" s="50">
        <f t="shared" ref="B59:AB59" si="17">ROUND(B41*$L$51,0)</f>
        <v>28580</v>
      </c>
      <c r="C59" s="50">
        <f t="shared" si="17"/>
        <v>59307</v>
      </c>
      <c r="D59" s="50">
        <f t="shared" si="17"/>
        <v>23302</v>
      </c>
      <c r="E59" s="50">
        <f t="shared" si="17"/>
        <v>93278</v>
      </c>
      <c r="F59" s="50">
        <f t="shared" si="17"/>
        <v>389274</v>
      </c>
      <c r="G59" s="50">
        <f t="shared" si="17"/>
        <v>205840</v>
      </c>
      <c r="H59" s="50">
        <f t="shared" si="17"/>
        <v>135243</v>
      </c>
      <c r="I59" s="50">
        <f t="shared" si="17"/>
        <v>182115</v>
      </c>
      <c r="J59" s="50">
        <f t="shared" si="17"/>
        <v>382188</v>
      </c>
      <c r="K59" s="50">
        <f t="shared" si="17"/>
        <v>129898</v>
      </c>
      <c r="L59" s="50">
        <f t="shared" si="17"/>
        <v>245914</v>
      </c>
      <c r="M59" s="50">
        <f t="shared" si="17"/>
        <v>173632</v>
      </c>
      <c r="N59" s="50">
        <f t="shared" si="17"/>
        <v>1021200</v>
      </c>
      <c r="O59" s="50">
        <f t="shared" si="17"/>
        <v>163116</v>
      </c>
      <c r="P59" s="50">
        <f t="shared" si="17"/>
        <v>88783</v>
      </c>
      <c r="Q59" s="50">
        <f t="shared" si="17"/>
        <v>706003</v>
      </c>
      <c r="R59" s="50">
        <f t="shared" si="17"/>
        <v>195050</v>
      </c>
      <c r="S59" s="50">
        <f t="shared" si="17"/>
        <v>96614</v>
      </c>
      <c r="T59" s="50">
        <f t="shared" si="17"/>
        <v>364709</v>
      </c>
      <c r="U59" s="50">
        <f t="shared" si="17"/>
        <v>94034</v>
      </c>
      <c r="V59" s="50">
        <f t="shared" si="17"/>
        <v>574125</v>
      </c>
      <c r="W59" s="50">
        <f t="shared" si="17"/>
        <v>103236</v>
      </c>
      <c r="X59" s="50">
        <f t="shared" si="17"/>
        <v>29848</v>
      </c>
      <c r="Y59" s="50">
        <f t="shared" si="17"/>
        <v>430746</v>
      </c>
      <c r="Z59" s="50">
        <f t="shared" si="17"/>
        <v>2075458</v>
      </c>
      <c r="AA59" s="50">
        <f t="shared" si="17"/>
        <v>46350</v>
      </c>
      <c r="AB59" s="50">
        <f t="shared" si="17"/>
        <v>71982</v>
      </c>
      <c r="AC59" s="51"/>
      <c r="AD59" s="52">
        <f t="shared" si="14"/>
        <v>8109825</v>
      </c>
      <c r="AH59" s="7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</row>
    <row r="60" spans="1:62">
      <c r="A60" s="86" t="s">
        <v>108</v>
      </c>
      <c r="B60" s="50">
        <f t="shared" ref="B60:AB60" si="18">ROUND(B42*$L$51,0)</f>
        <v>4471</v>
      </c>
      <c r="C60" s="50">
        <f t="shared" si="18"/>
        <v>23270</v>
      </c>
      <c r="D60" s="50">
        <f t="shared" si="18"/>
        <v>4781</v>
      </c>
      <c r="E60" s="50">
        <f t="shared" si="18"/>
        <v>27915</v>
      </c>
      <c r="F60" s="50">
        <f t="shared" si="18"/>
        <v>126928</v>
      </c>
      <c r="G60" s="50">
        <f t="shared" si="18"/>
        <v>64583</v>
      </c>
      <c r="H60" s="50">
        <f t="shared" si="18"/>
        <v>93792</v>
      </c>
      <c r="I60" s="50">
        <f t="shared" si="18"/>
        <v>62678</v>
      </c>
      <c r="J60" s="50">
        <f t="shared" si="18"/>
        <v>106103</v>
      </c>
      <c r="K60" s="50">
        <f t="shared" si="18"/>
        <v>25584</v>
      </c>
      <c r="L60" s="50">
        <f t="shared" si="18"/>
        <v>48951</v>
      </c>
      <c r="M60" s="50">
        <f t="shared" si="18"/>
        <v>44115</v>
      </c>
      <c r="N60" s="50">
        <f t="shared" si="18"/>
        <v>363951</v>
      </c>
      <c r="O60" s="50">
        <f t="shared" si="18"/>
        <v>42408</v>
      </c>
      <c r="P60" s="50">
        <f t="shared" si="18"/>
        <v>29811</v>
      </c>
      <c r="Q60" s="50">
        <f t="shared" si="18"/>
        <v>265858</v>
      </c>
      <c r="R60" s="50">
        <f t="shared" si="18"/>
        <v>96219</v>
      </c>
      <c r="S60" s="50">
        <f t="shared" si="18"/>
        <v>18317</v>
      </c>
      <c r="T60" s="50">
        <f t="shared" si="18"/>
        <v>318235</v>
      </c>
      <c r="U60" s="50">
        <f t="shared" si="18"/>
        <v>32106</v>
      </c>
      <c r="V60" s="50">
        <f t="shared" si="18"/>
        <v>292424</v>
      </c>
      <c r="W60" s="50">
        <f t="shared" si="18"/>
        <v>14039</v>
      </c>
      <c r="X60" s="50">
        <f t="shared" si="18"/>
        <v>5305</v>
      </c>
      <c r="Y60" s="50">
        <f t="shared" si="18"/>
        <v>212174</v>
      </c>
      <c r="Z60" s="50">
        <f t="shared" si="18"/>
        <v>1309364</v>
      </c>
      <c r="AA60" s="50">
        <f t="shared" si="18"/>
        <v>17654</v>
      </c>
      <c r="AB60" s="50">
        <f t="shared" si="18"/>
        <v>11883</v>
      </c>
      <c r="AC60" s="51"/>
      <c r="AD60" s="52">
        <f t="shared" si="14"/>
        <v>3662919</v>
      </c>
      <c r="AH60" s="7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</row>
    <row r="61" spans="1:62" s="14" customFormat="1">
      <c r="A61" s="86" t="s">
        <v>109</v>
      </c>
      <c r="B61" s="50">
        <f t="shared" ref="B61:AB61" si="19">ROUND(B43*$L$51,0)</f>
        <v>385</v>
      </c>
      <c r="C61" s="50">
        <f t="shared" si="19"/>
        <v>7061</v>
      </c>
      <c r="D61" s="50">
        <f t="shared" si="19"/>
        <v>476</v>
      </c>
      <c r="E61" s="50">
        <f t="shared" si="19"/>
        <v>3607</v>
      </c>
      <c r="F61" s="50">
        <f t="shared" si="19"/>
        <v>30713</v>
      </c>
      <c r="G61" s="50">
        <f t="shared" si="19"/>
        <v>12911</v>
      </c>
      <c r="H61" s="50">
        <f t="shared" si="19"/>
        <v>6247</v>
      </c>
      <c r="I61" s="50">
        <f t="shared" si="19"/>
        <v>8727</v>
      </c>
      <c r="J61" s="50">
        <f t="shared" si="19"/>
        <v>10519</v>
      </c>
      <c r="K61" s="50">
        <f t="shared" si="19"/>
        <v>5332</v>
      </c>
      <c r="L61" s="50">
        <f t="shared" si="19"/>
        <v>4031</v>
      </c>
      <c r="M61" s="50">
        <f t="shared" si="19"/>
        <v>4221</v>
      </c>
      <c r="N61" s="50">
        <f t="shared" si="19"/>
        <v>49584</v>
      </c>
      <c r="O61" s="50">
        <f t="shared" si="19"/>
        <v>6986</v>
      </c>
      <c r="P61" s="50">
        <f t="shared" si="19"/>
        <v>5089</v>
      </c>
      <c r="Q61" s="50">
        <f t="shared" si="19"/>
        <v>24253</v>
      </c>
      <c r="R61" s="50">
        <f t="shared" si="19"/>
        <v>19718</v>
      </c>
      <c r="S61" s="50">
        <f t="shared" si="19"/>
        <v>4402</v>
      </c>
      <c r="T61" s="50">
        <f t="shared" si="19"/>
        <v>40247</v>
      </c>
      <c r="U61" s="50">
        <f t="shared" si="19"/>
        <v>5409</v>
      </c>
      <c r="V61" s="50">
        <f t="shared" si="19"/>
        <v>22034</v>
      </c>
      <c r="W61" s="50">
        <f t="shared" si="19"/>
        <v>1381</v>
      </c>
      <c r="X61" s="50">
        <f t="shared" si="19"/>
        <v>735</v>
      </c>
      <c r="Y61" s="50">
        <f t="shared" si="19"/>
        <v>12844</v>
      </c>
      <c r="Z61" s="50">
        <f t="shared" si="19"/>
        <v>125252</v>
      </c>
      <c r="AA61" s="50">
        <f t="shared" si="19"/>
        <v>3564</v>
      </c>
      <c r="AB61" s="50">
        <f t="shared" si="19"/>
        <v>1676</v>
      </c>
      <c r="AC61" s="57"/>
      <c r="AD61" s="52">
        <f t="shared" si="14"/>
        <v>417404</v>
      </c>
      <c r="AH61" s="15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</row>
    <row r="62" spans="1:62" s="14" customFormat="1">
      <c r="A62" s="86" t="s">
        <v>110</v>
      </c>
      <c r="B62" s="50">
        <f t="shared" ref="B62:AB62" si="20">ROUND(B44*$L$51,0)</f>
        <v>125641</v>
      </c>
      <c r="C62" s="50">
        <f t="shared" si="20"/>
        <v>313707</v>
      </c>
      <c r="D62" s="50">
        <f t="shared" si="20"/>
        <v>68427</v>
      </c>
      <c r="E62" s="50">
        <f t="shared" si="20"/>
        <v>278910</v>
      </c>
      <c r="F62" s="50">
        <f t="shared" si="20"/>
        <v>1370422</v>
      </c>
      <c r="G62" s="50">
        <f t="shared" si="20"/>
        <v>1446854</v>
      </c>
      <c r="H62" s="50">
        <f t="shared" si="20"/>
        <v>202679</v>
      </c>
      <c r="I62" s="50">
        <f t="shared" si="20"/>
        <v>466715</v>
      </c>
      <c r="J62" s="50">
        <f t="shared" si="20"/>
        <v>912134</v>
      </c>
      <c r="K62" s="50">
        <f t="shared" si="20"/>
        <v>904664</v>
      </c>
      <c r="L62" s="50">
        <f t="shared" si="20"/>
        <v>657936</v>
      </c>
      <c r="M62" s="50">
        <f t="shared" si="20"/>
        <v>386470</v>
      </c>
      <c r="N62" s="50">
        <f t="shared" si="20"/>
        <v>2637433</v>
      </c>
      <c r="O62" s="50">
        <f t="shared" si="20"/>
        <v>933139</v>
      </c>
      <c r="P62" s="50">
        <f t="shared" si="20"/>
        <v>519813</v>
      </c>
      <c r="Q62" s="50">
        <f t="shared" si="20"/>
        <v>1217285</v>
      </c>
      <c r="R62" s="50">
        <f t="shared" si="20"/>
        <v>1092088</v>
      </c>
      <c r="S62" s="50">
        <f t="shared" si="20"/>
        <v>583868</v>
      </c>
      <c r="T62" s="50">
        <f t="shared" si="20"/>
        <v>1005027</v>
      </c>
      <c r="U62" s="50">
        <f t="shared" si="20"/>
        <v>458977</v>
      </c>
      <c r="V62" s="50">
        <f t="shared" si="20"/>
        <v>1118054</v>
      </c>
      <c r="W62" s="50">
        <f t="shared" si="20"/>
        <v>412285</v>
      </c>
      <c r="X62" s="50">
        <f t="shared" si="20"/>
        <v>82716</v>
      </c>
      <c r="Y62" s="50">
        <f t="shared" si="20"/>
        <v>908904</v>
      </c>
      <c r="Z62" s="50">
        <f t="shared" si="20"/>
        <v>4869543</v>
      </c>
      <c r="AA62" s="50">
        <f t="shared" si="20"/>
        <v>267716</v>
      </c>
      <c r="AB62" s="50">
        <f t="shared" si="20"/>
        <v>243624</v>
      </c>
      <c r="AC62" s="57"/>
      <c r="AD62" s="52">
        <f t="shared" si="14"/>
        <v>23485031</v>
      </c>
      <c r="AH62" s="15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</row>
    <row r="63" spans="1:62" s="14" customFormat="1">
      <c r="A63" s="86" t="s">
        <v>111</v>
      </c>
      <c r="B63" s="50">
        <f t="shared" ref="B63:AB63" si="21">ROUND(B45*$L$51,0)</f>
        <v>28573</v>
      </c>
      <c r="C63" s="50">
        <f t="shared" si="21"/>
        <v>43857</v>
      </c>
      <c r="D63" s="50">
        <f t="shared" si="21"/>
        <v>13676</v>
      </c>
      <c r="E63" s="50">
        <f t="shared" si="21"/>
        <v>63723</v>
      </c>
      <c r="F63" s="50">
        <f t="shared" si="21"/>
        <v>212556</v>
      </c>
      <c r="G63" s="50">
        <f t="shared" si="21"/>
        <v>180036</v>
      </c>
      <c r="H63" s="50">
        <f t="shared" si="21"/>
        <v>21398</v>
      </c>
      <c r="I63" s="50">
        <f t="shared" si="21"/>
        <v>116438</v>
      </c>
      <c r="J63" s="50">
        <f t="shared" si="21"/>
        <v>294558</v>
      </c>
      <c r="K63" s="50">
        <f t="shared" si="21"/>
        <v>172209</v>
      </c>
      <c r="L63" s="50">
        <f t="shared" si="21"/>
        <v>250185</v>
      </c>
      <c r="M63" s="50">
        <f t="shared" si="21"/>
        <v>118210</v>
      </c>
      <c r="N63" s="50">
        <f t="shared" si="21"/>
        <v>312220</v>
      </c>
      <c r="O63" s="50">
        <f t="shared" si="21"/>
        <v>208527</v>
      </c>
      <c r="P63" s="50">
        <f t="shared" si="21"/>
        <v>72719</v>
      </c>
      <c r="Q63" s="50">
        <f t="shared" si="21"/>
        <v>314452</v>
      </c>
      <c r="R63" s="50">
        <f t="shared" si="21"/>
        <v>118716</v>
      </c>
      <c r="S63" s="50">
        <f t="shared" si="21"/>
        <v>104683</v>
      </c>
      <c r="T63" s="50">
        <f t="shared" si="21"/>
        <v>182237</v>
      </c>
      <c r="U63" s="50">
        <f t="shared" si="21"/>
        <v>66400</v>
      </c>
      <c r="V63" s="50">
        <f t="shared" si="21"/>
        <v>198753</v>
      </c>
      <c r="W63" s="50">
        <f t="shared" si="21"/>
        <v>129986</v>
      </c>
      <c r="X63" s="50">
        <f t="shared" si="21"/>
        <v>21094</v>
      </c>
      <c r="Y63" s="50">
        <f t="shared" si="21"/>
        <v>287927</v>
      </c>
      <c r="Z63" s="50">
        <f t="shared" si="21"/>
        <v>979973</v>
      </c>
      <c r="AA63" s="50">
        <f t="shared" si="21"/>
        <v>48474</v>
      </c>
      <c r="AB63" s="50">
        <f t="shared" si="21"/>
        <v>100714</v>
      </c>
      <c r="AC63" s="57"/>
      <c r="AD63" s="52">
        <f t="shared" si="14"/>
        <v>4662294</v>
      </c>
      <c r="AH63" s="15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</row>
    <row r="64" spans="1:62" s="14" customFormat="1">
      <c r="A64" s="86" t="s">
        <v>112</v>
      </c>
      <c r="B64" s="50">
        <f t="shared" ref="B64:AB64" si="22">ROUND(B46*$L$51,0)</f>
        <v>1247</v>
      </c>
      <c r="C64" s="50">
        <f t="shared" si="22"/>
        <v>8456</v>
      </c>
      <c r="D64" s="50">
        <f t="shared" si="22"/>
        <v>1302</v>
      </c>
      <c r="E64" s="50">
        <f t="shared" si="22"/>
        <v>9399</v>
      </c>
      <c r="F64" s="50">
        <f t="shared" si="22"/>
        <v>42107</v>
      </c>
      <c r="G64" s="50">
        <f t="shared" si="22"/>
        <v>18489</v>
      </c>
      <c r="H64" s="50">
        <f t="shared" si="22"/>
        <v>13471</v>
      </c>
      <c r="I64" s="50">
        <f t="shared" si="22"/>
        <v>15340</v>
      </c>
      <c r="J64" s="50">
        <f t="shared" si="22"/>
        <v>23903</v>
      </c>
      <c r="K64" s="50">
        <f t="shared" si="22"/>
        <v>9817</v>
      </c>
      <c r="L64" s="50">
        <f t="shared" si="22"/>
        <v>12725</v>
      </c>
      <c r="M64" s="50">
        <f t="shared" si="22"/>
        <v>10133</v>
      </c>
      <c r="N64" s="50">
        <f t="shared" si="22"/>
        <v>82159</v>
      </c>
      <c r="O64" s="50">
        <f t="shared" si="22"/>
        <v>19357</v>
      </c>
      <c r="P64" s="50">
        <f t="shared" si="22"/>
        <v>7834</v>
      </c>
      <c r="Q64" s="50">
        <f t="shared" si="22"/>
        <v>46483</v>
      </c>
      <c r="R64" s="50">
        <f t="shared" si="22"/>
        <v>20805</v>
      </c>
      <c r="S64" s="50">
        <f t="shared" si="22"/>
        <v>8404</v>
      </c>
      <c r="T64" s="50">
        <f t="shared" si="22"/>
        <v>44776</v>
      </c>
      <c r="U64" s="50">
        <f t="shared" si="22"/>
        <v>7608</v>
      </c>
      <c r="V64" s="50">
        <f t="shared" si="22"/>
        <v>42529</v>
      </c>
      <c r="W64" s="50">
        <f t="shared" si="22"/>
        <v>6592</v>
      </c>
      <c r="X64" s="50">
        <f t="shared" si="22"/>
        <v>1248</v>
      </c>
      <c r="Y64" s="50">
        <f t="shared" si="22"/>
        <v>20667</v>
      </c>
      <c r="Z64" s="50">
        <f t="shared" si="22"/>
        <v>166097</v>
      </c>
      <c r="AA64" s="50">
        <f t="shared" si="22"/>
        <v>7607</v>
      </c>
      <c r="AB64" s="50">
        <f t="shared" si="22"/>
        <v>5748</v>
      </c>
      <c r="AC64" s="57"/>
      <c r="AD64" s="52">
        <f t="shared" si="14"/>
        <v>654303</v>
      </c>
      <c r="AH64" s="15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</row>
    <row r="65" spans="1:62">
      <c r="A65" s="86" t="s">
        <v>113</v>
      </c>
      <c r="B65" s="50">
        <f t="shared" ref="B65:AB65" si="23">ROUND(B47*$L$51,0)</f>
        <v>1416</v>
      </c>
      <c r="C65" s="50">
        <f t="shared" si="23"/>
        <v>7177</v>
      </c>
      <c r="D65" s="50">
        <f t="shared" si="23"/>
        <v>1079</v>
      </c>
      <c r="E65" s="50">
        <f t="shared" si="23"/>
        <v>5751</v>
      </c>
      <c r="F65" s="50">
        <f t="shared" si="23"/>
        <v>35561</v>
      </c>
      <c r="G65" s="50">
        <f t="shared" si="23"/>
        <v>37667</v>
      </c>
      <c r="H65" s="50">
        <f t="shared" si="23"/>
        <v>32639</v>
      </c>
      <c r="I65" s="50">
        <f t="shared" si="23"/>
        <v>22442</v>
      </c>
      <c r="J65" s="50">
        <f t="shared" si="23"/>
        <v>34334</v>
      </c>
      <c r="K65" s="50">
        <f t="shared" si="23"/>
        <v>11668</v>
      </c>
      <c r="L65" s="50">
        <f t="shared" si="23"/>
        <v>18681</v>
      </c>
      <c r="M65" s="50">
        <f t="shared" si="23"/>
        <v>15341</v>
      </c>
      <c r="N65" s="50">
        <f t="shared" si="23"/>
        <v>89786</v>
      </c>
      <c r="O65" s="50">
        <f t="shared" si="23"/>
        <v>15030</v>
      </c>
      <c r="P65" s="50">
        <f t="shared" si="23"/>
        <v>13389</v>
      </c>
      <c r="Q65" s="50">
        <f t="shared" si="23"/>
        <v>74444</v>
      </c>
      <c r="R65" s="50">
        <f t="shared" si="23"/>
        <v>24492</v>
      </c>
      <c r="S65" s="50">
        <f t="shared" si="23"/>
        <v>8508</v>
      </c>
      <c r="T65" s="50">
        <f t="shared" si="23"/>
        <v>71801</v>
      </c>
      <c r="U65" s="50">
        <f t="shared" si="23"/>
        <v>19578</v>
      </c>
      <c r="V65" s="50">
        <f t="shared" si="23"/>
        <v>74969</v>
      </c>
      <c r="W65" s="50">
        <f t="shared" si="23"/>
        <v>4699</v>
      </c>
      <c r="X65" s="50">
        <f t="shared" si="23"/>
        <v>1441</v>
      </c>
      <c r="Y65" s="50">
        <f t="shared" si="23"/>
        <v>78683</v>
      </c>
      <c r="Z65" s="50">
        <f t="shared" si="23"/>
        <v>334509</v>
      </c>
      <c r="AA65" s="50">
        <f t="shared" si="23"/>
        <v>5670</v>
      </c>
      <c r="AB65" s="50">
        <f t="shared" si="23"/>
        <v>4548</v>
      </c>
      <c r="AC65" s="51"/>
      <c r="AD65" s="52">
        <f t="shared" si="14"/>
        <v>1045303</v>
      </c>
      <c r="AH65" s="7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</row>
    <row r="66" spans="1:62">
      <c r="A66" s="60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3"/>
      <c r="AH66" s="7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</row>
    <row r="67" spans="1:62" s="5" customFormat="1">
      <c r="A67" s="59" t="s">
        <v>80</v>
      </c>
      <c r="B67" s="52">
        <f t="shared" ref="B67:AB67" si="24">SUM(B56:B65)</f>
        <v>292248</v>
      </c>
      <c r="C67" s="52">
        <f t="shared" si="24"/>
        <v>868300</v>
      </c>
      <c r="D67" s="52">
        <f t="shared" si="24"/>
        <v>205158</v>
      </c>
      <c r="E67" s="52">
        <f t="shared" si="24"/>
        <v>925619</v>
      </c>
      <c r="F67" s="52">
        <f t="shared" si="24"/>
        <v>4291805</v>
      </c>
      <c r="G67" s="52">
        <f t="shared" si="24"/>
        <v>3259315</v>
      </c>
      <c r="H67" s="52">
        <f t="shared" si="24"/>
        <v>1879713</v>
      </c>
      <c r="I67" s="52">
        <f t="shared" si="24"/>
        <v>1972388</v>
      </c>
      <c r="J67" s="52">
        <f t="shared" si="24"/>
        <v>3853859</v>
      </c>
      <c r="K67" s="52">
        <f t="shared" si="24"/>
        <v>1773326</v>
      </c>
      <c r="L67" s="52">
        <f t="shared" si="24"/>
        <v>2138079</v>
      </c>
      <c r="M67" s="52">
        <f t="shared" si="24"/>
        <v>1603436</v>
      </c>
      <c r="N67" s="52">
        <f t="shared" si="24"/>
        <v>11531878</v>
      </c>
      <c r="O67" s="52">
        <f t="shared" si="24"/>
        <v>2105900</v>
      </c>
      <c r="P67" s="52">
        <f t="shared" si="24"/>
        <v>1332312</v>
      </c>
      <c r="Q67" s="52">
        <f t="shared" si="24"/>
        <v>7662216</v>
      </c>
      <c r="R67" s="52">
        <f t="shared" si="24"/>
        <v>3058465</v>
      </c>
      <c r="S67" s="52">
        <f t="shared" si="24"/>
        <v>1243319</v>
      </c>
      <c r="T67" s="52">
        <f t="shared" si="24"/>
        <v>6868309</v>
      </c>
      <c r="U67" s="52">
        <f t="shared" si="24"/>
        <v>1310443</v>
      </c>
      <c r="V67" s="52">
        <f t="shared" si="24"/>
        <v>7107134</v>
      </c>
      <c r="W67" s="52">
        <f t="shared" si="24"/>
        <v>1014946</v>
      </c>
      <c r="X67" s="52">
        <f t="shared" si="24"/>
        <v>229235</v>
      </c>
      <c r="Y67" s="52">
        <f t="shared" si="24"/>
        <v>5269358</v>
      </c>
      <c r="Z67" s="52">
        <f t="shared" si="24"/>
        <v>29667431</v>
      </c>
      <c r="AA67" s="52">
        <f t="shared" si="24"/>
        <v>768448</v>
      </c>
      <c r="AB67" s="52">
        <f t="shared" si="24"/>
        <v>698449</v>
      </c>
      <c r="AC67" s="53"/>
      <c r="AD67" s="52">
        <f>SUM(AD56:AD65)</f>
        <v>102931089</v>
      </c>
      <c r="AH67" s="7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</row>
    <row r="72" spans="1:62" s="5" customFormat="1"/>
    <row r="73" spans="1:62" s="5" customFormat="1"/>
    <row r="74" spans="1:62" s="5" customFormat="1"/>
    <row r="75" spans="1:62" s="5" customFormat="1"/>
    <row r="76" spans="1:62" s="5" customFormat="1"/>
    <row r="77" spans="1:62" s="5" customFormat="1"/>
    <row r="78" spans="1:62" s="5" customFormat="1"/>
    <row r="79" spans="1:62" s="5" customFormat="1"/>
    <row r="80" spans="1:62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 ht="15" customHeigh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</sheetData>
  <mergeCells count="4">
    <mergeCell ref="A2:A3"/>
    <mergeCell ref="A54:A55"/>
    <mergeCell ref="A25:A26"/>
    <mergeCell ref="A36:A37"/>
  </mergeCells>
  <pageMargins left="0.75" right="0.75" top="1" bottom="1" header="0.5" footer="0.5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5b26e6-7832-4067-9ceb-2941cfbb770c">
      <Terms xmlns="http://schemas.microsoft.com/office/infopath/2007/PartnerControls"/>
    </lcf76f155ced4ddcb4097134ff3c332f>
    <TaxCatchAll xmlns="ce29b8ed-6d9c-45d6-831d-9b2ee93b4f7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270C7F360A7F47A1B720549C3E9397" ma:contentTypeVersion="11" ma:contentTypeDescription="Create a new document." ma:contentTypeScope="" ma:versionID="c9288f290db4371e77049984c4ad053e">
  <xsd:schema xmlns:xsd="http://www.w3.org/2001/XMLSchema" xmlns:xs="http://www.w3.org/2001/XMLSchema" xmlns:p="http://schemas.microsoft.com/office/2006/metadata/properties" xmlns:ns2="a35b26e6-7832-4067-9ceb-2941cfbb770c" xmlns:ns3="ce29b8ed-6d9c-45d6-831d-9b2ee93b4f7e" targetNamespace="http://schemas.microsoft.com/office/2006/metadata/properties" ma:root="true" ma:fieldsID="9eb003a68fbdb5cdeec7318484af4a94" ns2:_="" ns3:_="">
    <xsd:import namespace="a35b26e6-7832-4067-9ceb-2941cfbb770c"/>
    <xsd:import namespace="ce29b8ed-6d9c-45d6-831d-9b2ee93b4f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b26e6-7832-4067-9ceb-2941cfbb7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5e3a396-6ff9-41c4-9ea6-a3ac188d4d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29b8ed-6d9c-45d6-831d-9b2ee93b4f7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4e1a75e-c2e7-4bfb-84a0-05fbf59eaf5f}" ma:internalName="TaxCatchAll" ma:showField="CatchAllData" ma:web="ce29b8ed-6d9c-45d6-831d-9b2ee93b4f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573339-36C6-4F8B-9E87-40F9AD19C915}"/>
</file>

<file path=customXml/itemProps2.xml><?xml version="1.0" encoding="utf-8"?>
<ds:datastoreItem xmlns:ds="http://schemas.openxmlformats.org/officeDocument/2006/customXml" ds:itemID="{5256FB30-DF10-413D-ADB7-1CB67F19059F}"/>
</file>

<file path=customXml/itemProps3.xml><?xml version="1.0" encoding="utf-8"?>
<ds:datastoreItem xmlns:ds="http://schemas.openxmlformats.org/officeDocument/2006/customXml" ds:itemID="{7A36D45F-746B-4574-B605-96821572F3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Louise Fuhrmann</dc:creator>
  <cp:keywords/>
  <dc:description/>
  <cp:lastModifiedBy>Louise Fuhrmann</cp:lastModifiedBy>
  <cp:revision/>
  <dcterms:created xsi:type="dcterms:W3CDTF">2023-03-06T20:34:14Z</dcterms:created>
  <dcterms:modified xsi:type="dcterms:W3CDTF">2023-09-28T01:55:43Z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0x01010033270C7F360A7F47A1B720549C3E9397</vt:lpwstr>
  </property>
  <property fmtid="{D5CDD505-2E9C-101B-9397-08002B2CF9AE}" pid="3" name="MediaServiceImageTags">
    <vt:lpwstr/>
  </property>
</Properties>
</file>