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J:\Shared drives\OPEnS\Projects\Smart Rock\CUAHSI Workshop 2021\"/>
    </mc:Choice>
  </mc:AlternateContent>
  <xr:revisionPtr revIDLastSave="0" documentId="13_ncr:1_{7D5376AB-4BE1-42E7-8835-BA66D71D2AB6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rocedure" sheetId="6" r:id="rId1"/>
    <sheet name="10uScm" sheetId="1" r:id="rId2"/>
    <sheet name="447uScm" sheetId="2" r:id="rId3"/>
    <sheet name="1413uScm" sheetId="3" r:id="rId4"/>
    <sheet name="Calibration" sheetId="4" r:id="rId5"/>
    <sheet name="SolutionTempCompensatio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gECunXyBRAX+qH3nKtPP2VD396w=="/>
    </ext>
  </extLst>
</workbook>
</file>

<file path=xl/calcChain.xml><?xml version="1.0" encoding="utf-8"?>
<calcChain xmlns="http://schemas.openxmlformats.org/spreadsheetml/2006/main">
  <c r="F4" i="4" l="1" a="1"/>
  <c r="F4" i="4" s="1"/>
  <c r="J4" i="5"/>
  <c r="J3" i="5"/>
  <c r="J2" i="5"/>
  <c r="F12" i="4"/>
  <c r="H4" i="5"/>
  <c r="G4" i="5"/>
  <c r="H3" i="5"/>
  <c r="G3" i="5"/>
  <c r="I2" i="5"/>
  <c r="H2" i="5"/>
  <c r="G2" i="5"/>
  <c r="B4" i="4"/>
  <c r="C4" i="4" s="1"/>
  <c r="A4" i="4"/>
  <c r="B3" i="4"/>
  <c r="C3" i="4" s="1"/>
  <c r="A3" i="4"/>
  <c r="F11" i="4" s="1"/>
  <c r="B2" i="4"/>
  <c r="C2" i="4" s="1"/>
  <c r="A2" i="4"/>
  <c r="F10" i="4" s="1"/>
  <c r="G12" i="4" l="1"/>
  <c r="H12" i="4" s="1"/>
  <c r="G11" i="4"/>
  <c r="H11" i="4" s="1"/>
  <c r="G10" i="4"/>
  <c r="H10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Cara Walter</author>
  </authors>
  <commentList>
    <comment ref="J1" authorId="0" shapeId="0" xr:uid="{C6C81263-7ECF-4DA5-84E8-3593EEED3F3B}">
      <text>
        <r>
          <rPr>
            <b/>
            <sz val="9"/>
            <color indexed="81"/>
            <rFont val="Tahoma"/>
            <family val="2"/>
          </rPr>
          <t>Cara Walter:</t>
        </r>
        <r>
          <rPr>
            <sz val="9"/>
            <color indexed="81"/>
            <rFont val="Tahoma"/>
            <family val="2"/>
          </rPr>
          <t xml:space="preserve">
http://www.4oakton.com/Assets/manual_pdfs/35604_00.pdf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<sst xmlns="http://schemas.openxmlformats.org/spreadsheetml/2006/main" count="38" uniqueCount="27">
  <si>
    <t>Packet</t>
  </si>
  <si>
    <t>Number</t>
  </si>
  <si>
    <t>Analog[0]</t>
  </si>
  <si>
    <t>Average measured analog values</t>
  </si>
  <si>
    <t>Average measured temperature (°C)</t>
  </si>
  <si>
    <t>Slope</t>
  </si>
  <si>
    <t>Intercept</t>
  </si>
  <si>
    <t>Oakton Conductivity Standard Temperature Compensation</t>
  </si>
  <si>
    <t>adjustment</t>
  </si>
  <si>
    <t>Temp °C</t>
  </si>
  <si>
    <t>23 uS/cm</t>
  </si>
  <si>
    <t>447 uS/cm</t>
  </si>
  <si>
    <t>1413 uS/cm</t>
  </si>
  <si>
    <t>Analog value</t>
  </si>
  <si>
    <t>Temperature coefficient (tc)</t>
  </si>
  <si>
    <t>1) Replace values in sheets 10uScm, 447uScm, and 1413uScm with data collected with your Smart Rock in those solutions</t>
  </si>
  <si>
    <t>Temperature (°C)</t>
  </si>
  <si>
    <t>Converting analog values to electrical conductivity</t>
  </si>
  <si>
    <t>Coefficient b</t>
  </si>
  <si>
    <t>Coefficient m</t>
  </si>
  <si>
    <r>
      <t>EC</t>
    </r>
    <r>
      <rPr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 (μS/cm)</t>
    </r>
  </si>
  <si>
    <r>
      <t>EC</t>
    </r>
    <r>
      <rPr>
        <vertAlign val="subscript"/>
        <sz val="12"/>
        <color theme="1"/>
        <rFont val="Times New Roman"/>
        <family val="1"/>
      </rPr>
      <t>25°C</t>
    </r>
    <r>
      <rPr>
        <sz val="12"/>
        <color theme="1"/>
        <rFont val="Times New Roman"/>
        <family val="1"/>
      </rPr>
      <t xml:space="preserve"> (μS/cm)</t>
    </r>
  </si>
  <si>
    <t>Calibration curve</t>
  </si>
  <si>
    <t>Example of applying calibration curve</t>
  </si>
  <si>
    <r>
      <t>Solution value at measured temperature (</t>
    </r>
    <r>
      <rPr>
        <b/>
        <sz val="12"/>
        <color theme="1"/>
        <rFont val="Times New Roman"/>
        <family val="1"/>
      </rPr>
      <t>μS/cm)</t>
    </r>
  </si>
  <si>
    <r>
      <t>Solution value at 25°C (</t>
    </r>
    <r>
      <rPr>
        <b/>
        <sz val="12"/>
        <color theme="1"/>
        <rFont val="Times New Roman"/>
        <family val="1"/>
      </rPr>
      <t>μS/cm)</t>
    </r>
  </si>
  <si>
    <t>2) From Calibration sheet, use values in cells F4, m, and F5, b, to convert analog 0 values from your Smart Rock data file into electrical conductivity in μS/cm at measured temperature using EC = b*m^analog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</si>
</sst>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2"/>
      <color theme="1"/>
      <name val="Times New Roman"/>
    </font>
    <font>
      <sz val="12"/>
      <color theme="1"/>
      <name val="Calibri"/>
      <family val="2"/>
    </font>
    <font>
      <sz val="11"/>
      <color rgb="FF000000"/>
      <name val="Inconsolata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12"/>
      <color rgb="FFFF9900"/>
      <name val="Arial"/>
      <family val="2"/>
    </font>
    <font>
      <sz val="12"/>
      <color rgb="FFB7B7B7"/>
      <name val="Arial"/>
      <family val="2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Calibri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2" fontId="0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/>
    <xf numFmtId="0" fontId="3" fillId="0" borderId="0" xfId="0" applyFont="1" applyBorder="1" applyAlignment="1">
      <alignment horizontal="right"/>
    </xf>
    <xf numFmtId="0" fontId="3" fillId="0" borderId="9" xfId="0" applyFont="1" applyBorder="1" applyAlignment="1"/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/>
    <xf numFmtId="0" fontId="5" fillId="0" borderId="5" xfId="0" applyFont="1" applyBorder="1" applyAlignment="1"/>
    <xf numFmtId="0" fontId="6" fillId="0" borderId="8" xfId="0" applyFont="1" applyBorder="1" applyAlignment="1"/>
    <xf numFmtId="0" fontId="7" fillId="0" borderId="10" xfId="0" applyFont="1" applyBorder="1" applyAlignment="1"/>
    <xf numFmtId="0" fontId="8" fillId="0" borderId="0" xfId="0" applyFont="1" applyAlignment="1"/>
    <xf numFmtId="0" fontId="8" fillId="0" borderId="0" xfId="0" applyFont="1"/>
    <xf numFmtId="1" fontId="0" fillId="0" borderId="0" xfId="0" applyNumberFormat="1" applyFont="1"/>
    <xf numFmtId="164" fontId="3" fillId="0" borderId="0" xfId="0" applyNumberFormat="1" applyFont="1" applyAlignment="1"/>
    <xf numFmtId="1" fontId="0" fillId="0" borderId="0" xfId="0" applyNumberFormat="1" applyFont="1" applyAlignment="1"/>
    <xf numFmtId="0" fontId="3" fillId="0" borderId="13" xfId="0" applyFont="1" applyBorder="1" applyAlignment="1"/>
    <xf numFmtId="0" fontId="4" fillId="0" borderId="13" xfId="0" applyFont="1" applyBorder="1" applyAlignment="1"/>
    <xf numFmtId="0" fontId="3" fillId="0" borderId="14" xfId="0" applyFont="1" applyBorder="1" applyAlignment="1"/>
    <xf numFmtId="0" fontId="11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/>
    <xf numFmtId="0" fontId="13" fillId="0" borderId="0" xfId="0" applyFont="1" applyAlignment="1">
      <alignment wrapText="1"/>
    </xf>
    <xf numFmtId="0" fontId="1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10" xfId="0" applyFont="1" applyBorder="1"/>
    <xf numFmtId="0" fontId="0" fillId="0" borderId="12" xfId="0" applyFont="1" applyBorder="1"/>
    <xf numFmtId="0" fontId="13" fillId="0" borderId="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1" fontId="0" fillId="0" borderId="1" xfId="0" applyNumberFormat="1" applyFont="1" applyFill="1" applyBorder="1"/>
    <xf numFmtId="2" fontId="2" fillId="0" borderId="1" xfId="0" applyNumberFormat="1" applyFont="1" applyFill="1" applyBorder="1"/>
    <xf numFmtId="3" fontId="0" fillId="0" borderId="1" xfId="0" applyNumberFormat="1" applyFont="1" applyFill="1" applyBorder="1" applyAlignment="1"/>
    <xf numFmtId="0" fontId="0" fillId="0" borderId="1" xfId="0" applyFont="1" applyFill="1" applyBorder="1"/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Measured Analog Value vs. Solution EC at Measured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trendline>
            <c:trendlineType val="exp"/>
            <c:dispRSqr val="1"/>
            <c:dispEq val="1"/>
            <c:trendlineLbl>
              <c:layout>
                <c:manualLayout>
                  <c:x val="-1.8810365422588432E-2"/>
                  <c:y val="-4.2831364829396347E-2"/>
                </c:manualLayout>
              </c:layout>
              <c:numFmt formatCode="#,##0.000000" sourceLinked="0"/>
            </c:trendlineLbl>
          </c:trendline>
          <c:xVal>
            <c:numRef>
              <c:f>Calibration!$A$2:$A$4</c:f>
              <c:numCache>
                <c:formatCode>0</c:formatCode>
                <c:ptCount val="3"/>
                <c:pt idx="0">
                  <c:v>2819.75</c:v>
                </c:pt>
                <c:pt idx="1">
                  <c:v>7621.8</c:v>
                </c:pt>
                <c:pt idx="2">
                  <c:v>9101.5</c:v>
                </c:pt>
              </c:numCache>
            </c:numRef>
          </c:xVal>
          <c:yVal>
            <c:numRef>
              <c:f>Calibration!$C$2:$C$4</c:f>
              <c:numCache>
                <c:formatCode>#,##0</c:formatCode>
                <c:ptCount val="3"/>
                <c:pt idx="0">
                  <c:v>8.5641959648471335</c:v>
                </c:pt>
                <c:pt idx="1">
                  <c:v>419.73203614308704</c:v>
                </c:pt>
                <c:pt idx="2">
                  <c:v>1297.2778721066963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6E-4B9E-B4F5-BA8DDB69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574136"/>
        <c:axId val="2100659696"/>
      </c:scatterChart>
      <c:valAx>
        <c:axId val="2255741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Measured Analog Value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0659696"/>
        <c:crosses val="autoZero"/>
        <c:crossBetween val="midCat"/>
      </c:valAx>
      <c:valAx>
        <c:axId val="2100659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Solution EC (</a:t>
                </a:r>
                <a:r>
                  <a:rPr lang="el-GR" sz="1000" b="0" i="0">
                    <a:solidFill>
                      <a:srgbClr val="000000"/>
                    </a:solidFill>
                    <a:latin typeface="+mn-lt"/>
                  </a:rPr>
                  <a:t>μ</a:t>
                </a: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S/cm)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557413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uS/cm vs. Temp °C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SolutionTempCompensation!$B$2</c:f>
              <c:strCache>
                <c:ptCount val="1"/>
                <c:pt idx="0">
                  <c:v>23 uS/cm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5.2157312335958002E-2"/>
                  <c:y val="-2.3633045869266418E-2"/>
                </c:manualLayout>
              </c:layout>
              <c:numFmt formatCode="General" sourceLinked="0"/>
            </c:trendlineLbl>
          </c:trendline>
          <c:xVal>
            <c:numRef>
              <c:f>SolutionTempCompensation!$A$3:$A$21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  <c:pt idx="17">
                  <c:v>30</c:v>
                </c:pt>
                <c:pt idx="18">
                  <c:v>31</c:v>
                </c:pt>
              </c:numCache>
            </c:numRef>
          </c:xVal>
          <c:yVal>
            <c:numRef>
              <c:f>SolutionTempCompensation!$B$3:$B$21</c:f>
              <c:numCache>
                <c:formatCode>General</c:formatCode>
                <c:ptCount val="19"/>
                <c:pt idx="0">
                  <c:v>15.32</c:v>
                </c:pt>
                <c:pt idx="1">
                  <c:v>17.11</c:v>
                </c:pt>
                <c:pt idx="2">
                  <c:v>18.32</c:v>
                </c:pt>
                <c:pt idx="3">
                  <c:v>18.649999999999999</c:v>
                </c:pt>
                <c:pt idx="4">
                  <c:v>18.97</c:v>
                </c:pt>
                <c:pt idx="5">
                  <c:v>19.41</c:v>
                </c:pt>
                <c:pt idx="6">
                  <c:v>19.850000000000001</c:v>
                </c:pt>
                <c:pt idx="7">
                  <c:v>20.3</c:v>
                </c:pt>
                <c:pt idx="8">
                  <c:v>20.92</c:v>
                </c:pt>
                <c:pt idx="9">
                  <c:v>21.51</c:v>
                </c:pt>
                <c:pt idx="10">
                  <c:v>22.1</c:v>
                </c:pt>
                <c:pt idx="11">
                  <c:v>22.55</c:v>
                </c:pt>
                <c:pt idx="12">
                  <c:v>23</c:v>
                </c:pt>
                <c:pt idx="13">
                  <c:v>23.43</c:v>
                </c:pt>
                <c:pt idx="14">
                  <c:v>23.9</c:v>
                </c:pt>
                <c:pt idx="15">
                  <c:v>24.56</c:v>
                </c:pt>
                <c:pt idx="16">
                  <c:v>25.2</c:v>
                </c:pt>
                <c:pt idx="17">
                  <c:v>25.61</c:v>
                </c:pt>
                <c:pt idx="18">
                  <c:v>26.1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10-4C08-84FB-B3C10A263431}"/>
            </c:ext>
          </c:extLst>
        </c:ser>
        <c:ser>
          <c:idx val="1"/>
          <c:order val="1"/>
          <c:tx>
            <c:strRef>
              <c:f>SolutionTempCompensation!$C$2</c:f>
              <c:strCache>
                <c:ptCount val="1"/>
                <c:pt idx="0">
                  <c:v>447 uS/cm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5.6642687664041992E-2"/>
                  <c:y val="-6.497054534849811E-2"/>
                </c:manualLayout>
              </c:layout>
              <c:numFmt formatCode="General" sourceLinked="0"/>
            </c:trendlineLbl>
          </c:trendline>
          <c:xVal>
            <c:numRef>
              <c:f>SolutionTempCompensation!$A$3:$A$21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  <c:pt idx="17">
                  <c:v>30</c:v>
                </c:pt>
                <c:pt idx="18">
                  <c:v>31</c:v>
                </c:pt>
              </c:numCache>
            </c:numRef>
          </c:xVal>
          <c:yVal>
            <c:numRef>
              <c:f>SolutionTempCompensation!$C$3:$C$21</c:f>
              <c:numCache>
                <c:formatCode>General</c:formatCode>
                <c:ptCount val="19"/>
                <c:pt idx="0">
                  <c:v>278</c:v>
                </c:pt>
                <c:pt idx="1">
                  <c:v>318</c:v>
                </c:pt>
                <c:pt idx="2">
                  <c:v>361</c:v>
                </c:pt>
                <c:pt idx="3">
                  <c:v>368</c:v>
                </c:pt>
                <c:pt idx="4">
                  <c:v>376</c:v>
                </c:pt>
                <c:pt idx="5">
                  <c:v>385</c:v>
                </c:pt>
                <c:pt idx="6">
                  <c:v>394</c:v>
                </c:pt>
                <c:pt idx="7">
                  <c:v>402</c:v>
                </c:pt>
                <c:pt idx="8">
                  <c:v>411</c:v>
                </c:pt>
                <c:pt idx="9">
                  <c:v>419</c:v>
                </c:pt>
                <c:pt idx="10">
                  <c:v>430</c:v>
                </c:pt>
                <c:pt idx="11">
                  <c:v>438</c:v>
                </c:pt>
                <c:pt idx="12">
                  <c:v>447</c:v>
                </c:pt>
                <c:pt idx="13">
                  <c:v>457</c:v>
                </c:pt>
                <c:pt idx="14">
                  <c:v>467</c:v>
                </c:pt>
                <c:pt idx="15">
                  <c:v>477</c:v>
                </c:pt>
                <c:pt idx="16">
                  <c:v>487</c:v>
                </c:pt>
                <c:pt idx="17">
                  <c:v>496</c:v>
                </c:pt>
                <c:pt idx="18">
                  <c:v>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10-4C08-84FB-B3C10A263431}"/>
            </c:ext>
          </c:extLst>
        </c:ser>
        <c:ser>
          <c:idx val="2"/>
          <c:order val="2"/>
          <c:tx>
            <c:strRef>
              <c:f>SolutionTempCompensation!$D$2</c:f>
              <c:strCache>
                <c:ptCount val="1"/>
                <c:pt idx="0">
                  <c:v>1413 uS/cm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11439218897637791"/>
                  <c:y val="-7.060117485314355E-3"/>
                </c:manualLayout>
              </c:layout>
              <c:numFmt formatCode="General" sourceLinked="0"/>
            </c:trendlineLbl>
          </c:trendline>
          <c:xVal>
            <c:numRef>
              <c:f>SolutionTempCompensation!$A$3:$A$21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  <c:pt idx="17">
                  <c:v>30</c:v>
                </c:pt>
                <c:pt idx="18">
                  <c:v>31</c:v>
                </c:pt>
              </c:numCache>
            </c:numRef>
          </c:xVal>
          <c:yVal>
            <c:numRef>
              <c:f>SolutionTempCompensation!$D$3:$D$21</c:f>
              <c:numCache>
                <c:formatCode>General</c:formatCode>
                <c:ptCount val="19"/>
                <c:pt idx="0">
                  <c:v>896</c:v>
                </c:pt>
                <c:pt idx="1">
                  <c:v>1020</c:v>
                </c:pt>
                <c:pt idx="2">
                  <c:v>1147</c:v>
                </c:pt>
                <c:pt idx="3">
                  <c:v>1173</c:v>
                </c:pt>
                <c:pt idx="4">
                  <c:v>1199</c:v>
                </c:pt>
                <c:pt idx="5">
                  <c:v>1225</c:v>
                </c:pt>
                <c:pt idx="6">
                  <c:v>1251</c:v>
                </c:pt>
                <c:pt idx="7">
                  <c:v>1278</c:v>
                </c:pt>
                <c:pt idx="8">
                  <c:v>1305</c:v>
                </c:pt>
                <c:pt idx="9">
                  <c:v>1332</c:v>
                </c:pt>
                <c:pt idx="10">
                  <c:v>1359</c:v>
                </c:pt>
                <c:pt idx="11">
                  <c:v>1386</c:v>
                </c:pt>
                <c:pt idx="12">
                  <c:v>1413</c:v>
                </c:pt>
                <c:pt idx="13">
                  <c:v>1440</c:v>
                </c:pt>
                <c:pt idx="14">
                  <c:v>1467</c:v>
                </c:pt>
                <c:pt idx="15">
                  <c:v>1494</c:v>
                </c:pt>
                <c:pt idx="16">
                  <c:v>1521</c:v>
                </c:pt>
                <c:pt idx="17">
                  <c:v>1548</c:v>
                </c:pt>
                <c:pt idx="18">
                  <c:v>1575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E10-4C08-84FB-B3C10A263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189435"/>
        <c:axId val="526876871"/>
      </c:scatterChart>
      <c:valAx>
        <c:axId val="19991894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 °C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6876871"/>
        <c:crosses val="autoZero"/>
        <c:crossBetween val="midCat"/>
      </c:valAx>
      <c:valAx>
        <c:axId val="526876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uS/cm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918943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19050</xdr:rowOff>
    </xdr:from>
    <xdr:ext cx="5657850" cy="2743200"/>
    <xdr:graphicFrame macro="">
      <xdr:nvGraphicFramePr>
        <xdr:cNvPr id="5568014" name="Chart 1" title="Chart">
          <a:extLst>
            <a:ext uri="{FF2B5EF4-FFF2-40B4-BE49-F238E27FC236}">
              <a16:creationId xmlns:a16="http://schemas.microsoft.com/office/drawing/2014/main" id="{00000000-0008-0000-0300-00000EF65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14287</xdr:colOff>
      <xdr:row>1</xdr:row>
      <xdr:rowOff>4762</xdr:rowOff>
    </xdr:from>
    <xdr:ext cx="1470595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33806F6-B011-4991-831C-A9EE169E3155}"/>
                </a:ext>
              </a:extLst>
            </xdr:cNvPr>
            <xdr:cNvSpPr txBox="1"/>
          </xdr:nvSpPr>
          <xdr:spPr>
            <a:xfrm>
              <a:off x="6434137" y="442912"/>
              <a:ext cx="1470595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𝐴𝑛𝑎𝑙𝑜𝑔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𝑣𝑎𝑙𝑢𝑒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33806F6-B011-4991-831C-A9EE169E3155}"/>
                </a:ext>
              </a:extLst>
            </xdr:cNvPr>
            <xdr:cNvSpPr txBox="1"/>
          </xdr:nvSpPr>
          <xdr:spPr>
            <a:xfrm>
              <a:off x="6434137" y="442912"/>
              <a:ext cx="1470595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𝐸𝐶〗_𝑇=𝑏∗𝑚^(𝐴𝑛𝑎𝑙𝑜𝑔 𝑣𝑎𝑙𝑢𝑒)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38100</xdr:rowOff>
    </xdr:from>
    <xdr:ext cx="1470595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A04AC5E-1A67-4480-91DB-FD4937604227}"/>
                </a:ext>
              </a:extLst>
            </xdr:cNvPr>
            <xdr:cNvSpPr txBox="1"/>
          </xdr:nvSpPr>
          <xdr:spPr>
            <a:xfrm>
              <a:off x="8229600" y="1476375"/>
              <a:ext cx="1470595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𝐴𝑛𝑎𝑙𝑜𝑔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𝑣𝑎𝑙𝑢𝑒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A04AC5E-1A67-4480-91DB-FD4937604227}"/>
                </a:ext>
              </a:extLst>
            </xdr:cNvPr>
            <xdr:cNvSpPr txBox="1"/>
          </xdr:nvSpPr>
          <xdr:spPr>
            <a:xfrm>
              <a:off x="8229600" y="1476375"/>
              <a:ext cx="1470595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𝐸𝐶〗_𝑇=𝑏∗𝑚^(𝐴𝑛𝑎𝑙𝑜𝑔 𝑣𝑎𝑙𝑢𝑒)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14287</xdr:colOff>
      <xdr:row>5</xdr:row>
      <xdr:rowOff>147637</xdr:rowOff>
    </xdr:from>
    <xdr:ext cx="1509901" cy="3480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A18FC2-D503-4A61-B5BD-A9DBBBCE6910}"/>
                </a:ext>
              </a:extLst>
            </xdr:cNvPr>
            <xdr:cNvSpPr txBox="1"/>
          </xdr:nvSpPr>
          <xdr:spPr>
            <a:xfrm>
              <a:off x="9748837" y="1385887"/>
              <a:ext cx="1509901" cy="348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25°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𝐸𝐶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𝑡𝑐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−25)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A18FC2-D503-4A61-B5BD-A9DBBBCE6910}"/>
                </a:ext>
              </a:extLst>
            </xdr:cNvPr>
            <xdr:cNvSpPr txBox="1"/>
          </xdr:nvSpPr>
          <xdr:spPr>
            <a:xfrm>
              <a:off x="9748837" y="1385887"/>
              <a:ext cx="1509901" cy="348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𝐸𝐶〗_(25°𝐶)=〖𝐸𝐶〗_𝑇/(1+𝑡𝑐(𝑇−25))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5</xdr:row>
      <xdr:rowOff>9525</xdr:rowOff>
    </xdr:from>
    <xdr:ext cx="5953125" cy="3000375"/>
    <xdr:graphicFrame macro="">
      <xdr:nvGraphicFramePr>
        <xdr:cNvPr id="1540703541" name="Chart 2" title="Chart">
          <a:extLst>
            <a:ext uri="{FF2B5EF4-FFF2-40B4-BE49-F238E27FC236}">
              <a16:creationId xmlns:a16="http://schemas.microsoft.com/office/drawing/2014/main" id="{00000000-0008-0000-0400-00003545D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BF25-44E7-4A7E-A2B7-2B471A9E9B73}">
  <dimension ref="A1:A3"/>
  <sheetViews>
    <sheetView tabSelected="1" workbookViewId="0">
      <selection activeCell="A4" sqref="A4"/>
    </sheetView>
  </sheetViews>
  <sheetFormatPr defaultRowHeight="15.75" x14ac:dyDescent="0.25"/>
  <sheetData>
    <row r="1" spans="1:1" x14ac:dyDescent="0.25">
      <c r="A1" s="30" t="s">
        <v>17</v>
      </c>
    </row>
    <row r="2" spans="1:1" x14ac:dyDescent="0.25">
      <c r="A2" s="22" t="s">
        <v>15</v>
      </c>
    </row>
    <row r="3" spans="1:1" x14ac:dyDescent="0.25">
      <c r="A3" s="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outlinePr summaryBelow="0" summaryRight="0"/>
  </sheetPr>
  <dimension ref="A1:C6"/>
  <sheetViews>
    <sheetView workbookViewId="0">
      <selection activeCell="D11" sqref="D11"/>
    </sheetView>
  </sheetViews>
  <sheetFormatPr defaultColWidth="11.25" defaultRowHeight="15" customHeight="1" x14ac:dyDescent="0.25"/>
  <cols>
    <col min="2" max="2" width="12.125" customWidth="1"/>
    <col min="3" max="3" width="14.87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2" t="s">
        <v>2</v>
      </c>
      <c r="C2" s="2" t="s">
        <v>16</v>
      </c>
    </row>
    <row r="3" spans="1:3" x14ac:dyDescent="0.25">
      <c r="A3" s="2">
        <v>1</v>
      </c>
      <c r="B3" s="2">
        <v>2821</v>
      </c>
      <c r="C3" s="2">
        <v>21.72</v>
      </c>
    </row>
    <row r="4" spans="1:3" x14ac:dyDescent="0.25">
      <c r="A4" s="2">
        <v>2</v>
      </c>
      <c r="B4" s="2">
        <v>2812</v>
      </c>
      <c r="C4" s="2">
        <v>21.72</v>
      </c>
    </row>
    <row r="5" spans="1:3" x14ac:dyDescent="0.25">
      <c r="A5" s="2">
        <v>3</v>
      </c>
      <c r="B5" s="2">
        <v>2827</v>
      </c>
      <c r="C5" s="2">
        <v>21.72</v>
      </c>
    </row>
    <row r="6" spans="1:3" x14ac:dyDescent="0.25">
      <c r="A6" s="2">
        <v>4</v>
      </c>
      <c r="B6" s="2">
        <v>2819</v>
      </c>
      <c r="C6" s="2">
        <v>21.72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outlinePr summaryBelow="0" summaryRight="0"/>
  </sheetPr>
  <dimension ref="A1:C7"/>
  <sheetViews>
    <sheetView workbookViewId="0">
      <selection activeCell="D1" sqref="D1:D1048576"/>
    </sheetView>
  </sheetViews>
  <sheetFormatPr defaultColWidth="11.25" defaultRowHeight="15" customHeight="1" x14ac:dyDescent="0.25"/>
  <cols>
    <col min="3" max="3" width="14.87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2" t="s">
        <v>2</v>
      </c>
      <c r="C2" s="2" t="s">
        <v>16</v>
      </c>
    </row>
    <row r="3" spans="1:3" x14ac:dyDescent="0.25">
      <c r="A3" s="2">
        <v>1</v>
      </c>
      <c r="B3" s="2">
        <v>7661</v>
      </c>
      <c r="C3" s="2">
        <v>21.72</v>
      </c>
    </row>
    <row r="4" spans="1:3" x14ac:dyDescent="0.25">
      <c r="A4" s="2">
        <v>2</v>
      </c>
      <c r="B4" s="2">
        <v>7312</v>
      </c>
      <c r="C4" s="2">
        <v>21.72</v>
      </c>
    </row>
    <row r="5" spans="1:3" x14ac:dyDescent="0.25">
      <c r="A5" s="2">
        <v>3</v>
      </c>
      <c r="B5" s="2">
        <v>7711</v>
      </c>
      <c r="C5" s="2">
        <v>21.72</v>
      </c>
    </row>
    <row r="6" spans="1:3" x14ac:dyDescent="0.25">
      <c r="A6" s="2">
        <v>4</v>
      </c>
      <c r="B6" s="2">
        <v>7592</v>
      </c>
      <c r="C6" s="2">
        <v>21.72</v>
      </c>
    </row>
    <row r="7" spans="1:3" x14ac:dyDescent="0.25">
      <c r="A7" s="2">
        <v>5</v>
      </c>
      <c r="B7" s="2">
        <v>7833</v>
      </c>
      <c r="C7" s="2">
        <v>21.72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outlinePr summaryBelow="0" summaryRight="0"/>
  </sheetPr>
  <dimension ref="A1:C6"/>
  <sheetViews>
    <sheetView workbookViewId="0">
      <selection activeCell="D17" sqref="D17"/>
    </sheetView>
  </sheetViews>
  <sheetFormatPr defaultColWidth="11.25" defaultRowHeight="15" customHeight="1" x14ac:dyDescent="0.25"/>
  <cols>
    <col min="3" max="3" width="14.87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2" t="s">
        <v>2</v>
      </c>
      <c r="C2" s="2" t="s">
        <v>16</v>
      </c>
    </row>
    <row r="3" spans="1:3" x14ac:dyDescent="0.25">
      <c r="A3" s="2">
        <v>1</v>
      </c>
      <c r="B3" s="2">
        <v>9174</v>
      </c>
      <c r="C3" s="2">
        <v>20.55</v>
      </c>
    </row>
    <row r="4" spans="1:3" x14ac:dyDescent="0.25">
      <c r="A4" s="2">
        <v>2</v>
      </c>
      <c r="B4" s="2">
        <v>8917</v>
      </c>
      <c r="C4" s="2">
        <v>20.55</v>
      </c>
    </row>
    <row r="5" spans="1:3" x14ac:dyDescent="0.25">
      <c r="A5" s="2">
        <v>3</v>
      </c>
      <c r="B5" s="2">
        <v>9100</v>
      </c>
      <c r="C5" s="2">
        <v>20.64</v>
      </c>
    </row>
    <row r="6" spans="1:3" x14ac:dyDescent="0.25">
      <c r="A6" s="2">
        <v>4</v>
      </c>
      <c r="B6" s="2">
        <v>9215</v>
      </c>
      <c r="C6" s="2">
        <v>20.69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F18" sqref="F18"/>
    </sheetView>
  </sheetViews>
  <sheetFormatPr defaultColWidth="11.25" defaultRowHeight="15" customHeight="1" x14ac:dyDescent="0.25"/>
  <cols>
    <col min="1" max="1" width="16.75" bestFit="1" customWidth="1"/>
    <col min="2" max="2" width="17.375" customWidth="1"/>
    <col min="3" max="3" width="24.75" customWidth="1"/>
    <col min="4" max="4" width="15.625" bestFit="1" customWidth="1"/>
    <col min="5" max="5" width="9.875" bestFit="1" customWidth="1"/>
    <col min="6" max="6" width="11.875" bestFit="1" customWidth="1"/>
    <col min="7" max="7" width="19" customWidth="1"/>
    <col min="8" max="8" width="19.875" customWidth="1"/>
    <col min="9" max="9" width="20.75" customWidth="1"/>
    <col min="10" max="22" width="8.5" customWidth="1"/>
  </cols>
  <sheetData>
    <row r="1" spans="1:10" ht="34.5" customHeight="1" x14ac:dyDescent="0.25">
      <c r="A1" s="47" t="s">
        <v>3</v>
      </c>
      <c r="B1" s="33" t="s">
        <v>4</v>
      </c>
      <c r="C1" s="33" t="s">
        <v>24</v>
      </c>
      <c r="D1" s="33" t="s">
        <v>25</v>
      </c>
      <c r="F1" s="41" t="s">
        <v>22</v>
      </c>
      <c r="G1" s="42"/>
      <c r="J1" s="3"/>
    </row>
    <row r="2" spans="1:10" ht="15.75" customHeight="1" x14ac:dyDescent="0.4">
      <c r="A2" s="43">
        <f>AVERAGE('10uScm'!B3:B53)</f>
        <v>2819.75</v>
      </c>
      <c r="B2" s="44">
        <f>AVERAGE('10uScm'!C3:C53)</f>
        <v>21.72</v>
      </c>
      <c r="C2" s="45">
        <f>B2*SolutionTempCompensation!$G$2+SolutionTempCompensation!$H$2+SolutionTempCompensation!$I$2</f>
        <v>8.5641959648471335</v>
      </c>
      <c r="D2" s="46">
        <v>10</v>
      </c>
      <c r="F2" s="35"/>
      <c r="G2" s="36"/>
      <c r="J2" s="3"/>
    </row>
    <row r="3" spans="1:10" ht="15.75" customHeight="1" x14ac:dyDescent="0.4">
      <c r="A3" s="43">
        <f>AVERAGE('447uScm'!B3:B53)</f>
        <v>7621.8</v>
      </c>
      <c r="B3" s="44">
        <f>AVERAGE('447uScm'!C3:C53)</f>
        <v>21.72</v>
      </c>
      <c r="C3" s="45">
        <f>B3*SolutionTempCompensation!$G$3+SolutionTempCompensation!$H$3</f>
        <v>419.73203614308704</v>
      </c>
      <c r="D3" s="46">
        <v>447</v>
      </c>
      <c r="E3" s="3"/>
      <c r="F3" s="37" t="s">
        <v>19</v>
      </c>
      <c r="G3" s="38" t="s">
        <v>18</v>
      </c>
      <c r="I3" s="3"/>
      <c r="J3" s="3"/>
    </row>
    <row r="4" spans="1:10" ht="15.75" customHeight="1" thickBot="1" x14ac:dyDescent="0.45">
      <c r="A4" s="43">
        <f>AVERAGE('1413uScm'!B3:B53)</f>
        <v>9101.5</v>
      </c>
      <c r="B4" s="44">
        <f>AVERAGE('1413uScm'!C3:C53)</f>
        <v>20.607500000000002</v>
      </c>
      <c r="C4" s="45">
        <f>B4*SolutionTempCompensation!$G$4+SolutionTempCompensation!$H$4</f>
        <v>1297.2778721066963</v>
      </c>
      <c r="D4" s="46">
        <v>1413</v>
      </c>
      <c r="E4" s="3"/>
      <c r="F4" s="39" cm="1">
        <f t="array" ref="F4:G4">LOGEST(C2:C4,A2:A4)</f>
        <v>1.0008023128975749</v>
      </c>
      <c r="G4" s="40">
        <v>0.89938738530484452</v>
      </c>
      <c r="I4" s="3"/>
      <c r="J4" s="3"/>
    </row>
    <row r="5" spans="1:10" ht="15.75" customHeight="1" x14ac:dyDescent="0.25">
      <c r="E5" s="23"/>
      <c r="F5" s="3"/>
      <c r="G5" s="3"/>
      <c r="H5" s="3"/>
      <c r="I5" s="3"/>
      <c r="J5" s="3"/>
    </row>
    <row r="6" spans="1:10" ht="15.75" customHeight="1" x14ac:dyDescent="0.25">
      <c r="A6" s="2"/>
      <c r="B6" s="4"/>
      <c r="D6" s="22"/>
      <c r="E6" s="31"/>
      <c r="F6" s="34" t="s">
        <v>23</v>
      </c>
      <c r="G6" s="3"/>
      <c r="H6" s="3"/>
      <c r="J6" s="3"/>
    </row>
    <row r="7" spans="1:10" ht="15.75" customHeight="1" x14ac:dyDescent="0.25">
      <c r="A7" s="1"/>
      <c r="B7" s="4"/>
      <c r="D7" s="22"/>
      <c r="E7" s="32"/>
      <c r="F7" s="3"/>
      <c r="G7" s="4"/>
      <c r="H7" s="3"/>
      <c r="J7" s="3"/>
    </row>
    <row r="8" spans="1:10" ht="15.75" customHeight="1" x14ac:dyDescent="0.25">
      <c r="E8" s="3"/>
      <c r="F8" s="3"/>
      <c r="G8" s="3"/>
      <c r="H8" s="3"/>
      <c r="J8" s="3"/>
    </row>
    <row r="9" spans="1:10" ht="15.75" customHeight="1" x14ac:dyDescent="0.35">
      <c r="F9" s="22" t="s">
        <v>13</v>
      </c>
      <c r="G9" s="22" t="s">
        <v>20</v>
      </c>
      <c r="H9" s="23" t="s">
        <v>21</v>
      </c>
      <c r="J9" s="3"/>
    </row>
    <row r="10" spans="1:10" ht="15.75" customHeight="1" x14ac:dyDescent="0.25">
      <c r="F10" s="26">
        <f>A2</f>
        <v>2819.75</v>
      </c>
      <c r="G10" s="24">
        <f>$G$4*$F$4^(F10)</f>
        <v>8.6311115946496937</v>
      </c>
      <c r="H10" s="26">
        <f>G10/(1+SolutionTempCompensation!J2*(Calibration!B2-25))</f>
        <v>9.2549575820330379</v>
      </c>
    </row>
    <row r="11" spans="1:10" ht="15.75" customHeight="1" x14ac:dyDescent="0.25">
      <c r="F11" s="26">
        <f>A3</f>
        <v>7621.8</v>
      </c>
      <c r="G11" s="24">
        <f>$G$4*$F$4^(F11)</f>
        <v>406.09016835456055</v>
      </c>
      <c r="H11" s="26">
        <f>G11/(1+SolutionTempCompensation!J3*(Calibration!B3-25))</f>
        <v>438.24989876181053</v>
      </c>
    </row>
    <row r="12" spans="1:10" ht="15.75" customHeight="1" x14ac:dyDescent="0.25">
      <c r="F12" s="26">
        <f>A4</f>
        <v>9101.5</v>
      </c>
      <c r="G12" s="24">
        <f>$G$4*$F$4^(F12)</f>
        <v>1330.4621309380432</v>
      </c>
      <c r="H12" s="26">
        <f>G12/(1+SolutionTempCompensation!J4*(Calibration!B4-25))</f>
        <v>1468.8839187934198</v>
      </c>
    </row>
    <row r="13" spans="1:10" ht="15.75" customHeight="1" x14ac:dyDescent="0.25">
      <c r="E13" s="3"/>
    </row>
    <row r="14" spans="1:10" ht="15.75" customHeight="1" x14ac:dyDescent="0.25">
      <c r="E14" s="3"/>
    </row>
    <row r="15" spans="1:10" ht="15.75" customHeight="1" x14ac:dyDescent="0.25">
      <c r="E15" s="3"/>
    </row>
    <row r="16" spans="1:10" ht="15.75" customHeight="1" x14ac:dyDescent="0.25">
      <c r="E16" s="3"/>
    </row>
    <row r="17" spans="5:5" ht="15.75" customHeight="1" x14ac:dyDescent="0.25">
      <c r="E17" s="3"/>
    </row>
    <row r="18" spans="5:5" ht="15.75" customHeight="1" x14ac:dyDescent="0.25">
      <c r="E18" s="3"/>
    </row>
    <row r="19" spans="5:5" ht="15.75" customHeight="1" x14ac:dyDescent="0.25">
      <c r="E19" s="3"/>
    </row>
    <row r="20" spans="5:5" ht="15.75" customHeight="1" x14ac:dyDescent="0.25">
      <c r="E20" s="3"/>
    </row>
    <row r="21" spans="5:5" ht="15.75" customHeight="1" x14ac:dyDescent="0.25">
      <c r="E21" s="3"/>
    </row>
    <row r="22" spans="5:5" ht="15.75" customHeight="1" x14ac:dyDescent="0.25">
      <c r="E22" s="3"/>
    </row>
    <row r="23" spans="5:5" ht="15.75" customHeight="1" x14ac:dyDescent="0.25">
      <c r="E23" s="3"/>
    </row>
    <row r="24" spans="5:5" ht="15.75" customHeight="1" x14ac:dyDescent="0.25">
      <c r="E24" s="3"/>
    </row>
    <row r="25" spans="5:5" ht="15.75" customHeight="1" x14ac:dyDescent="0.25">
      <c r="E25" s="3"/>
    </row>
    <row r="26" spans="5:5" ht="15.75" customHeight="1" x14ac:dyDescent="0.25">
      <c r="E26" s="3"/>
    </row>
    <row r="27" spans="5:5" ht="15.75" customHeight="1" x14ac:dyDescent="0.25">
      <c r="E27" s="3"/>
    </row>
    <row r="28" spans="5:5" ht="15.75" customHeight="1" x14ac:dyDescent="0.25">
      <c r="E28" s="3"/>
    </row>
    <row r="29" spans="5:5" ht="15.75" customHeight="1" x14ac:dyDescent="0.25">
      <c r="E29" s="3"/>
    </row>
    <row r="30" spans="5:5" ht="15.75" customHeight="1" x14ac:dyDescent="0.25">
      <c r="E30" s="3"/>
    </row>
    <row r="31" spans="5:5" ht="15.75" customHeight="1" x14ac:dyDescent="0.25">
      <c r="E31" s="3"/>
    </row>
    <row r="32" spans="5:5" ht="15.75" customHeight="1" x14ac:dyDescent="0.25">
      <c r="E32" s="3"/>
    </row>
    <row r="33" spans="5:5" ht="15.75" customHeight="1" x14ac:dyDescent="0.25">
      <c r="E33" s="3"/>
    </row>
    <row r="34" spans="5:5" ht="15.75" customHeight="1" x14ac:dyDescent="0.25">
      <c r="E34" s="3"/>
    </row>
    <row r="35" spans="5:5" ht="15.75" customHeight="1" x14ac:dyDescent="0.25">
      <c r="E35" s="3"/>
    </row>
    <row r="36" spans="5:5" ht="15.75" customHeight="1" x14ac:dyDescent="0.25">
      <c r="E36" s="3"/>
    </row>
    <row r="37" spans="5:5" ht="15.75" customHeight="1" x14ac:dyDescent="0.25">
      <c r="E37" s="3"/>
    </row>
    <row r="38" spans="5:5" ht="15.75" customHeight="1" x14ac:dyDescent="0.25">
      <c r="E38" s="3"/>
    </row>
    <row r="39" spans="5:5" ht="15.75" customHeight="1" x14ac:dyDescent="0.25">
      <c r="E39" s="3"/>
    </row>
    <row r="40" spans="5:5" ht="15.75" customHeight="1" x14ac:dyDescent="0.25">
      <c r="E40" s="3"/>
    </row>
    <row r="41" spans="5:5" ht="15.75" customHeight="1" x14ac:dyDescent="0.25">
      <c r="E41" s="3"/>
    </row>
    <row r="42" spans="5:5" ht="15.75" customHeight="1" x14ac:dyDescent="0.25">
      <c r="E42" s="3"/>
    </row>
    <row r="43" spans="5:5" ht="15.75" customHeight="1" x14ac:dyDescent="0.25">
      <c r="E43" s="3"/>
    </row>
    <row r="44" spans="5:5" ht="15.75" customHeight="1" x14ac:dyDescent="0.25">
      <c r="E44" s="3"/>
    </row>
    <row r="45" spans="5:5" ht="15.75" customHeight="1" x14ac:dyDescent="0.25">
      <c r="E45" s="3"/>
    </row>
    <row r="46" spans="5:5" ht="15.75" customHeight="1" x14ac:dyDescent="0.25">
      <c r="E46" s="3"/>
    </row>
    <row r="47" spans="5:5" ht="15.75" customHeight="1" x14ac:dyDescent="0.25">
      <c r="E47" s="3"/>
    </row>
    <row r="48" spans="5:5" ht="15.75" customHeight="1" x14ac:dyDescent="0.25">
      <c r="E48" s="3"/>
    </row>
    <row r="49" spans="5:5" ht="15.75" customHeight="1" x14ac:dyDescent="0.25">
      <c r="E49" s="3"/>
    </row>
    <row r="50" spans="5:5" ht="15.75" customHeight="1" x14ac:dyDescent="0.25">
      <c r="E50" s="3"/>
    </row>
    <row r="51" spans="5:5" ht="15.75" customHeight="1" x14ac:dyDescent="0.25">
      <c r="E51" s="3"/>
    </row>
    <row r="52" spans="5:5" ht="15.75" customHeight="1" x14ac:dyDescent="0.25">
      <c r="E52" s="3"/>
    </row>
    <row r="53" spans="5:5" ht="15.75" customHeight="1" x14ac:dyDescent="0.25">
      <c r="E53" s="3"/>
    </row>
    <row r="54" spans="5:5" ht="15.75" customHeight="1" x14ac:dyDescent="0.25">
      <c r="E54" s="3"/>
    </row>
    <row r="55" spans="5:5" ht="15.75" customHeight="1" x14ac:dyDescent="0.25">
      <c r="E55" s="3"/>
    </row>
    <row r="56" spans="5:5" ht="15.75" customHeight="1" x14ac:dyDescent="0.25">
      <c r="E56" s="3"/>
    </row>
    <row r="57" spans="5:5" ht="15.75" customHeight="1" x14ac:dyDescent="0.25">
      <c r="E57" s="3"/>
    </row>
    <row r="58" spans="5:5" ht="15.75" customHeight="1" x14ac:dyDescent="0.25">
      <c r="E58" s="3"/>
    </row>
    <row r="59" spans="5:5" ht="15.75" customHeight="1" x14ac:dyDescent="0.25">
      <c r="E59" s="3"/>
    </row>
    <row r="60" spans="5:5" ht="15.75" customHeight="1" x14ac:dyDescent="0.25">
      <c r="E60" s="3"/>
    </row>
    <row r="61" spans="5:5" ht="15.75" customHeight="1" x14ac:dyDescent="0.25">
      <c r="E61" s="3"/>
    </row>
    <row r="62" spans="5:5" ht="15.75" customHeight="1" x14ac:dyDescent="0.25">
      <c r="E62" s="3"/>
    </row>
    <row r="63" spans="5:5" ht="15.75" customHeight="1" x14ac:dyDescent="0.25">
      <c r="E63" s="3"/>
    </row>
    <row r="64" spans="5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/>
    <row r="96" spans="5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algorithmName="SHA-512" hashValue="Sf/7Vr9Hhl/Kx1YeIY9TRe/YsPAnytgog494Tlkxj2o8P7VpYjOSAvN5J2jSDtD+k4fuBX4KpeaeD7Bk1JaVBA==" saltValue="9N3OCGOI/KXQijYVO0nFDg==" spinCount="100000" sheet="1" objects="1" scenarios="1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workbookViewId="0">
      <selection activeCell="J2" sqref="J2"/>
    </sheetView>
  </sheetViews>
  <sheetFormatPr defaultColWidth="11.25" defaultRowHeight="15" customHeight="1" x14ac:dyDescent="0.25"/>
  <cols>
    <col min="10" max="10" width="25.25" bestFit="1" customWidth="1"/>
  </cols>
  <sheetData>
    <row r="1" spans="1:11" ht="16.5" thickBot="1" x14ac:dyDescent="0.3">
      <c r="A1" s="27" t="s">
        <v>7</v>
      </c>
      <c r="B1" s="27"/>
      <c r="C1" s="28"/>
      <c r="D1" s="29"/>
      <c r="E1" s="5"/>
      <c r="F1" s="5"/>
      <c r="G1" s="5" t="s">
        <v>5</v>
      </c>
      <c r="H1" s="5" t="s">
        <v>6</v>
      </c>
      <c r="I1" s="6" t="s">
        <v>8</v>
      </c>
      <c r="J1" s="5" t="s">
        <v>14</v>
      </c>
      <c r="K1" s="5"/>
    </row>
    <row r="2" spans="1:11" ht="15.75" x14ac:dyDescent="0.25">
      <c r="A2" s="5" t="s">
        <v>9</v>
      </c>
      <c r="B2" s="5" t="s">
        <v>10</v>
      </c>
      <c r="C2" s="7" t="s">
        <v>11</v>
      </c>
      <c r="D2" s="5" t="s">
        <v>12</v>
      </c>
      <c r="E2" s="5"/>
      <c r="F2" s="19" t="s">
        <v>10</v>
      </c>
      <c r="G2" s="13">
        <f>SLOPE(B3:B21,A3:A21)</f>
        <v>0.43558732516400539</v>
      </c>
      <c r="H2" s="13">
        <f>INTERCEPT(B3:B21,A3:A21)</f>
        <v>12.103239262284937</v>
      </c>
      <c r="I2" s="14">
        <f>10-23</f>
        <v>-13</v>
      </c>
      <c r="J2" s="25">
        <f>(B21-B3)/(B3/(A21-25)-B21*(A3-25))</f>
        <v>2.0550817838669095E-2</v>
      </c>
      <c r="K2" s="5"/>
    </row>
    <row r="3" spans="1:11" ht="15.75" x14ac:dyDescent="0.25">
      <c r="A3" s="8">
        <v>5</v>
      </c>
      <c r="B3" s="8">
        <v>15.32</v>
      </c>
      <c r="C3" s="9">
        <v>278</v>
      </c>
      <c r="D3" s="8">
        <v>896</v>
      </c>
      <c r="E3" s="5"/>
      <c r="F3" s="20" t="s">
        <v>11</v>
      </c>
      <c r="G3" s="15">
        <f>SLOPE(C3:C21,A3:A21)</f>
        <v>8.8186656764451055</v>
      </c>
      <c r="H3" s="15">
        <f>INTERCEPT(C3:C21,A3:A21)</f>
        <v>228.19061765069935</v>
      </c>
      <c r="I3" s="16">
        <v>0</v>
      </c>
      <c r="J3" s="25">
        <f>(C21-C3)/(C3/(A21-25)-C21*(A3-25))</f>
        <v>2.2372614080620256E-2</v>
      </c>
      <c r="K3" s="5"/>
    </row>
    <row r="4" spans="1:11" ht="16.5" thickBot="1" x14ac:dyDescent="0.3">
      <c r="A4" s="8">
        <v>10</v>
      </c>
      <c r="B4" s="8">
        <v>17.11</v>
      </c>
      <c r="C4" s="9">
        <v>318</v>
      </c>
      <c r="D4" s="8">
        <v>1020</v>
      </c>
      <c r="E4" s="5"/>
      <c r="F4" s="21" t="s">
        <v>12</v>
      </c>
      <c r="G4" s="17">
        <f>SLOPE(D3:D21,A3:A21)</f>
        <v>26.333766555266738</v>
      </c>
      <c r="H4" s="17">
        <f>INTERCEPT(D3:D21,A3:A21)</f>
        <v>754.60477781903705</v>
      </c>
      <c r="I4" s="18">
        <v>0</v>
      </c>
      <c r="J4" s="25">
        <f>(D21-D3)/(D3/(A21-25)-D21*(A3-25))</f>
        <v>2.1453848422294308E-2</v>
      </c>
      <c r="K4" s="5"/>
    </row>
    <row r="5" spans="1:11" ht="15.75" x14ac:dyDescent="0.25">
      <c r="A5" s="8">
        <v>15</v>
      </c>
      <c r="B5" s="8">
        <v>18.32</v>
      </c>
      <c r="C5" s="8">
        <v>361</v>
      </c>
      <c r="D5" s="8">
        <v>1147</v>
      </c>
      <c r="E5" s="5"/>
      <c r="F5" s="5"/>
      <c r="G5" s="5"/>
      <c r="H5" s="5"/>
      <c r="I5" s="5"/>
      <c r="J5" s="5"/>
      <c r="K5" s="5"/>
    </row>
    <row r="6" spans="1:11" ht="15.75" x14ac:dyDescent="0.25">
      <c r="A6" s="8">
        <v>16</v>
      </c>
      <c r="B6" s="8">
        <v>18.649999999999999</v>
      </c>
      <c r="C6" s="8">
        <v>368</v>
      </c>
      <c r="D6" s="8">
        <v>1173</v>
      </c>
      <c r="E6" s="5"/>
      <c r="F6" s="5"/>
      <c r="G6" s="5"/>
      <c r="H6" s="5"/>
      <c r="I6" s="5"/>
      <c r="J6" s="5"/>
      <c r="K6" s="5"/>
    </row>
    <row r="7" spans="1:11" ht="15.75" x14ac:dyDescent="0.25">
      <c r="A7" s="8">
        <v>17</v>
      </c>
      <c r="B7" s="8">
        <v>18.97</v>
      </c>
      <c r="C7" s="8">
        <v>376</v>
      </c>
      <c r="D7" s="8">
        <v>1199</v>
      </c>
      <c r="E7" s="5"/>
      <c r="F7" s="5"/>
      <c r="G7" s="5"/>
      <c r="H7" s="5"/>
      <c r="I7" s="5"/>
      <c r="J7" s="5"/>
      <c r="K7" s="5"/>
    </row>
    <row r="8" spans="1:11" ht="15.75" x14ac:dyDescent="0.25">
      <c r="A8" s="8">
        <v>18</v>
      </c>
      <c r="B8" s="8">
        <v>19.41</v>
      </c>
      <c r="C8" s="8">
        <v>385</v>
      </c>
      <c r="D8" s="8">
        <v>1225</v>
      </c>
      <c r="E8" s="5"/>
      <c r="F8" s="5"/>
      <c r="G8" s="5"/>
      <c r="H8" s="5"/>
      <c r="I8" s="5"/>
      <c r="J8" s="5"/>
      <c r="K8" s="5"/>
    </row>
    <row r="9" spans="1:11" ht="15.75" x14ac:dyDescent="0.25">
      <c r="A9" s="8">
        <v>19</v>
      </c>
      <c r="B9" s="8">
        <v>19.850000000000001</v>
      </c>
      <c r="C9" s="8">
        <v>394</v>
      </c>
      <c r="D9" s="8">
        <v>1251</v>
      </c>
      <c r="E9" s="5"/>
      <c r="F9" s="5"/>
      <c r="G9" s="5"/>
      <c r="H9" s="5"/>
      <c r="I9" s="5"/>
      <c r="J9" s="5"/>
      <c r="K9" s="5"/>
    </row>
    <row r="10" spans="1:11" ht="15.75" x14ac:dyDescent="0.25">
      <c r="A10" s="8">
        <v>20</v>
      </c>
      <c r="B10" s="8">
        <v>20.3</v>
      </c>
      <c r="C10" s="8">
        <v>402</v>
      </c>
      <c r="D10" s="8">
        <v>1278</v>
      </c>
      <c r="E10" s="5"/>
      <c r="F10" s="5"/>
      <c r="G10" s="5"/>
      <c r="H10" s="5"/>
      <c r="I10" s="5"/>
      <c r="J10" s="5"/>
      <c r="K10" s="5"/>
    </row>
    <row r="11" spans="1:11" ht="15.75" x14ac:dyDescent="0.25">
      <c r="A11" s="8">
        <v>21</v>
      </c>
      <c r="B11" s="8">
        <v>20.92</v>
      </c>
      <c r="C11" s="8">
        <v>411</v>
      </c>
      <c r="D11" s="8">
        <v>1305</v>
      </c>
      <c r="E11" s="5"/>
      <c r="F11" s="5"/>
      <c r="G11" s="5"/>
      <c r="H11" s="5"/>
      <c r="I11" s="5"/>
      <c r="J11" s="5"/>
      <c r="K11" s="5"/>
    </row>
    <row r="12" spans="1:11" ht="15.75" x14ac:dyDescent="0.25">
      <c r="A12" s="8">
        <v>22</v>
      </c>
      <c r="B12" s="8">
        <v>21.51</v>
      </c>
      <c r="C12" s="8">
        <v>419</v>
      </c>
      <c r="D12" s="8">
        <v>1332</v>
      </c>
      <c r="E12" s="5"/>
      <c r="F12" s="5"/>
      <c r="G12" s="5"/>
      <c r="H12" s="5"/>
      <c r="I12" s="5"/>
      <c r="J12" s="5"/>
      <c r="K12" s="5"/>
    </row>
    <row r="13" spans="1:11" ht="15.75" x14ac:dyDescent="0.25">
      <c r="A13" s="8">
        <v>23</v>
      </c>
      <c r="B13" s="8">
        <v>22.1</v>
      </c>
      <c r="C13" s="8">
        <v>430</v>
      </c>
      <c r="D13" s="8">
        <v>1359</v>
      </c>
      <c r="E13" s="5"/>
      <c r="F13" s="5"/>
      <c r="G13" s="5"/>
      <c r="H13" s="5"/>
      <c r="I13" s="5"/>
      <c r="J13" s="5"/>
      <c r="K13" s="5"/>
    </row>
    <row r="14" spans="1:11" ht="16.5" thickBot="1" x14ac:dyDescent="0.3">
      <c r="A14" s="8">
        <v>24</v>
      </c>
      <c r="B14" s="8">
        <v>22.55</v>
      </c>
      <c r="C14" s="8">
        <v>438</v>
      </c>
      <c r="D14" s="8">
        <v>1386</v>
      </c>
      <c r="E14" s="5"/>
      <c r="F14" s="5"/>
      <c r="G14" s="5"/>
      <c r="H14" s="5"/>
      <c r="I14" s="5"/>
      <c r="J14" s="5"/>
      <c r="K14" s="5"/>
    </row>
    <row r="15" spans="1:11" ht="16.5" thickBot="1" x14ac:dyDescent="0.3">
      <c r="A15" s="10">
        <v>25</v>
      </c>
      <c r="B15" s="11">
        <v>23</v>
      </c>
      <c r="C15" s="11">
        <v>447</v>
      </c>
      <c r="D15" s="12">
        <v>1413</v>
      </c>
      <c r="E15" s="5"/>
      <c r="F15" s="5"/>
      <c r="G15" s="5"/>
      <c r="H15" s="5"/>
      <c r="I15" s="5"/>
      <c r="J15" s="5"/>
      <c r="K15" s="5"/>
    </row>
    <row r="16" spans="1:11" ht="15.75" x14ac:dyDescent="0.25">
      <c r="A16" s="8">
        <v>26</v>
      </c>
      <c r="B16" s="8">
        <v>23.43</v>
      </c>
      <c r="C16" s="8">
        <v>457</v>
      </c>
      <c r="D16" s="8">
        <v>1440</v>
      </c>
      <c r="E16" s="5"/>
      <c r="F16" s="5"/>
      <c r="G16" s="5"/>
      <c r="H16" s="5"/>
      <c r="I16" s="5"/>
      <c r="J16" s="5"/>
      <c r="K16" s="5"/>
    </row>
    <row r="17" spans="1:11" ht="15.75" x14ac:dyDescent="0.25">
      <c r="A17" s="8">
        <v>27</v>
      </c>
      <c r="B17" s="8">
        <v>23.9</v>
      </c>
      <c r="C17" s="8">
        <v>467</v>
      </c>
      <c r="D17" s="8">
        <v>1467</v>
      </c>
      <c r="E17" s="5"/>
      <c r="F17" s="5"/>
      <c r="G17" s="5"/>
      <c r="H17" s="5"/>
      <c r="I17" s="5"/>
      <c r="J17" s="5"/>
      <c r="K17" s="5"/>
    </row>
    <row r="18" spans="1:11" ht="15.75" x14ac:dyDescent="0.25">
      <c r="A18" s="8">
        <v>28</v>
      </c>
      <c r="B18" s="8">
        <v>24.56</v>
      </c>
      <c r="C18" s="8">
        <v>477</v>
      </c>
      <c r="D18" s="8">
        <v>1494</v>
      </c>
      <c r="E18" s="5"/>
      <c r="F18" s="5"/>
      <c r="G18" s="5"/>
      <c r="H18" s="5"/>
      <c r="I18" s="5"/>
      <c r="J18" s="5"/>
      <c r="K18" s="5"/>
    </row>
    <row r="19" spans="1:11" ht="15.75" x14ac:dyDescent="0.25">
      <c r="A19" s="8">
        <v>29</v>
      </c>
      <c r="B19" s="8">
        <v>25.2</v>
      </c>
      <c r="C19" s="8">
        <v>487</v>
      </c>
      <c r="D19" s="8">
        <v>1521</v>
      </c>
      <c r="E19" s="5"/>
      <c r="F19" s="5"/>
      <c r="G19" s="5"/>
      <c r="H19" s="5"/>
      <c r="I19" s="5"/>
      <c r="J19" s="5"/>
      <c r="K19" s="5"/>
    </row>
    <row r="20" spans="1:11" ht="15.75" x14ac:dyDescent="0.25">
      <c r="A20" s="8">
        <v>30</v>
      </c>
      <c r="B20" s="8">
        <v>25.61</v>
      </c>
      <c r="C20" s="8">
        <v>496</v>
      </c>
      <c r="D20" s="8">
        <v>1548</v>
      </c>
      <c r="E20" s="5"/>
      <c r="F20" s="5"/>
      <c r="G20" s="5"/>
      <c r="H20" s="5"/>
      <c r="I20" s="5"/>
      <c r="J20" s="5"/>
      <c r="K20" s="5"/>
    </row>
    <row r="21" spans="1:11" ht="15.75" x14ac:dyDescent="0.25">
      <c r="A21" s="8">
        <v>31</v>
      </c>
      <c r="B21" s="8">
        <v>26.1</v>
      </c>
      <c r="C21" s="8">
        <v>505</v>
      </c>
      <c r="D21" s="8">
        <v>1575</v>
      </c>
      <c r="E21" s="5"/>
      <c r="F21" s="5"/>
      <c r="G21" s="5"/>
      <c r="H21" s="5"/>
      <c r="I21" s="5"/>
      <c r="J21" s="5"/>
      <c r="K21" s="5"/>
    </row>
    <row r="22" spans="1:11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sheetProtection algorithmName="SHA-512" hashValue="N7TO2jg6+r2pWd76mp+V0B2lxV2F6Cs7peHuiEYx/8OhmW6jOtHzdk4r+7TEb56ec67ffQ6lwmyeOiHku0HAhw==" saltValue="TJF0aMB7emOsn+qarPZ4qA==" spinCount="100000" sheet="1" objects="1" scenarios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</vt:lpstr>
      <vt:lpstr>10uScm</vt:lpstr>
      <vt:lpstr>447uScm</vt:lpstr>
      <vt:lpstr>1413uScm</vt:lpstr>
      <vt:lpstr>Calibration</vt:lpstr>
      <vt:lpstr>SolutionTempCompensation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Walter</dc:creator>
  <cp:lastModifiedBy>Cara Walter</cp:lastModifiedBy>
  <dcterms:created xsi:type="dcterms:W3CDTF">2020-08-26T15:50:31Z</dcterms:created>
  <dcterms:modified xsi:type="dcterms:W3CDTF">2021-09-17T19:16:33Z</dcterms:modified>
</cp:coreProperties>
</file>